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7 The Magnolias\"/>
    </mc:Choice>
  </mc:AlternateContent>
  <xr:revisionPtr revIDLastSave="0" documentId="13_ncr:1_{81C19058-8A9E-4949-9CE6-80BB714D47C4}" xr6:coauthVersionLast="47" xr6:coauthVersionMax="47" xr10:uidLastSave="{00000000-0000-0000-0000-000000000000}"/>
  <bookViews>
    <workbookView xWindow="-120" yWindow="-120" windowWidth="29040" windowHeight="1584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S46" i="4"/>
  <c r="S53" i="4"/>
  <c r="C46" i="4"/>
  <c r="C53" i="4"/>
  <c r="C61" i="4"/>
  <c r="W861" i="3" l="1"/>
  <c r="C30" i="4"/>
  <c r="S69" i="4" l="1"/>
  <c r="S65" i="4"/>
  <c r="C65" i="4"/>
  <c r="AO640" i="3" l="1"/>
  <c r="E4" i="4"/>
  <c r="F13" i="8"/>
  <c r="F10" i="8"/>
  <c r="Z806" i="3"/>
  <c r="E56" i="4"/>
  <c r="E65" i="4"/>
  <c r="E61" i="4"/>
  <c r="E53" i="4"/>
  <c r="S49" i="4"/>
  <c r="C49" i="4"/>
  <c r="E49" i="4" s="1"/>
  <c r="S99" i="4"/>
  <c r="S89" i="4"/>
  <c r="S50" i="4"/>
  <c r="C45" i="4"/>
  <c r="E45" i="4" s="1"/>
  <c r="S92" i="4"/>
  <c r="S52" i="4"/>
  <c r="S87" i="4"/>
  <c r="S86" i="4"/>
  <c r="S85" i="4"/>
  <c r="S93" i="4"/>
  <c r="S84" i="4"/>
  <c r="C43" i="4"/>
  <c r="S43" i="4" s="1"/>
  <c r="S40" i="4"/>
  <c r="S80" i="4"/>
  <c r="S79" i="4"/>
  <c r="S32" i="4"/>
  <c r="S33" i="4"/>
  <c r="S34" i="4"/>
  <c r="S35" i="4"/>
  <c r="S36" i="4"/>
  <c r="S37" i="4"/>
  <c r="C31" i="4"/>
  <c r="E31" i="4" s="1"/>
  <c r="S29" i="4"/>
  <c r="S30" i="4"/>
  <c r="C13" i="4"/>
  <c r="E13" i="4" s="1"/>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0" i="4"/>
  <c r="E59" i="4"/>
  <c r="E58" i="4"/>
  <c r="E57" i="4"/>
  <c r="E52" i="4"/>
  <c r="E51" i="4"/>
  <c r="E50" i="4"/>
  <c r="E48" i="4"/>
  <c r="E47" i="4"/>
  <c r="E46" i="4"/>
  <c r="E41" i="4"/>
  <c r="E40" i="4"/>
  <c r="E37" i="4"/>
  <c r="E36" i="4"/>
  <c r="E35" i="4"/>
  <c r="E34" i="4"/>
  <c r="E33" i="4"/>
  <c r="E32" i="4"/>
  <c r="E30" i="4"/>
  <c r="E29" i="4"/>
  <c r="E27" i="4"/>
  <c r="E25" i="4"/>
  <c r="E24" i="4"/>
  <c r="E23" i="4"/>
  <c r="E22" i="4"/>
  <c r="E21" i="4"/>
  <c r="E20" i="4"/>
  <c r="E19" i="4"/>
  <c r="E18" i="4"/>
  <c r="E17" i="4"/>
  <c r="E15" i="4"/>
  <c r="E14" i="4"/>
  <c r="E10" i="4"/>
  <c r="E9" i="4"/>
  <c r="E7" i="4"/>
  <c r="E6" i="4"/>
  <c r="E5" i="4"/>
  <c r="AA949" i="3"/>
  <c r="AA948" i="3"/>
  <c r="AA919" i="3"/>
  <c r="AA918" i="3"/>
  <c r="AC888" i="3"/>
  <c r="S31" i="4" l="1"/>
  <c r="E43" i="4"/>
  <c r="AM562" i="3"/>
  <c r="Q630" i="3"/>
  <c r="T628" i="3"/>
  <c r="Q628" i="3"/>
  <c r="T627" i="3"/>
  <c r="AF627" i="3" s="1"/>
  <c r="Q627" i="3"/>
  <c r="G70" i="21" l="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C9" i="7" l="1"/>
  <c r="C5" i="7"/>
  <c r="C7" i="7"/>
  <c r="BA1042" i="3"/>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2" i="8"/>
  <c r="J12" i="8" s="1"/>
  <c r="J11" i="8"/>
  <c r="I11" i="8"/>
  <c r="J9" i="8"/>
  <c r="I9"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T54" i="4" s="1"/>
  <c r="H54" i="13" s="1"/>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I10" i="8" s="1"/>
  <c r="A11" i="8"/>
  <c r="D11" i="8"/>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F8" i="8" s="1"/>
  <c r="U832" i="3"/>
  <c r="Y832" i="3"/>
  <c r="AC832" i="3"/>
  <c r="AG832" i="3"/>
  <c r="Z902" i="3"/>
  <c r="D36" i="11" l="1"/>
  <c r="D35" i="11"/>
  <c r="D34" i="11"/>
  <c r="J10" i="8"/>
  <c r="D101" i="11"/>
  <c r="I8" i="8"/>
  <c r="J8" i="8" s="1"/>
  <c r="AE960" i="3" s="1"/>
  <c r="AE961" i="3" s="1"/>
  <c r="D25" i="11"/>
  <c r="D93" i="11"/>
  <c r="G8" i="8"/>
  <c r="AE959" i="3"/>
  <c r="AE958" i="3"/>
  <c r="G10" i="8"/>
  <c r="M958" i="3"/>
  <c r="M959" i="3"/>
  <c r="D86" i="11"/>
  <c r="D90" i="11"/>
  <c r="AH724" i="3"/>
  <c r="AH728" i="3"/>
  <c r="AH722" i="3"/>
  <c r="AH726" i="3"/>
  <c r="D94" i="11"/>
  <c r="D103" i="11"/>
  <c r="D91" i="11"/>
  <c r="D89" i="11"/>
  <c r="AH725" i="3"/>
  <c r="D87" i="11"/>
  <c r="AH727" i="3"/>
  <c r="D85" i="11"/>
  <c r="AH723" i="3"/>
  <c r="J13" i="8"/>
  <c r="D33" i="11"/>
  <c r="D32" i="11"/>
  <c r="D70" i="11"/>
  <c r="D6" i="11"/>
  <c r="D5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Y1003" i="3"/>
  <c r="I1048"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O641" i="3"/>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R44" i="21" a="1"/>
  <c r="R44" i="21" s="1"/>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M960" i="3" l="1"/>
  <c r="M961" i="3" s="1"/>
  <c r="G40" i="8"/>
  <c r="D82" i="11"/>
  <c r="J40" i="8"/>
  <c r="Z809" i="3" s="1"/>
  <c r="D105" i="11"/>
  <c r="D55" i="11"/>
  <c r="AJ621" i="20"/>
  <c r="G94" i="21"/>
  <c r="D43" i="11"/>
  <c r="B12" i="4"/>
  <c r="N195" i="23"/>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<sst xmlns="http://schemas.openxmlformats.org/spreadsheetml/2006/main" count="5004" uniqueCount="2746">
  <si>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</si>
  <si>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</si>
  <si>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</si>
  <si>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</si>
  <si>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</si>
  <si>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</si>
  <si>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</si>
  <si>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</si>
  <si>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</si>
  <si>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</si>
  <si>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</si>
  <si>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</si>
  <si>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</si>
  <si>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</si>
  <si>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</si>
  <si>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</si>
  <si>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</si>
  <si>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</si>
  <si>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</si>
  <si>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</si>
  <si>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</si>
  <si>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</si>
  <si>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</si>
  <si>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</si>
  <si>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</si>
  <si>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</si>
  <si>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</si>
  <si>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</si>
  <si>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</si>
  <si>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</si>
  <si>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</si>
  <si>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</si>
  <si>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</si>
  <si>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</si>
  <si>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</si>
  <si>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</si>
  <si>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</si>
  <si>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</si>
  <si>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</si>
  <si>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</si>
  <si>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</si>
  <si>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</si>
  <si>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</si>
  <si>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</si>
  <si>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</si>
  <si>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</si>
  <si>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</si>
  <si>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</si>
  <si>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</si>
  <si>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</si>
  <si>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</si>
  <si>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</si>
  <si>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</si>
  <si>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</si>
  <si>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</si>
  <si>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</si>
  <si>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</si>
  <si>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</si>
  <si>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</si>
  <si>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</si>
  <si>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</si>
  <si>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</si>
  <si>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</si>
  <si>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</si>
  <si>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</si>
  <si>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</si>
  <si>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</si>
  <si>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</si>
  <si>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</si>
  <si>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</si>
  <si>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</si>
  <si>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</si>
  <si>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</si>
  <si>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</si>
  <si>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</si>
  <si>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</si>
  <si>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</si>
  <si>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</si>
  <si>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</si>
  <si>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</si>
  <si>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</si>
  <si>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</si>
  <si>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</si>
  <si>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</si>
  <si>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</si>
  <si>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</si>
  <si>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</si>
  <si>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</si>
  <si>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</si>
  <si>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</si>
  <si>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</si>
  <si>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</si>
  <si>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</si>
  <si>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</si>
  <si>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</si>
  <si>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</si>
  <si>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</si>
  <si>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</si>
  <si>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</si>
  <si>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</si>
  <si>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</si>
  <si>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</si>
  <si>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</si>
  <si>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</si>
  <si>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</si>
  <si>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</si>
  <si>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</si>
  <si>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</si>
  <si>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</si>
  <si>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</si>
  <si>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</si>
  <si>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</si>
  <si>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</si>
  <si>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</si>
  <si>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</si>
  <si>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</si>
  <si>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</si>
  <si>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</si>
  <si>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</si>
  <si>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</si>
  <si>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</si>
  <si>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</si>
  <si>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</si>
  <si>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</si>
  <si>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</si>
  <si>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</si>
  <si>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</si>
  <si>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</si>
  <si>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</si>
  <si>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</si>
  <si>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</si>
  <si>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</si>
  <si>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</si>
  <si>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</si>
  <si>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</si>
  <si>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</si>
  <si>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</si>
  <si>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</si>
  <si>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</si>
  <si>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</si>
  <si>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</si>
  <si>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</si>
  <si>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</si>
  <si>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</si>
  <si>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</si>
  <si>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</si>
  <si>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</si>
  <si>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</si>
  <si>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</si>
  <si>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</si>
  <si>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</si>
  <si>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</si>
  <si>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</si>
  <si>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</si>
  <si>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</si>
  <si>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</si>
  <si>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</si>
  <si>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</si>
  <si>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</si>
  <si>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</si>
  <si>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</si>
  <si>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</si>
  <si>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</si>
  <si>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</si>
  <si>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</si>
  <si>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</si>
  <si>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</si>
  <si>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</si>
  <si>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</si>
  <si>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</si>
  <si>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</si>
  <si>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</si>
  <si>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</si>
  <si>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</si>
  <si>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</si>
  <si>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</si>
  <si>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</si>
  <si>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</si>
  <si>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</si>
  <si>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</si>
  <si>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</si>
  <si>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</si>
  <si>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</si>
  <si>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</si>
  <si>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</si>
  <si>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</si>
  <si>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</si>
  <si>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</si>
  <si>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</si>
  <si>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</si>
  <si>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</si>
  <si>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</si>
  <si>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</si>
  <si>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</si>
  <si>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</si>
  <si>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</si>
  <si>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</si>
  <si>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</si>
  <si>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</si>
  <si>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</si>
  <si>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</si>
  <si>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</si>
  <si>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</si>
  <si>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</si>
  <si>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</si>
  <si>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</si>
  <si>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</si>
  <si>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</si>
  <si>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</si>
  <si>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</si>
  <si>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</si>
  <si>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</si>
  <si>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</si>
  <si>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</si>
  <si>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</si>
  <si>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</si>
  <si>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</si>
  <si>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</si>
  <si>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</si>
  <si>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</si>
  <si>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</si>
  <si>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</si>
  <si>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</si>
  <si>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</si>
  <si>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</si>
  <si>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</si>
  <si>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</si>
  <si>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</si>
  <si>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</si>
  <si>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</si>
  <si>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</si>
  <si>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</si>
  <si>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</si>
  <si>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</si>
  <si>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</si>
  <si>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</si>
  <si>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</si>
  <si>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</si>
  <si>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</si>
  <si>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</si>
  <si>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</si>
  <si>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</si>
  <si>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</si>
  <si>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</si>
  <si>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</si>
  <si>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</si>
  <si>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</si>
  <si>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</si>
  <si>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</si>
  <si>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</si>
  <si>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</si>
  <si>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</si>
  <si>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</si>
  <si>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</si>
  <si>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</si>
  <si>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</si>
  <si>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</si>
  <si>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</si>
  <si>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</si>
  <si>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</si>
  <si>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</si>
  <si>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</si>
  <si>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</si>
  <si>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</si>
  <si>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</si>
  <si>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</si>
  <si>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</si>
  <si>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</si>
  <si>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</si>
  <si>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</si>
  <si>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</si>
  <si>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</si>
  <si>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</si>
  <si>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</si>
  <si>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</si>
  <si>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</si>
  <si>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</si>
  <si>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</si>
  <si>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</si>
  <si>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</si>
  <si>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</si>
  <si>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</si>
  <si>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</si>
  <si>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</si>
  <si>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</si>
  <si>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</si>
  <si>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</si>
  <si>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</si>
  <si>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</si>
  <si>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</si>
  <si>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</si>
  <si>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</si>
  <si>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</si>
  <si>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</si>
  <si>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</si>
  <si>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</si>
  <si>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</si>
  <si>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</si>
  <si>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</si>
  <si>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</si>
  <si>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</si>
  <si>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</si>
  <si>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</si>
  <si>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</si>
  <si>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</si>
  <si>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</si>
  <si>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</si>
  <si>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</si>
  <si>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</si>
  <si>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</si>
  <si>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</si>
  <si>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</si>
  <si>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</si>
  <si>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</si>
  <si>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</si>
  <si>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</si>
  <si>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</si>
  <si>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</si>
  <si>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</si>
  <si>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</si>
  <si>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</si>
  <si>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</si>
  <si>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</si>
  <si>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</si>
  <si>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</si>
  <si>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</si>
  <si>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</si>
  <si>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</si>
  <si>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</si>
  <si>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</si>
  <si>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</si>
  <si>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</si>
  <si>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</si>
  <si>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</si>
  <si>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</si>
  <si>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</si>
  <si>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</si>
  <si>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</si>
  <si>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</si>
  <si>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</si>
  <si>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</si>
  <si>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</si>
  <si>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</si>
  <si>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</si>
  <si>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</si>
  <si>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</si>
  <si>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</si>
  <si>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</si>
  <si>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</si>
  <si>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</si>
  <si>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</si>
  <si>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</si>
  <si>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</si>
  <si>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</si>
  <si>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</si>
  <si>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</si>
  <si>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</si>
  <si>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</si>
  <si>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</si>
  <si>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</si>
  <si>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</si>
  <si>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</si>
  <si>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</si>
  <si>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</si>
  <si>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</si>
  <si>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</si>
  <si>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</si>
  <si>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</si>
  <si>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</si>
  <si>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</si>
  <si>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</si>
  <si>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</si>
  <si>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</si>
  <si>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</si>
  <si>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</si>
  <si>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</si>
  <si>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</si>
  <si>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</si>
  <si>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</si>
  <si>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</si>
  <si>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</si>
  <si>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</si>
  <si>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</si>
  <si>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</si>
  <si>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</si>
  <si>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</si>
  <si>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</si>
  <si>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</si>
  <si>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</si>
  <si>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</si>
  <si>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</si>
  <si>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</si>
  <si>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</si>
  <si>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</si>
  <si>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</si>
  <si>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</si>
  <si>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</si>
  <si>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</si>
  <si>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</si>
  <si>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</si>
  <si>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</si>
  <si>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</si>
  <si>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</si>
  <si>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</si>
  <si>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</si>
  <si>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</si>
  <si>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</si>
  <si>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</si>
  <si>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</si>
  <si>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</si>
  <si>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</si>
  <si>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</si>
  <si>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</si>
  <si>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</si>
  <si>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</si>
  <si>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</si>
  <si>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</si>
  <si>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</si>
  <si>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</si>
  <si>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</si>
  <si>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</si>
  <si>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</si>
  <si>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</si>
  <si>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</si>
  <si>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</si>
  <si>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</si>
  <si>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</si>
  <si>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</si>
  <si>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</si>
  <si>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</si>
  <si>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</si>
  <si>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</si>
  <si>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</si>
  <si>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</si>
  <si>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</si>
  <si>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</si>
  <si>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</si>
  <si>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</si>
  <si>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</si>
  <si>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</si>
  <si>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</si>
  <si>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</si>
  <si>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</si>
  <si>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</si>
  <si>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</si>
  <si>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</si>
  <si>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</si>
  <si>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</si>
  <si>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</si>
  <si>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</si>
  <si>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</si>
  <si>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</si>
  <si>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</si>
  <si>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</si>
  <si>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</si>
  <si>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</si>
  <si>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</si>
  <si>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</si>
  <si>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</si>
  <si>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</si>
  <si>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</si>
  <si>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</si>
  <si>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</si>
  <si>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</si>
  <si>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</si>
  <si>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</si>
  <si>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</si>
  <si>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</si>
  <si>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</si>
  <si>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</si>
  <si>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</si>
  <si>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</si>
  <si>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</si>
  <si>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</si>
  <si>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</si>
  <si>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</si>
  <si>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</si>
  <si>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</si>
  <si>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</si>
  <si>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</si>
  <si>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</si>
  <si>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</si>
  <si>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</si>
  <si>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</si>
  <si>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</si>
  <si>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</si>
  <si>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</si>
  <si>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</si>
  <si>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</si>
  <si>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</si>
  <si>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</si>
  <si>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</si>
  <si>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</si>
  <si>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</si>
  <si>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</si>
  <si>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</si>
  <si>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</si>
  <si>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</si>
  <si>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</si>
  <si>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</si>
  <si>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</si>
  <si>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</si>
  <si>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</si>
  <si>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</si>
  <si>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</si>
  <si>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</si>
  <si>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</si>
  <si>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</si>
  <si>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</si>
  <si>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</si>
  <si>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</si>
  <si>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</si>
  <si>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</si>
  <si>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</si>
  <si>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</si>
  <si>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</si>
  <si>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</si>
  <si>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</si>
  <si>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</si>
  <si>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</si>
  <si>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</si>
  <si>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</si>
  <si>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</si>
  <si>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</si>
  <si>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</si>
  <si>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</si>
  <si>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</si>
  <si>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</si>
  <si>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</si>
  <si>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</si>
  <si>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</si>
  <si>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</si>
  <si>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</si>
  <si>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</si>
  <si>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</si>
  <si>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</si>
  <si>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</si>
  <si>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</si>
  <si>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</si>
  <si>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</si>
  <si>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</si>
  <si>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</si>
  <si>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</si>
  <si>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</si>
  <si>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</si>
  <si>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</si>
  <si>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</si>
  <si>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</si>
  <si>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</si>
  <si>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</si>
  <si>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</si>
  <si>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</si>
  <si>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</si>
  <si>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</si>
  <si>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</si>
  <si>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</si>
  <si>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</si>
  <si>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</si>
  <si>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</si>
  <si>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</si>
  <si>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</si>
  <si>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</si>
  <si>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</si>
  <si>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</si>
  <si>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</si>
  <si>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</si>
  <si>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</si>
  <si>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</si>
  <si>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</si>
  <si>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</si>
  <si>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</si>
  <si>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</si>
  <si>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</si>
  <si>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</si>
  <si>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</si>
  <si>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</si>
  <si>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</si>
  <si>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</si>
  <si>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</si>
  <si>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</si>
  <si>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</si>
  <si>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</si>
  <si>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</si>
  <si>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</si>
  <si>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</si>
  <si>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</si>
  <si>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</si>
  <si>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</si>
  <si>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</si>
  <si>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</si>
  <si>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</si>
  <si>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</si>
  <si>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</si>
  <si>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</si>
  <si>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</si>
  <si>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</si>
  <si>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</si>
  <si>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</si>
  <si>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</si>
  <si>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</si>
  <si>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</si>
  <si>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</si>
  <si>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</si>
  <si>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</si>
  <si>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</si>
  <si>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</si>
  <si>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</si>
  <si>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</si>
  <si>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</si>
  <si>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</si>
  <si>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</si>
  <si>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</si>
  <si>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</si>
  <si>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</si>
  <si>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</si>
  <si>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</si>
  <si>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</si>
  <si>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</si>
  <si>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</si>
  <si>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</si>
  <si>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</si>
  <si>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</si>
  <si>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</si>
  <si>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</si>
  <si>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</si>
  <si>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</si>
  <si>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</si>
  <si>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</si>
  <si>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</si>
  <si>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</si>
  <si>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</si>
  <si>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</si>
  <si>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</si>
  <si>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</si>
  <si>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</si>
  <si>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</si>
  <si>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</si>
  <si>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</si>
  <si>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</si>
  <si>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</si>
  <si>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</si>
  <si>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</si>
  <si>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</si>
  <si>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</si>
  <si>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</si>
  <si>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</si>
  <si>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</si>
  <si>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</si>
  <si>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</si>
  <si>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</si>
  <si>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</si>
  <si>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</si>
  <si>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</si>
  <si>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</si>
  <si>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</si>
  <si>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</si>
  <si>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</si>
  <si>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</si>
  <si>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</si>
  <si>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</si>
  <si>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</si>
  <si>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</si>
  <si>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</si>
  <si>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</si>
  <si>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</si>
  <si>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</si>
  <si>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</si>
  <si>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</si>
  <si>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</si>
  <si>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</si>
  <si>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</si>
  <si>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</si>
  <si>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</si>
  <si>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</si>
  <si>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</si>
  <si>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</si>
  <si>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</si>
  <si>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</si>
  <si>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</si>
  <si>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</si>
  <si>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</si>
  <si>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</si>
  <si>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</si>
  <si>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</si>
  <si>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</si>
  <si>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</si>
  <si>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</si>
  <si>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</si>
  <si>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</si>
  <si>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</si>
  <si>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</si>
  <si>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</si>
  <si>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</si>
  <si>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</si>
  <si>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</si>
  <si>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</si>
  <si>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</si>
  <si>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</si>
  <si>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</si>
  <si>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</si>
  <si>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</si>
  <si>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</si>
  <si>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</si>
  <si>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</si>
  <si>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</si>
  <si>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</si>
  <si>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</si>
  <si>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</si>
  <si>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</si>
  <si>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</si>
  <si>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</si>
  <si>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</si>
  <si>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</si>
  <si>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</si>
  <si>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</si>
  <si>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</si>
  <si>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</si>
  <si>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</si>
  <si>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</si>
  <si>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</si>
  <si>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</si>
  <si>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</si>
  <si>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</si>
  <si>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</si>
  <si>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</si>
  <si>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</si>
  <si>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</si>
  <si>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</si>
  <si>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</si>
  <si>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</si>
  <si>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</si>
  <si>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</si>
  <si>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</si>
  <si>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</si>
  <si>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</si>
  <si>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</si>
  <si>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</si>
  <si>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</si>
  <si>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</si>
  <si>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</si>
  <si>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</si>
  <si>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</si>
  <si>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</si>
  <si>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</si>
  <si>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</si>
  <si>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</si>
  <si>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</si>
  <si>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</si>
  <si>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</si>
  <si>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</si>
  <si>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</si>
  <si>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</si>
  <si>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</si>
  <si>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</si>
  <si>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</si>
  <si>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</si>
  <si>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</si>
  <si>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</si>
  <si>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</si>
  <si>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</si>
  <si>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</si>
  <si>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</si>
  <si>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</si>
  <si>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</si>
  <si>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</si>
  <si>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</si>
  <si>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</si>
  <si>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</si>
  <si>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</si>
  <si>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</si>
  <si>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</si>
  <si>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</si>
  <si>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</si>
  <si>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</si>
  <si>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</si>
  <si>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</si>
  <si>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</si>
  <si>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</si>
  <si>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</si>
  <si>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</si>
  <si>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</si>
  <si>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</si>
  <si>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</si>
  <si>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</si>
  <si>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</si>
  <si>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</si>
  <si>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</si>
  <si>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</si>
  <si>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</si>
  <si>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</si>
  <si>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</si>
  <si>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</si>
  <si>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</si>
  <si>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</si>
  <si>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</si>
  <si>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</si>
  <si>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</si>
  <si>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</si>
  <si>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</si>
  <si>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</si>
  <si>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</si>
  <si>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</si>
  <si>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</si>
  <si>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</si>
  <si>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</si>
  <si>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</si>
  <si>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</si>
  <si>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</si>
  <si>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</si>
  <si>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</si>
  <si>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</si>
  <si>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</si>
  <si>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</si>
  <si>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</si>
  <si>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</si>
  <si>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</si>
  <si>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</si>
  <si>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</si>
  <si>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</si>
  <si>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</si>
  <si>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</si>
  <si>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</si>
  <si>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</si>
  <si>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</si>
  <si>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</si>
  <si>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</si>
  <si>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</si>
  <si>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</si>
  <si>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</si>
  <si>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</si>
  <si>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</si>
  <si>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</si>
  <si>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</si>
  <si>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</si>
  <si>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</si>
  <si>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</si>
  <si>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</si>
  <si>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</si>
  <si>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</si>
  <si>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</si>
  <si>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</si>
  <si>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</si>
  <si>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</si>
  <si>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</si>
  <si>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</si>
  <si>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</si>
  <si>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</si>
  <si>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</si>
  <si>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</si>
  <si>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</si>
  <si>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</si>
  <si>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</si>
  <si>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</si>
  <si>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</si>
  <si>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</si>
  <si>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</si>
  <si>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</si>
  <si>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</si>
  <si>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</si>
  <si>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</si>
  <si>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</si>
  <si>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</si>
  <si>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</si>
  <si>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</si>
  <si>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</si>
  <si>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</si>
  <si>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</si>
  <si>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</si>
  <si>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</si>
  <si>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</si>
  <si>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</si>
  <si>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</si>
  <si>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</si>
  <si>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</si>
  <si>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</si>
  <si>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</si>
  <si>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</si>
  <si>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</si>
  <si>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</si>
  <si>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</si>
  <si>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</si>
  <si>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</si>
  <si>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</si>
  <si>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</si>
  <si>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</si>
  <si>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</si>
  <si>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</si>
  <si>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</si>
  <si>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</si>
  <si>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</si>
  <si>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</si>
  <si>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</si>
  <si>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</si>
  <si>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</si>
  <si>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</si>
  <si>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</si>
  <si>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</si>
  <si>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</si>
  <si>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</si>
  <si>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</si>
  <si>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</si>
  <si>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</si>
  <si>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</si>
  <si>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</si>
  <si>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</si>
  <si>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</si>
  <si>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</si>
  <si>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</si>
  <si>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</si>
  <si>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</si>
  <si>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</si>
  <si>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</si>
  <si>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</si>
  <si>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</si>
  <si>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</si>
  <si>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</si>
  <si>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</si>
  <si>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</si>
  <si>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</si>
  <si>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</si>
  <si>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</si>
  <si>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</si>
  <si>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</si>
  <si>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</si>
  <si>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</si>
  <si>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</si>
  <si>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</si>
  <si>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</si>
  <si>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</si>
  <si>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</si>
  <si>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</si>
  <si>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</si>
  <si>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</si>
  <si>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</si>
  <si>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</si>
  <si>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</si>
  <si>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</si>
  <si>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</si>
  <si>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</si>
  <si>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</si>
  <si>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</si>
  <si>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</si>
  <si>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</si>
  <si>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</si>
  <si>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</si>
  <si>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</si>
  <si>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</si>
  <si>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</si>
  <si>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</si>
  <si>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</si>
  <si>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</si>
  <si>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</si>
  <si>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</si>
  <si>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</si>
  <si>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</si>
  <si>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</si>
  <si>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</si>
  <si>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</si>
  <si>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</si>
  <si>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</si>
  <si>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</si>
  <si>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</si>
  <si>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</si>
  <si>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</si>
  <si>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</si>
  <si>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</si>
  <si>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</si>
  <si>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</si>
  <si>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</si>
  <si>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</si>
  <si>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</si>
  <si>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</si>
  <si>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</si>
  <si>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</si>
  <si>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</si>
  <si>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</si>
  <si>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</si>
  <si>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</si>
  <si>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</si>
  <si>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</si>
  <si>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</si>
  <si>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</si>
  <si>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</si>
  <si>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</si>
  <si>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</si>
  <si>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</si>
  <si>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</si>
  <si>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</si>
  <si>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</si>
  <si>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</si>
  <si>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</si>
  <si>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</si>
  <si>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</si>
  <si>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</si>
  <si>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</si>
  <si>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</si>
  <si>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</si>
  <si>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</si>
  <si>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</si>
  <si>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</si>
  <si>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</si>
  <si>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</si>
  <si>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</si>
  <si>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</si>
  <si>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</si>
  <si>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</si>
  <si>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</si>
  <si>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</si>
  <si>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</si>
  <si>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</si>
  <si>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</si>
  <si>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</si>
  <si>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</si>
  <si>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</si>
  <si>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</si>
  <si>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</si>
  <si>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</si>
  <si>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</si>
  <si>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</si>
  <si>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</si>
  <si>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</si>
  <si>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</si>
  <si>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</si>
  <si>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</si>
  <si>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</si>
  <si>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</si>
  <si>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</si>
  <si>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</si>
  <si>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</si>
  <si>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</si>
  <si>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</si>
  <si>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</si>
  <si>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</si>
  <si>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</si>
  <si>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</si>
  <si>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</si>
  <si>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</si>
  <si>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</si>
  <si>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</si>
  <si>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</si>
  <si>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</si>
  <si>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</si>
  <si>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</si>
  <si>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</si>
  <si>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</si>
  <si>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</si>
  <si>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</si>
  <si>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</si>
  <si>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</si>
  <si>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</si>
  <si>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</si>
  <si>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</si>
  <si>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</si>
  <si>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</si>
  <si>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</si>
  <si>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</si>
  <si>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</si>
  <si>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</si>
  <si>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</si>
  <si>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</si>
  <si>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</si>
  <si>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</si>
  <si>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</si>
  <si>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</si>
  <si>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</si>
  <si>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</si>
  <si>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</si>
  <si>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</si>
  <si>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</si>
  <si>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</si>
  <si>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</si>
  <si>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</si>
  <si>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</si>
  <si>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</si>
  <si>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</si>
  <si>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</si>
  <si>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</si>
  <si>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</si>
  <si>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</si>
  <si>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</si>
  <si>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</si>
  <si>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</si>
  <si>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</si>
  <si>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</si>
  <si>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</si>
  <si>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</si>
  <si>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</si>
  <si>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</si>
  <si>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</si>
  <si>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</si>
  <si>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</si>
  <si>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</si>
  <si>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</si>
  <si>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</si>
  <si>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</si>
  <si>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</si>
  <si>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</si>
  <si>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</si>
  <si>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</si>
  <si>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</si>
  <si>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</si>
  <si>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</si>
  <si>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</si>
  <si>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</si>
  <si>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</si>
  <si>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</si>
  <si>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</si>
  <si>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</si>
  <si>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</si>
  <si>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</si>
  <si>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</si>
  <si>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</si>
  <si>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</si>
  <si>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</si>
  <si>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</si>
  <si>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</si>
  <si>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</si>
  <si>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</si>
  <si>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</si>
  <si>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</si>
  <si>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</si>
  <si>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</si>
  <si>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</si>
  <si>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</si>
  <si>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</si>
  <si>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</si>
  <si>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</si>
  <si>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</si>
  <si>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</si>
  <si>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</si>
  <si>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</si>
  <si>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</si>
  <si>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</si>
  <si>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</si>
  <si>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</si>
  <si>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</si>
  <si>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</si>
  <si>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</si>
  <si>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</si>
  <si>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</si>
  <si>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</si>
  <si>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</si>
  <si>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</si>
  <si>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</si>
  <si>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</si>
  <si>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</si>
  <si>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</si>
  <si>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</si>
  <si>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</si>
  <si>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</si>
  <si>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</si>
  <si>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</si>
  <si>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</si>
  <si>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</si>
  <si>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</si>
  <si>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</si>
  <si>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</si>
  <si>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</si>
  <si>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</si>
  <si>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</si>
  <si>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</si>
  <si>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</si>
  <si>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</si>
  <si>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</si>
  <si>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</si>
  <si>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</si>
  <si>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</si>
  <si>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</si>
  <si>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</si>
  <si>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</si>
  <si>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</si>
  <si>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</si>
  <si>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</si>
  <si>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</si>
  <si>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</si>
  <si>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</si>
  <si>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</si>
  <si>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</si>
  <si>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</si>
  <si>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</si>
  <si>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</si>
  <si>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</si>
  <si>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</si>
  <si>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</si>
  <si>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</si>
  <si>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</si>
  <si>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</si>
  <si>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</si>
  <si>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</si>
  <si>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</si>
  <si>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</si>
  <si>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</si>
  <si>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</si>
  <si>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</si>
  <si>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</si>
  <si>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</si>
  <si>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</si>
  <si>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</si>
  <si>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</si>
  <si>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</si>
  <si>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</si>
  <si>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</si>
  <si>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</si>
  <si>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</si>
  <si>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</si>
  <si>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</si>
  <si>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</si>
  <si>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</si>
  <si>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</si>
  <si>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</si>
  <si>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</si>
  <si>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</si>
  <si>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</si>
  <si>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</si>
  <si>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</si>
  <si>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</si>
  <si>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</si>
  <si>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</si>
  <si>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</si>
  <si>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</si>
  <si>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</si>
  <si>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</si>
  <si>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</si>
  <si>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</si>
  <si>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</si>
  <si>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</si>
  <si>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</si>
  <si>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</si>
  <si>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</si>
  <si>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</si>
  <si>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</si>
  <si>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</si>
  <si>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</si>
  <si>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</si>
  <si>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</si>
  <si>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</si>
  <si>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</si>
  <si>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</si>
  <si>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</si>
  <si>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</si>
  <si>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</si>
  <si>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</si>
  <si>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</si>
  <si>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</si>
  <si>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</si>
  <si>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</si>
  <si>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</si>
  <si>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</si>
  <si>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</si>
  <si>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</si>
  <si>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</si>
  <si>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</si>
  <si>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</si>
  <si>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</si>
  <si>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</si>
  <si>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</si>
  <si>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</si>
  <si>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</si>
  <si>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</si>
  <si>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</si>
  <si>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</si>
  <si>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</si>
  <si>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</si>
  <si>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</si>
  <si>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</si>
  <si>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</si>
  <si>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</si>
  <si>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</si>
  <si>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</si>
  <si>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</si>
  <si>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</si>
  <si>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</si>
  <si>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</si>
  <si>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</si>
  <si>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</si>
  <si>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</si>
  <si>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</si>
  <si>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</si>
  <si>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</si>
  <si>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</si>
  <si>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</si>
  <si>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</si>
  <si>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</si>
  <si>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</si>
  <si>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</si>
  <si>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</si>
  <si>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</si>
  <si>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</si>
  <si>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</si>
  <si>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</si>
  <si>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</si>
  <si>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</si>
  <si>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</si>
  <si>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</si>
  <si>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</si>
  <si>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</si>
  <si>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</si>
  <si>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</si>
  <si>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</si>
  <si>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</si>
  <si>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</si>
  <si>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</si>
  <si>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</si>
  <si>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</si>
  <si>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</si>
  <si>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</si>
  <si>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</si>
  <si>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</si>
  <si>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</si>
  <si>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</si>
  <si>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</si>
  <si>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</si>
  <si>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</si>
  <si>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</si>
  <si>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</si>
  <si>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</si>
  <si>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</si>
  <si>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</si>
  <si>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</si>
  <si>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</si>
  <si>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</si>
  <si>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</si>
  <si>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</si>
  <si>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</si>
  <si>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</si>
  <si>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</si>
  <si>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</si>
  <si>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</si>
  <si>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</si>
  <si>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</si>
  <si>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</si>
  <si>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</si>
  <si>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</si>
  <si>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</si>
  <si>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</si>
  <si>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</si>
  <si>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</si>
  <si>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</si>
  <si>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</si>
  <si>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</si>
  <si>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</si>
  <si>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</si>
  <si>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</si>
  <si>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</si>
  <si>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</si>
  <si>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</si>
  <si>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</si>
  <si>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</si>
  <si>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</si>
  <si>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</si>
  <si>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</si>
  <si>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</si>
  <si>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</si>
  <si>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</si>
  <si>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</si>
  <si>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</si>
  <si>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</si>
  <si>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</si>
  <si>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</si>
  <si>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</si>
  <si>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</si>
  <si>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</si>
  <si>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</si>
  <si>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</si>
  <si>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</si>
  <si>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</si>
  <si>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</si>
  <si>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</si>
  <si>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</si>
  <si>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</si>
  <si>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</si>
  <si>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</si>
  <si>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</si>
  <si>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</si>
  <si>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</si>
  <si>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</si>
  <si>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</si>
  <si>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</si>
  <si>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</si>
  <si>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</si>
  <si>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</si>
  <si>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</si>
  <si>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</si>
  <si>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</si>
  <si>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</si>
  <si>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</si>
  <si>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</si>
  <si>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</si>
  <si>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</si>
  <si>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</si>
  <si>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</si>
  <si>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</si>
  <si>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</si>
  <si>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</si>
  <si>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</si>
  <si>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</si>
  <si>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</si>
  <si>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</si>
  <si>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</si>
  <si>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</si>
  <si>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</si>
  <si>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</si>
  <si>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</si>
  <si>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</si>
  <si>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</si>
  <si>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</si>
  <si>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</si>
  <si>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</si>
  <si>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</si>
  <si>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</si>
  <si>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</si>
  <si>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</si>
  <si>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</si>
  <si>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</si>
  <si>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</si>
  <si>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</si>
  <si>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</si>
  <si>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</si>
  <si>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</si>
  <si>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</si>
  <si>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</si>
  <si>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</si>
  <si>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</si>
  <si>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</si>
  <si>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</si>
  <si>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</si>
  <si>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</si>
  <si>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</si>
  <si>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</si>
  <si>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</si>
  <si>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</si>
  <si>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</si>
  <si>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</si>
  <si>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</si>
  <si>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</si>
  <si>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</si>
  <si>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</si>
  <si>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</si>
  <si>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</si>
  <si>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</si>
  <si>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</si>
  <si>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</si>
  <si>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</si>
  <si>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</si>
  <si>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</si>
  <si>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</si>
  <si>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</si>
  <si>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</si>
  <si>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</si>
  <si>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</si>
  <si>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</si>
  <si>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</si>
  <si>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</si>
  <si>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</si>
  <si>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</si>
  <si>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</si>
  <si>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</si>
  <si>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</si>
  <si>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</si>
  <si>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</si>
  <si>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</si>
  <si>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</si>
  <si>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</si>
  <si>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</si>
  <si>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</si>
  <si>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</si>
  <si>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</si>
  <si>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</si>
  <si>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</si>
  <si>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</si>
  <si>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</si>
  <si>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</si>
  <si>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</si>
  <si>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</si>
  <si>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</si>
  <si>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</si>
  <si>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</si>
  <si>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</si>
  <si>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</si>
  <si>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</si>
  <si>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</si>
  <si>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</si>
  <si>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</si>
  <si>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</si>
  <si>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</si>
  <si>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</si>
  <si>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</si>
  <si>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</si>
  <si>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</si>
  <si>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</si>
  <si>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</si>
  <si>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</si>
  <si>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</si>
  <si>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</si>
  <si>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</si>
  <si>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</si>
  <si>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</si>
  <si>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</si>
  <si>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</si>
  <si>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</si>
  <si>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</si>
  <si>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</si>
  <si>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</si>
  <si>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</si>
  <si>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</si>
  <si>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</si>
  <si>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</si>
  <si>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</si>
  <si>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</si>
  <si>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</si>
  <si>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</si>
  <si>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</si>
  <si>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</si>
  <si>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</si>
  <si>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</si>
  <si>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</si>
  <si>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</si>
  <si>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</si>
  <si>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</si>
  <si>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</si>
  <si>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</si>
  <si>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</si>
  <si>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</si>
  <si>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</si>
  <si>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</si>
  <si>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</si>
  <si>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</si>
  <si>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</si>
  <si>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</si>
  <si>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</si>
  <si>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</si>
  <si>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</si>
  <si>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</si>
  <si>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</si>
  <si>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</si>
  <si>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</si>
  <si>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</si>
  <si>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</si>
  <si>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</si>
  <si>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</si>
  <si>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</si>
  <si>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</si>
  <si>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</si>
  <si>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</si>
  <si>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</si>
  <si>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</si>
  <si>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</si>
  <si>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</si>
  <si>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</si>
  <si>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</si>
  <si>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</si>
  <si>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</si>
  <si>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</si>
  <si>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</si>
  <si>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</si>
  <si>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</si>
  <si>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</si>
  <si>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</si>
  <si>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</si>
  <si>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</si>
  <si>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</si>
  <si>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</si>
  <si>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</si>
  <si>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</si>
  <si>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</si>
  <si>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</si>
  <si>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</si>
  <si>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</si>
  <si>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</si>
  <si>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</si>
  <si>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</si>
  <si>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</si>
  <si>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</si>
  <si>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</si>
  <si>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</si>
  <si>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</si>
  <si>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</si>
  <si>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</si>
  <si>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</si>
  <si>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</si>
  <si>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</si>
  <si>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</si>
  <si>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</si>
  <si>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</si>
  <si>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</si>
  <si>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</si>
  <si>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</si>
  <si>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</si>
  <si>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</si>
  <si>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</si>
  <si>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</si>
  <si>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</si>
  <si>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</si>
  <si>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</si>
  <si>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</si>
  <si>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</si>
  <si>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</si>
  <si>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</si>
  <si>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</si>
  <si>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</si>
  <si>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</si>
  <si>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</si>
  <si>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</si>
  <si>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</si>
  <si>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</si>
  <si>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</si>
  <si>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</si>
  <si>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</si>
  <si>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</si>
  <si>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</si>
  <si>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</si>
  <si>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</si>
  <si>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</si>
  <si>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</si>
  <si>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</si>
  <si>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</si>
  <si>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</si>
  <si>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</si>
  <si>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</si>
  <si>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</si>
  <si>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</si>
  <si>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</si>
  <si>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</si>
  <si>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</si>
  <si>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</si>
  <si>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</si>
  <si>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</si>
  <si>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</si>
  <si>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</si>
  <si>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</si>
  <si>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</si>
  <si>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</si>
  <si>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</si>
  <si>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</si>
  <si>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</si>
  <si>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</si>
  <si>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</si>
  <si>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</si>
  <si>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</si>
  <si>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</si>
  <si>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</si>
  <si>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</si>
  <si>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</si>
  <si>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</si>
  <si>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</si>
  <si>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</si>
  <si>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</si>
  <si>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</si>
  <si>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</si>
  <si>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</si>
  <si>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</si>
  <si>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</si>
  <si>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</si>
  <si>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</si>
  <si>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</si>
  <si>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</si>
  <si>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</si>
  <si>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</si>
  <si>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</si>
  <si>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</si>
  <si>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</si>
  <si>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</si>
  <si>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</si>
  <si>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</si>
  <si>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</si>
  <si>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</si>
  <si>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</si>
  <si>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</si>
  <si>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</si>
  <si>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</si>
  <si>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</si>
  <si>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</si>
  <si>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</si>
  <si>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</si>
  <si>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</si>
  <si>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</si>
  <si>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</si>
  <si>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</si>
  <si>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</si>
  <si>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</si>
  <si>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</si>
  <si>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</si>
  <si>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</si>
  <si>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</si>
  <si>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</si>
  <si>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</si>
  <si>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</si>
  <si>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</si>
  <si>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</si>
  <si>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</si>
  <si>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</si>
  <si>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</si>
  <si>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</si>
  <si>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</si>
  <si>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</si>
  <si>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</si>
  <si>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</si>
  <si>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</si>
  <si>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</si>
  <si>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</si>
  <si>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</si>
  <si>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</si>
  <si>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</si>
  <si>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</si>
  <si>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</si>
  <si>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</si>
  <si>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</si>
  <si>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</si>
  <si>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</si>
  <si>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</si>
  <si>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</si>
  <si>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</si>
  <si>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</si>
  <si>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</si>
  <si>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</si>
  <si>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</si>
  <si>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</si>
  <si>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</si>
  <si>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</si>
  <si>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</si>
  <si>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</si>
  <si>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</si>
  <si>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</si>
  <si>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</si>
  <si>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</si>
  <si>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</si>
  <si>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</si>
  <si>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</si>
  <si>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</si>
  <si>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</si>
  <si>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</si>
  <si>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</si>
  <si>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</si>
  <si>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</si>
  <si>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</si>
  <si>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</si>
  <si>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</si>
  <si>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</si>
  <si>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</si>
  <si>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</si>
  <si>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</si>
  <si>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</si>
  <si>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</si>
  <si>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</si>
  <si>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</si>
  <si>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</si>
  <si>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</si>
  <si>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</si>
  <si>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</si>
  <si>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</si>
  <si>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</si>
  <si>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</si>
  <si>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</si>
  <si>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</si>
  <si>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</si>
  <si>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</si>
  <si>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</si>
  <si>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</si>
  <si>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</si>
  <si>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</si>
  <si>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</si>
  <si>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</si>
  <si>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</si>
  <si>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</si>
  <si>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</si>
  <si>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</si>
  <si>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</si>
  <si>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</si>
  <si>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</si>
  <si>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</si>
  <si>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</si>
  <si>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</si>
  <si>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</si>
  <si>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</si>
  <si>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</si>
  <si>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</si>
  <si>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</si>
  <si>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</si>
  <si>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</si>
  <si>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</si>
  <si>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</si>
  <si>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</si>
  <si>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</si>
  <si>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</si>
  <si>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</si>
  <si>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</si>
  <si>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</si>
  <si>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</si>
  <si>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</si>
  <si>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</si>
  <si>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</si>
  <si>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</si>
  <si>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</si>
  <si>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</si>
  <si>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</si>
  <si>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</si>
  <si>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</si>
  <si>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</si>
  <si>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</si>
  <si>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</si>
  <si>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</si>
  <si>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</si>
  <si>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</si>
  <si>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</si>
  <si>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</si>
  <si>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</si>
  <si>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</si>
  <si>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</si>
  <si>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</si>
  <si>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</si>
  <si>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</si>
  <si>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</si>
  <si>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</si>
  <si>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</si>
  <si>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</si>
  <si>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</si>
  <si>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</si>
  <si>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</si>
  <si>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</si>
  <si>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</si>
  <si>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</si>
  <si>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</si>
  <si>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</si>
  <si>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</si>
  <si>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</si>
  <si>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</si>
  <si>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</si>
  <si>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</si>
  <si>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</si>
  <si>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</si>
  <si>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</si>
  <si>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</si>
  <si>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</si>
  <si>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</si>
  <si>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</si>
  <si>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</si>
  <si>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</si>
  <si>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</si>
  <si>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</si>
  <si>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</si>
  <si>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</si>
  <si>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</si>
  <si>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</si>
  <si>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</si>
  <si>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</si>
  <si>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</si>
  <si>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</si>
  <si>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</si>
  <si>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</si>
  <si>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</si>
  <si>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</si>
  <si>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</si>
  <si>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</si>
  <si>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</si>
  <si>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</si>
  <si>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</si>
  <si>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</si>
  <si>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</si>
  <si>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</si>
  <si>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</si>
  <si>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</si>
  <si>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</si>
  <si>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</si>
  <si>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</si>
  <si>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</si>
  <si>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</si>
  <si>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</si>
  <si>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</si>
  <si>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</si>
  <si>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</si>
  <si>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</si>
  <si>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</si>
  <si>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</si>
  <si>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</si>
  <si>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</si>
  <si>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</si>
  <si>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</si>
  <si>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</si>
  <si>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</si>
  <si>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</si>
  <si>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</si>
  <si>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</si>
  <si>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</si>
  <si>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</si>
  <si>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</si>
  <si>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</si>
  <si>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</si>
  <si>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</si>
  <si>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</si>
  <si>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</si>
  <si>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</si>
  <si>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</si>
  <si>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</si>
  <si>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</si>
  <si>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</si>
  <si>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</si>
  <si>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</si>
  <si>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</si>
  <si>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</si>
  <si>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</si>
  <si>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</si>
  <si>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</si>
  <si>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</si>
  <si>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</si>
  <si>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</si>
  <si>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</si>
  <si>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</si>
  <si>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</si>
  <si>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</si>
  <si>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</si>
  <si>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</si>
  <si>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</si>
  <si>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</si>
  <si>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</si>
  <si>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</si>
  <si>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</si>
  <si>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</si>
  <si>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</si>
  <si>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</si>
  <si>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</si>
  <si>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</si>
  <si>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</si>
  <si>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</si>
  <si>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</si>
  <si>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</si>
  <si>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</si>
  <si>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</si>
  <si>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</si>
  <si>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</si>
  <si>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</si>
  <si>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</si>
  <si>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</si>
  <si>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</si>
  <si>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</si>
  <si>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</si>
  <si>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</si>
  <si>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</si>
  <si>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</si>
  <si>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</si>
  <si>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</si>
  <si>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</si>
  <si>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</si>
  <si>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</si>
  <si>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</si>
  <si>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</si>
  <si>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</si>
  <si>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</si>
  <si>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</si>
  <si>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</si>
  <si>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</si>
  <si>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</si>
  <si>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</si>
  <si>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</si>
  <si>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</si>
  <si>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</si>
  <si>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</si>
  <si>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</si>
  <si>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</si>
  <si>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</si>
  <si>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</si>
  <si>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</si>
  <si>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</si>
  <si>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</si>
  <si>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</si>
  <si>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</si>
  <si>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</si>
  <si>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</si>
  <si>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</si>
  <si>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</si>
  <si>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</si>
  <si>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</si>
  <si>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</si>
  <si>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</si>
  <si>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</si>
  <si>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</si>
  <si>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</si>
  <si>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</si>
  <si>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</si>
  <si>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</si>
  <si>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</si>
  <si>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</si>
  <si>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</si>
  <si>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</si>
  <si>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</si>
  <si>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</si>
  <si>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</si>
  <si>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</si>
  <si>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</si>
  <si>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</si>
  <si>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</si>
  <si>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</si>
  <si>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</si>
  <si>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</si>
  <si>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</si>
  <si>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</si>
  <si>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</si>
  <si>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</si>
  <si>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</si>
  <si>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</si>
  <si>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</si>
  <si>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</si>
  <si>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</si>
  <si>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</si>
  <si>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</si>
  <si>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</si>
  <si>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</si>
  <si>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</si>
  <si>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</si>
  <si>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</si>
  <si>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</si>
  <si>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</si>
  <si>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</si>
  <si>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</si>
  <si>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</si>
  <si>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</si>
  <si>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</si>
  <si>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</si>
  <si>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</si>
  <si>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</si>
  <si>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</si>
  <si>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</si>
  <si>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</si>
  <si>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</si>
  <si>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</si>
  <si>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</si>
  <si>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</si>
  <si>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</si>
  <si>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</si>
  <si>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</si>
  <si>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</si>
  <si>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</si>
  <si>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</si>
  <si>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</si>
  <si>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</si>
  <si>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</si>
  <si>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</si>
  <si>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</si>
  <si>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</si>
  <si>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</si>
  <si>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</si>
  <si>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</si>
  <si>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</si>
  <si>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</si>
  <si>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</si>
  <si>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</si>
  <si>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</si>
  <si>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</si>
  <si>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</si>
  <si>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</si>
  <si>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</si>
  <si>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</si>
  <si>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</si>
  <si>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</si>
  <si>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</si>
  <si>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</si>
  <si>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</si>
  <si>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</si>
  <si>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</si>
  <si>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</si>
  <si>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</si>
  <si>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</si>
  <si>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</si>
  <si>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</si>
  <si>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</si>
  <si>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</si>
  <si>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</si>
  <si>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</si>
  <si>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</si>
  <si>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</si>
  <si>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</si>
  <si>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</si>
  <si>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</si>
  <si>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</si>
  <si>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</si>
  <si>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</si>
  <si>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</si>
  <si>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</si>
  <si>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</si>
  <si>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</si>
  <si>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</si>
  <si>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</si>
  <si>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</si>
  <si>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</si>
  <si>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</si>
  <si>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</si>
  <si>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</si>
  <si>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</si>
  <si>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</si>
  <si>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</si>
  <si>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</si>
  <si>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</si>
  <si>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</si>
  <si>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</si>
  <si>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</si>
  <si>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</si>
  <si>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</si>
  <si>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</si>
  <si>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</si>
  <si>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</si>
  <si>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</si>
  <si>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</si>
  <si>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</si>
  <si>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</si>
  <si>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</si>
  <si>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</si>
  <si>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</si>
  <si>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</si>
  <si>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</si>
  <si>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</si>
  <si>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</si>
  <si>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</si>
  <si>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</si>
  <si>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</si>
  <si>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</si>
  <si>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</si>
  <si>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</si>
  <si>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</si>
  <si>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</si>
  <si>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</si>
  <si>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</si>
  <si>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</si>
  <si>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</si>
  <si>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</si>
  <si>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</si>
  <si>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</si>
  <si>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</si>
  <si>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</si>
  <si>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</si>
  <si>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</si>
  <si>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</si>
  <si>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</si>
  <si>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</si>
  <si>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</si>
  <si>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</si>
  <si>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</si>
  <si>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</si>
  <si>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</si>
  <si>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</si>
  <si>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</si>
  <si>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</si>
  <si>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</si>
  <si>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</si>
  <si>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</si>
  <si>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</si>
  <si>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</si>
  <si>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</si>
  <si>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</si>
  <si>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</si>
  <si>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</si>
  <si>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</si>
  <si>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</si>
  <si>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</si>
  <si>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</si>
  <si>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</si>
  <si>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</si>
  <si>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</si>
  <si>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</si>
  <si>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</si>
  <si>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</si>
  <si>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</si>
  <si>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</si>
  <si>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</si>
  <si>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</si>
  <si>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</si>
  <si>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</si>
  <si>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</si>
  <si>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</si>
  <si>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</si>
  <si>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</si>
  <si>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</si>
  <si>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</si>
  <si>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</si>
  <si>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</si>
  <si>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</si>
  <si>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</si>
  <si>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</si>
  <si>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</si>
  <si>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</si>
  <si>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</si>
  <si>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</si>
  <si>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</si>
  <si>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</si>
  <si>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</si>
  <si>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</si>
  <si>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</si>
  <si>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</si>
  <si>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</si>
  <si>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</si>
  <si>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</si>
  <si>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</si>
  <si>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</si>
  <si>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</si>
  <si>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</si>
  <si>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</si>
  <si>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</si>
  <si>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</si>
  <si>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</si>
  <si>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</si>
  <si>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</si>
  <si>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</si>
  <si>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</si>
  <si>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</si>
  <si>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</si>
  <si>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</si>
  <si>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</si>
  <si>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</si>
  <si>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</si>
  <si>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</si>
  <si>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</si>
  <si>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</si>
  <si>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</si>
  <si>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</si>
  <si>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</si>
  <si>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</si>
  <si>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</si>
  <si>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</si>
  <si>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</si>
  <si>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</si>
  <si>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</si>
  <si>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</si>
  <si>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</si>
  <si>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</si>
  <si>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</si>
  <si>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</si>
  <si>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</si>
  <si>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</si>
  <si>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</si>
  <si>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</si>
  <si>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</si>
  <si>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</si>
  <si>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</si>
  <si>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</si>
  <si>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</si>
  <si>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</si>
  <si>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</si>
  <si>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</si>
  <si>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</si>
  <si>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</si>
  <si>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</si>
  <si>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</si>
  <si>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</si>
  <si>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</si>
  <si>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</si>
  <si>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</si>
  <si>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</si>
  <si>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</si>
  <si>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</si>
  <si>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</si>
  <si>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</si>
  <si>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</si>
  <si>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</si>
  <si>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</si>
  <si>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</si>
  <si>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</si>
  <si>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</si>
  <si>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</si>
  <si>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</si>
  <si>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</si>
  <si>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</si>
  <si>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</si>
  <si>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</si>
  <si>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</si>
  <si>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</si>
  <si>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</si>
  <si>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</si>
  <si>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</si>
  <si>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</si>
  <si>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</si>
  <si>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</si>
  <si>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</si>
  <si>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</si>
  <si>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</si>
  <si>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</si>
  <si>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</si>
  <si>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</si>
  <si>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</si>
  <si>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</si>
  <si>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</si>
  <si>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</si>
  <si>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</si>
  <si>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</si>
  <si>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</si>
  <si>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</si>
  <si>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</si>
  <si>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</si>
  <si>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</si>
  <si>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</si>
  <si>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</si>
  <si>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</si>
  <si>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</si>
  <si>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</si>
  <si>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</si>
  <si>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</si>
  <si>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</si>
  <si>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</si>
  <si>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</si>
  <si>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</si>
  <si>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</si>
  <si>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</si>
  <si>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</si>
  <si>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</si>
  <si>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</si>
  <si>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</si>
  <si>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</si>
  <si>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</si>
  <si>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</si>
  <si>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</si>
  <si>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</si>
  <si>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</si>
  <si>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</si>
  <si>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</si>
  <si>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</si>
  <si>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</si>
  <si>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</si>
  <si>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</si>
  <si>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</si>
  <si>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</si>
  <si>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</si>
  <si>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</si>
  <si>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</si>
  <si>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</si>
  <si>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</si>
  <si>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</si>
  <si>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</si>
  <si>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</si>
  <si>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</si>
  <si>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</si>
  <si>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</si>
  <si>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</si>
  <si>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</si>
  <si>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</si>
  <si>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</si>
  <si>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</si>
  <si>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</si>
  <si>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</si>
  <si>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</si>
  <si>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</si>
  <si>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</si>
  <si>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</si>
  <si>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</si>
  <si>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</si>
  <si>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</si>
  <si>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</si>
  <si>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</si>
  <si>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</si>
  <si>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</si>
  <si>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</si>
  <si>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</si>
  <si>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</si>
  <si>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</si>
  <si>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</si>
  <si>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</si>
  <si>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</si>
  <si>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</si>
  <si>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</si>
  <si>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</si>
  <si>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</si>
  <si>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</si>
  <si>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</si>
  <si>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</si>
  <si>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</si>
  <si>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</si>
  <si>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</si>
  <si>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</si>
  <si>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</si>
  <si>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</si>
  <si>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</si>
  <si>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</si>
  <si>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</si>
  <si>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</si>
  <si>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</si>
  <si>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</si>
  <si>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</si>
  <si>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</si>
  <si>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</si>
  <si>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</si>
  <si>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</si>
  <si>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</si>
  <si>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</si>
  <si>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</si>
  <si>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</si>
  <si>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</si>
  <si>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</si>
  <si>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</si>
  <si>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</si>
  <si>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</si>
  <si>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</si>
  <si>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</si>
  <si>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</si>
  <si>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</si>
  <si>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</si>
  <si>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</si>
  <si>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</si>
  <si>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</si>
  <si>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</si>
  <si>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</si>
  <si>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</si>
  <si>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</si>
  <si>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</si>
  <si>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</si>
  <si>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</si>
  <si>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</si>
  <si>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</si>
  <si>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</si>
  <si>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</si>
  <si>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</si>
  <si>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</si>
  <si>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</si>
  <si>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</si>
  <si>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</si>
  <si>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</si>
  <si>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</si>
  <si>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</si>
  <si>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</si>
  <si>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</si>
  <si>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</si>
  <si>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</si>
  <si>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</si>
  <si>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</si>
  <si>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</si>
  <si>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</si>
  <si>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</si>
  <si>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</si>
  <si>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</si>
  <si>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</si>
  <si>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</si>
  <si>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</si>
  <si>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</si>
  <si>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</si>
  <si>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</si>
  <si>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</si>
  <si>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</si>
  <si>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</si>
  <si>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</si>
  <si>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</si>
  <si>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</si>
  <si>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</si>
  <si>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</si>
  <si>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</si>
  <si>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</si>
  <si>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</si>
  <si>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</si>
  <si>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</si>
  <si>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</si>
  <si>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</si>
  <si>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</si>
  <si>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</si>
  <si>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</si>
  <si>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</si>
  <si>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</si>
  <si>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</si>
  <si>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</si>
  <si>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</si>
  <si>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</si>
  <si>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</si>
  <si>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</si>
  <si>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</si>
  <si>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</si>
  <si>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</si>
  <si>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</si>
  <si>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</si>
  <si>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</si>
  <si>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</si>
  <si>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</si>
  <si>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</si>
  <si>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</si>
  <si>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</si>
  <si>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</si>
  <si>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</si>
  <si>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</si>
  <si>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</si>
  <si>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</si>
  <si>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</si>
  <si>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</si>
  <si>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</si>
  <si>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</si>
  <si>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</si>
  <si>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</si>
  <si>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</si>
  <si>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</si>
  <si>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</si>
  <si>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</si>
  <si>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</si>
  <si>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</si>
  <si>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</si>
  <si>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</si>
  <si>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</si>
  <si>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</si>
  <si>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</si>
  <si>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</si>
  <si>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</si>
  <si>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</si>
  <si>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</si>
  <si>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</si>
  <si>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</si>
  <si>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</si>
  <si>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</si>
  <si>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</si>
  <si>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</si>
  <si>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</si>
  <si>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</si>
  <si>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</si>
  <si>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</si>
  <si>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</si>
  <si>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</si>
  <si>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</si>
  <si>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</si>
  <si>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</si>
  <si>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</si>
  <si>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</si>
  <si>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</si>
  <si>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</si>
  <si>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</si>
  <si>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</si>
  <si>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</si>
  <si>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</si>
  <si>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</si>
  <si>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</si>
  <si>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</si>
  <si>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</si>
  <si>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</si>
  <si>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</si>
  <si>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</si>
  <si>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</si>
  <si>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</si>
  <si>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</si>
  <si>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</si>
  <si>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</si>
  <si>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</si>
  <si>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</si>
  <si>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</si>
  <si>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</si>
  <si>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</si>
  <si>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</si>
  <si>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</si>
  <si>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</si>
  <si>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</si>
  <si>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</si>
  <si>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</si>
  <si>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</si>
  <si>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</si>
  <si>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</si>
  <si>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</si>
  <si>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</si>
  <si>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</si>
  <si>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</si>
  <si>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</si>
  <si>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</si>
  <si>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</si>
  <si>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</si>
  <si>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</si>
  <si>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</si>
  <si>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</si>
  <si>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</si>
  <si>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</si>
  <si>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</si>
  <si>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</si>
  <si>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</si>
  <si>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</si>
  <si>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</si>
  <si>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</si>
  <si>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</si>
  <si>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</si>
  <si>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</si>
  <si>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</si>
  <si>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</si>
  <si>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</si>
  <si>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</si>
  <si>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</si>
  <si>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</si>
  <si>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</si>
  <si>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</si>
  <si>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</si>
  <si>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</si>
  <si>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</si>
  <si>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</si>
  <si>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</si>
  <si>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</si>
  <si>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</si>
  <si>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</si>
  <si>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</si>
  <si>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</si>
  <si>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</si>
  <si>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</si>
  <si>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</si>
  <si>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</si>
  <si>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</si>
  <si>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</si>
  <si>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</si>
  <si>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</si>
  <si>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</si>
  <si>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</si>
  <si>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</si>
  <si>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</si>
  <si>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</si>
  <si>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</si>
  <si>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</si>
  <si>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</si>
  <si>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</si>
  <si>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</si>
  <si>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</si>
  <si>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</si>
  <si>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</si>
  <si>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</si>
  <si>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</si>
  <si>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</si>
  <si>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</si>
  <si>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</si>
  <si>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</si>
  <si>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</si>
  <si>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The Magnolias LP</t>
  </si>
  <si>
    <t>The Magnolias</t>
  </si>
  <si>
    <t>Andrea Osgood</t>
  </si>
  <si>
    <t>Real Estate Development and Executive Vice President</t>
  </si>
  <si>
    <t>17965 Monterey Road</t>
  </si>
  <si>
    <t>Morgan Hill</t>
  </si>
  <si>
    <t>764-12-006</t>
  </si>
  <si>
    <t>40%/60%</t>
  </si>
  <si>
    <t>22645 Grand Street</t>
  </si>
  <si>
    <t>Hayward</t>
  </si>
  <si>
    <t>CA</t>
  </si>
  <si>
    <t>aosgood@edenhousing.org</t>
  </si>
  <si>
    <t>Eden Housing, Inc.</t>
  </si>
  <si>
    <t>Eden Magnolias, LLC</t>
  </si>
  <si>
    <t>Managing GP</t>
  </si>
  <si>
    <t>aosgood@edenhousin.org</t>
  </si>
  <si>
    <t>The Magnolias LLC</t>
  </si>
  <si>
    <t>Administrative GP</t>
  </si>
  <si>
    <t>75 E Santa Clara St, Ste 1300</t>
  </si>
  <si>
    <t>San Jose</t>
  </si>
  <si>
    <t xml:space="preserve">CA </t>
  </si>
  <si>
    <t>Richard Conniff</t>
  </si>
  <si>
    <t>richardc@firsthouding.org</t>
  </si>
  <si>
    <t>First Community Housing, Inc.</t>
  </si>
  <si>
    <t>Reena Zhang</t>
  </si>
  <si>
    <t>reena.zhang@edenhousing.org</t>
  </si>
  <si>
    <t>Developer</t>
  </si>
  <si>
    <t>Hayward, CA 94541</t>
  </si>
  <si>
    <t>BDE Architecture</t>
  </si>
  <si>
    <t>950 Howard Street</t>
  </si>
  <si>
    <t>San Francisco, CA 94103</t>
  </si>
  <si>
    <t>Jiamin Liang</t>
  </si>
  <si>
    <t>jliang@bdearch.com</t>
  </si>
  <si>
    <t>Cox Castle</t>
  </si>
  <si>
    <t>50 California Street, Ste. 3200</t>
  </si>
  <si>
    <t>San Francisco, CA 94104</t>
  </si>
  <si>
    <t>Lisa Weil</t>
  </si>
  <si>
    <t>lweil@coxcastle.com</t>
  </si>
  <si>
    <t>James E. Roberts-Obayashi Corp.</t>
  </si>
  <si>
    <t>20 Oak Ct</t>
  </si>
  <si>
    <t>Danville, CA 94526</t>
  </si>
  <si>
    <t>Scott Smith</t>
  </si>
  <si>
    <t>scott@jerocorp.com</t>
  </si>
  <si>
    <t>Peralta Energy</t>
  </si>
  <si>
    <t>4180 Emerald Street</t>
  </si>
  <si>
    <t>Oakland, CA 94609</t>
  </si>
  <si>
    <t>Ben Thompson</t>
  </si>
  <si>
    <t>ben@peraltaenergy.com</t>
  </si>
  <si>
    <t>CohnReznick LLP</t>
  </si>
  <si>
    <t>621 Capital Mall, Ste. 2150</t>
  </si>
  <si>
    <t>Sacramento, CA 95814</t>
  </si>
  <si>
    <t>Lisa Schoepflin</t>
  </si>
  <si>
    <t>lisa.schoepflin@cohnreznick.com</t>
  </si>
  <si>
    <t>TBD</t>
  </si>
  <si>
    <t>California Housing Partnership</t>
  </si>
  <si>
    <t>49 Stevenson Street, Suite 500</t>
  </si>
  <si>
    <t>San Francisco, CA 94105</t>
  </si>
  <si>
    <t>Zorica Stancevic</t>
  </si>
  <si>
    <t>zstancevic@chpc.net</t>
  </si>
  <si>
    <t>Laurin Associates</t>
  </si>
  <si>
    <t>1501 Sports Drive, Stuie A</t>
  </si>
  <si>
    <t>Sacramento, CA 95834</t>
  </si>
  <si>
    <t>Stefanie Williams</t>
  </si>
  <si>
    <t>swilliams@laurinassociates.com</t>
  </si>
  <si>
    <t>California Municipal Finance Authority</t>
  </si>
  <si>
    <t>2111 Palomar Airport Rd. Ste 3200</t>
  </si>
  <si>
    <t>Carlsbad, CA 92011</t>
  </si>
  <si>
    <t>Anthony Stubbs</t>
  </si>
  <si>
    <t>astubbs@cmfa-ca.com</t>
  </si>
  <si>
    <t>Eden Housing Management, Inc.</t>
  </si>
  <si>
    <t>Darnell Williams</t>
  </si>
  <si>
    <t>darnell.williams@edenhousing.org</t>
  </si>
  <si>
    <t>First Community Land</t>
  </si>
  <si>
    <t>Michael Santero</t>
  </si>
  <si>
    <t>Chief Operating Officer</t>
  </si>
  <si>
    <t>75 E Santa Clara St, Ste. 1300</t>
  </si>
  <si>
    <t>County of Santa Clara</t>
  </si>
  <si>
    <t>Secured by Leasehold Interest</t>
  </si>
  <si>
    <t>Inner City Infill Site</t>
  </si>
  <si>
    <t>The 7 Veteran units have VASH vouchers with the target population of</t>
  </si>
  <si>
    <t>homeless and formally homeless veterans</t>
  </si>
  <si>
    <t>Mixed-Use Flex (MU-F)</t>
  </si>
  <si>
    <t>Monterey Form-Based Corridor (FB-C) (previously MU-F), Max Density 24dv/acre</t>
  </si>
  <si>
    <t>Monterey Form-Based Corridor (FB-C) (previously MU-F) with State Density Bonus, Max Density 43.2 du/acre</t>
  </si>
  <si>
    <t>There are occupancy restrictions on land due to Density Bonus</t>
  </si>
  <si>
    <t>25 st. (68 fr. with Density Bonus)</t>
  </si>
  <si>
    <t>No required parking due to Density Bonus</t>
  </si>
  <si>
    <t>City of Morgan Hill</t>
  </si>
  <si>
    <t>Veterans</t>
  </si>
  <si>
    <t>Santa Clara County Housing Authority</t>
  </si>
  <si>
    <t>Admin Fee + Direct Costs</t>
  </si>
  <si>
    <t>Misc. Taxes, Licenses &amp; Permit</t>
  </si>
  <si>
    <t>Other (Bond Issuer Annual Fee):</t>
  </si>
  <si>
    <t>Federal Prevailing Wages tie to PBV commitment from SCCHA</t>
  </si>
  <si>
    <t>Santa Clara County Measure A, and Project Based Vouchers from Santa Clara County Housing Authority</t>
  </si>
  <si>
    <t>Citibank Tax Exempt Construction Loan</t>
  </si>
  <si>
    <t>Variable</t>
  </si>
  <si>
    <t>Santa Clara County</t>
  </si>
  <si>
    <t>Fixed</t>
  </si>
  <si>
    <t>City of Morgan Hill - Accrued Deferred Interest</t>
  </si>
  <si>
    <t>Santa Clara County - Accrued Deferred Interest</t>
  </si>
  <si>
    <t>Costs Deferred until Conversion</t>
  </si>
  <si>
    <t>Limited Partner Equity</t>
  </si>
  <si>
    <t>Citibank Perm Loan</t>
  </si>
  <si>
    <t>City of Morgan Hill - Accrued Derferred Interest</t>
  </si>
  <si>
    <t>Santa Clara County Loan</t>
  </si>
  <si>
    <t>Other: Special Inspections &amp; Testing</t>
  </si>
  <si>
    <t>Other: HCD Pooled Transition Reserve</t>
  </si>
  <si>
    <t>Other: Borrower Legal/Const</t>
  </si>
  <si>
    <t>Project-based vouchers (PBVs)</t>
  </si>
  <si>
    <t>Other: Accrued/Deferred Interest</t>
  </si>
  <si>
    <t>Benefits &amp; Payroll</t>
  </si>
  <si>
    <t>J. Edward Tewes</t>
  </si>
  <si>
    <t>17555 Peak Ave.</t>
  </si>
  <si>
    <t>ed.tewes@morganhill.ca.gov</t>
  </si>
  <si>
    <t>300 South Grand Ave, Suite 3110</t>
  </si>
  <si>
    <t>Los Angeles, CA 90071</t>
  </si>
  <si>
    <t>Hao Li</t>
  </si>
  <si>
    <t>Loan, Tax Exempt</t>
  </si>
  <si>
    <t>30-day SOFR + 1.80</t>
  </si>
  <si>
    <t>Citibank Taxable Construction Loan</t>
  </si>
  <si>
    <t>150 W. Tasman Street</t>
  </si>
  <si>
    <t>San Jose, CA 95134</t>
  </si>
  <si>
    <t>Natalie Monk</t>
  </si>
  <si>
    <t>Residual Reciepts</t>
  </si>
  <si>
    <t>Accrued/Deferred Interest</t>
  </si>
  <si>
    <t>17575 Peak Avenue</t>
  </si>
  <si>
    <t>Rebecca Garcia</t>
  </si>
  <si>
    <t>Morgan Hill, CA 95037</t>
  </si>
  <si>
    <t>Deferred Costs</t>
  </si>
  <si>
    <t>LP Equity</t>
  </si>
  <si>
    <t>Permanent Amortizing Loan</t>
  </si>
  <si>
    <t>Residual Reciepts Loan</t>
  </si>
  <si>
    <t>Provided</t>
  </si>
  <si>
    <t>Not Applicable</t>
  </si>
  <si>
    <t>Other:SCC Loan Org. Fee; Legal (Borrower &amp; Lender)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</si>
</sst>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31">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0" fontId="27" fillId="0" borderId="11"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9" fontId="99" fillId="0" borderId="0" xfId="4494" applyFont="1" applyFill="1" applyBorder="1" applyProtection="1"/>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185" fontId="3" fillId="0" borderId="0" xfId="698" applyNumberFormat="1" applyFont="1"/>
    <xf numFmtId="0" fontId="103" fillId="45" borderId="93" xfId="8733" applyFont="1" applyFill="1" applyBorder="1"/>
    <xf numFmtId="0" fontId="103" fillId="45" borderId="6" xfId="8733" applyFont="1" applyFill="1" applyBorder="1"/>
    <xf numFmtId="0" fontId="103" fillId="45" borderId="10" xfId="8733" applyFont="1" applyFill="1" applyBorder="1"/>
    <xf numFmtId="10" fontId="3" fillId="0" borderId="0" xfId="1022" applyNumberFormat="1" applyFont="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0" fontId="0" fillId="5" borderId="6" xfId="0" applyFill="1" applyBorder="1" applyAlignment="1" applyProtection="1">
      <alignment horizontal="left"/>
      <protection locked="0"/>
    </xf>
    <xf numFmtId="171" fontId="18" fillId="0" borderId="11" xfId="0" applyNumberFormat="1" applyFont="1" applyBorder="1" applyAlignment="1">
      <alignment horizontal="center"/>
    </xf>
    <xf numFmtId="171" fontId="18" fillId="0" borderId="0" xfId="0" applyNumberFormat="1"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5"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0" fillId="0" borderId="6" xfId="0" applyNumberFormat="1" applyBorder="1" applyAlignment="1">
      <alignment horizontal="center"/>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11" xfId="0" applyNumberFormat="1" applyFill="1" applyBorder="1" applyAlignment="1" applyProtection="1">
      <alignment horizontal="righ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1" xfId="0"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2" borderId="11" xfId="0" applyFont="1" applyFill="1" applyBorder="1" applyAlignment="1">
      <alignment horizontal="center"/>
    </xf>
    <xf numFmtId="0" fontId="27" fillId="45" borderId="11" xfId="0" applyFont="1" applyFill="1"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18" fillId="0" borderId="11" xfId="0" applyFont="1" applyBorder="1" applyAlignment="1">
      <alignment horizontal="center"/>
    </xf>
    <xf numFmtId="0" fontId="18" fillId="0" borderId="11" xfId="543"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82" fontId="26" fillId="43" borderId="11" xfId="8721" applyNumberFormat="1" applyFont="1" applyFill="1" applyBorder="1" applyAlignment="1" applyProtection="1">
      <alignment horizontal="center" vertical="center" wrapText="1"/>
      <protection locked="0"/>
    </xf>
    <xf numFmtId="168" fontId="18" fillId="0" borderId="11" xfId="543" applyNumberForma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8"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18" fillId="0" borderId="0" xfId="543" applyAlignment="1">
      <alignment horizontal="center"/>
    </xf>
    <xf numFmtId="2" fontId="18" fillId="0" borderId="0" xfId="543" applyNumberFormat="1" applyAlignment="1">
      <alignment horizontal="center"/>
    </xf>
    <xf numFmtId="0" fontId="0" fillId="0" borderId="9" xfId="0" applyBorder="1" applyAlignment="1">
      <alignment horizontal="left"/>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18" fillId="0" borderId="0" xfId="543" applyNumberFormat="1" applyAlignment="1">
      <alignment horizontal="right"/>
    </xf>
    <xf numFmtId="0" fontId="27" fillId="0" borderId="3" xfId="0" applyFont="1" applyBorder="1" applyAlignment="1">
      <alignment horizontal="left"/>
    </xf>
    <xf numFmtId="168" fontId="0" fillId="5" borderId="11" xfId="0" applyNumberFormat="1" applyFill="1" applyBorder="1" applyAlignment="1" applyProtection="1">
      <alignment horizontal="center"/>
      <protection locked="0"/>
    </xf>
    <xf numFmtId="0" fontId="18" fillId="0" borderId="3" xfId="0" applyFont="1" applyBorder="1"/>
    <xf numFmtId="0" fontId="18" fillId="0" borderId="4" xfId="0" applyFont="1" applyBorder="1"/>
    <xf numFmtId="0" fontId="18" fillId="0" borderId="5" xfId="0" applyFont="1" applyBorder="1"/>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168" fontId="0" fillId="5" borderId="11" xfId="0" applyNumberFormat="1" applyFill="1" applyBorder="1" applyProtection="1">
      <protection locked="0"/>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5" borderId="11" xfId="0" applyFont="1" applyFill="1" applyBorder="1" applyAlignment="1" applyProtection="1">
      <alignment horizontal="left" vertical="center" wrapText="1"/>
      <protection locked="0"/>
    </xf>
    <xf numFmtId="14" fontId="27" fillId="5" borderId="4" xfId="0" applyNumberFormat="1" applyFont="1" applyFill="1" applyBorder="1" applyAlignment="1" applyProtection="1">
      <alignment horizontal="righ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3" fontId="27" fillId="5" borderId="11" xfId="0" applyNumberFormat="1" applyFont="1" applyFill="1" applyBorder="1" applyAlignment="1" applyProtection="1">
      <alignment horizontal="center"/>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0" borderId="12" xfId="0" applyBorder="1" applyAlignment="1">
      <alignment horizontal="center"/>
    </xf>
    <xf numFmtId="14" fontId="0" fillId="5" borderId="4"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5" borderId="3" xfId="0" quotePrefix="1" applyFill="1" applyBorder="1" applyAlignment="1" applyProtection="1">
      <alignment horizontal="right"/>
      <protection locked="0"/>
    </xf>
    <xf numFmtId="168" fontId="0" fillId="0" borderId="11"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9" fontId="18"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25" fillId="0" borderId="7" xfId="0" applyFont="1" applyBorder="1" applyAlignment="1">
      <alignment horizontal="center" wrapText="1"/>
    </xf>
    <xf numFmtId="168" fontId="157" fillId="0" borderId="0" xfId="0" applyNumberFormat="1" applyFont="1" applyAlignment="1">
      <alignment horizontal="center" vertical="center" wrapText="1"/>
    </xf>
    <xf numFmtId="0" fontId="25" fillId="0" borderId="11" xfId="0" applyFont="1" applyBorder="1" applyAlignment="1">
      <alignment horizontal="center" vertical="center"/>
    </xf>
    <xf numFmtId="172" fontId="25" fillId="0" borderId="11" xfId="0" applyNumberFormat="1" applyFont="1" applyBorder="1" applyAlignment="1">
      <alignment horizontal="center" vertic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26" fillId="43" borderId="6" xfId="0"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0" fontId="18"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0" xfId="244"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3" fontId="27" fillId="0" borderId="11" xfId="0" applyNumberFormat="1" applyFont="1" applyBorder="1" applyAlignment="1">
      <alignment horizontal="center"/>
    </xf>
    <xf numFmtId="1" fontId="27" fillId="5" borderId="11" xfId="0" quotePrefix="1" applyNumberFormat="1" applyFont="1" applyFill="1" applyBorder="1" applyAlignment="1" applyProtection="1">
      <alignment horizontal="center"/>
      <protection locked="0"/>
    </xf>
    <xf numFmtId="168" fontId="18"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8" fontId="27" fillId="5" borderId="4" xfId="0" applyNumberFormat="1" applyFon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4" xfId="569"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4"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4"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0" fillId="48" borderId="3" xfId="8733" applyFont="1" applyFill="1" applyBorder="1" applyAlignment="1">
      <alignment horizontal="center"/>
    </xf>
    <xf numFmtId="0" fontId="170" fillId="48" borderId="4" xfId="8733" applyFont="1" applyFill="1" applyBorder="1" applyAlignment="1">
      <alignment horizontal="center"/>
    </xf>
    <xf numFmtId="0" fontId="170" fillId="48" borderId="81"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5631">
    <cellStyle name="20% - Accent1" xfId="1" builtinId="30" customBuiltin="1"/>
    <cellStyle name="20% - Accent1 10" xfId="4504" xr:uid="{00000000-0005-0000-0000-000001000000}"/>
    <cellStyle name="20% - Accent1 10 2" xfId="12954" xr:uid="{88239B4C-B2B2-4B00-BA49-CF7E10B7E376}"/>
    <cellStyle name="20% - Accent1 10 3" xfId="21401" xr:uid="{82DBB59F-7115-439C-A698-99D7070CC1B5}"/>
    <cellStyle name="20% - Accent1 11" xfId="8736" xr:uid="{6A854493-74CC-44A9-A132-3B72B96FCC28}"/>
    <cellStyle name="20% - Accent1 12" xfId="17184" xr:uid="{A2AF4C2A-A75C-44EA-B88D-9B7736F3146A}"/>
    <cellStyle name="20% - Accent1 2" xfId="2" xr:uid="{00000000-0005-0000-0000-000002000000}"/>
    <cellStyle name="20% - Accent1 2 10" xfId="8737" xr:uid="{63BC105F-64EA-4660-9FF1-F6B10F20C6F8}"/>
    <cellStyle name="20% - Accent1 2 11" xfId="17185" xr:uid="{FBFC6E2D-6166-42D2-9F60-9726DBCC52B3}"/>
    <cellStyle name="20% - Accent1 2 2" xfId="3" xr:uid="{00000000-0005-0000-0000-000003000000}"/>
    <cellStyle name="20% - Accent1 2 2 10" xfId="17186" xr:uid="{811D39D6-636D-46CF-B9A0-D70038B79E1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008B4435-FAC6-494D-BBD2-8D75996B74A9}"/>
    <cellStyle name="20% - Accent1 2 2 2 2 2 2 3" xfId="23963" xr:uid="{286DCBAB-8C70-4E81-85BB-EDCE8C9F1617}"/>
    <cellStyle name="20% - Accent1 2 2 2 2 2 3" xfId="11298" xr:uid="{3C186BF5-DD56-4FF2-AA62-31B93A1800A1}"/>
    <cellStyle name="20% - Accent1 2 2 2 2 2 4" xfId="19746" xr:uid="{5C38AEC7-B201-44E9-8F15-427E2B26916D}"/>
    <cellStyle name="20% - Accent1 2 2 2 2 3" xfId="4921" xr:uid="{00000000-0005-0000-0000-000008000000}"/>
    <cellStyle name="20% - Accent1 2 2 2 2 3 2" xfId="13371" xr:uid="{9D50377C-6582-40B2-9532-5D29371C0C7C}"/>
    <cellStyle name="20% - Accent1 2 2 2 2 3 3" xfId="21818" xr:uid="{44E9A47C-0D49-484E-A6EE-F1BC581C4552}"/>
    <cellStyle name="20% - Accent1 2 2 2 2 4" xfId="9153" xr:uid="{C79963F7-3931-4EF4-989A-C3E258023082}"/>
    <cellStyle name="20% - Accent1 2 2 2 2 5" xfId="17601" xr:uid="{1AAE6760-B92F-4625-90F9-7D611A5F7479}"/>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D948DBFF-F157-4337-8416-D35C71536A13}"/>
    <cellStyle name="20% - Accent1 2 2 2 3 2 2 3" xfId="24376" xr:uid="{C1756235-4CC5-472D-B976-77335EC66241}"/>
    <cellStyle name="20% - Accent1 2 2 2 3 2 3" xfId="11711" xr:uid="{98E37170-4607-4776-96D3-801BEC115266}"/>
    <cellStyle name="20% - Accent1 2 2 2 3 2 4" xfId="20159" xr:uid="{C3FCE6A3-5F44-48C7-B946-66C21B5AF26F}"/>
    <cellStyle name="20% - Accent1 2 2 2 3 3" xfId="5334" xr:uid="{00000000-0005-0000-0000-00000C000000}"/>
    <cellStyle name="20% - Accent1 2 2 2 3 3 2" xfId="13784" xr:uid="{AAD969BA-07D7-49DA-B8EB-A41EDACF8FEE}"/>
    <cellStyle name="20% - Accent1 2 2 2 3 3 3" xfId="22231" xr:uid="{6B08274C-4015-4D88-A429-A101B3C9D274}"/>
    <cellStyle name="20% - Accent1 2 2 2 3 4" xfId="9566" xr:uid="{C65F6956-A4AD-4949-9671-FFD843992C4A}"/>
    <cellStyle name="20% - Accent1 2 2 2 3 5" xfId="18014" xr:uid="{2713064B-9A42-476A-9220-E43B5B52341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4D2FE972-01E7-4E96-90C4-68534CA9016A}"/>
    <cellStyle name="20% - Accent1 2 2 2 4 2 2 3" xfId="24789" xr:uid="{7B359693-9955-4272-B526-2D29CCBB8665}"/>
    <cellStyle name="20% - Accent1 2 2 2 4 2 3" xfId="12124" xr:uid="{11E59F7F-95B2-4A47-B86D-773FA158336D}"/>
    <cellStyle name="20% - Accent1 2 2 2 4 2 4" xfId="20572" xr:uid="{19C1597A-2CA7-4B83-B345-6D11A1846A9F}"/>
    <cellStyle name="20% - Accent1 2 2 2 4 3" xfId="5747" xr:uid="{00000000-0005-0000-0000-000010000000}"/>
    <cellStyle name="20% - Accent1 2 2 2 4 3 2" xfId="14197" xr:uid="{47BBD139-40D4-49EB-A167-FCFBEACA9A79}"/>
    <cellStyle name="20% - Accent1 2 2 2 4 3 3" xfId="22644" xr:uid="{22E29F86-CB81-492A-8942-B1ED4A0F9EFB}"/>
    <cellStyle name="20% - Accent1 2 2 2 4 4" xfId="9979" xr:uid="{E3E2585F-B6AB-4122-B9F5-04FADDD1CB10}"/>
    <cellStyle name="20% - Accent1 2 2 2 4 5" xfId="18427" xr:uid="{4154878E-E111-4D79-A063-BDC1A2B8D474}"/>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5AF4CAD4-EBCA-40F1-8C6E-7CC9A08C6A4A}"/>
    <cellStyle name="20% - Accent1 2 2 2 5 2 2 3" xfId="25202" xr:uid="{BB3400B3-52D9-41D1-A354-A858869C0FFC}"/>
    <cellStyle name="20% - Accent1 2 2 2 5 2 3" xfId="12537" xr:uid="{B83F5B92-2CE5-4BBA-90E9-33FEDBC327D0}"/>
    <cellStyle name="20% - Accent1 2 2 2 5 2 4" xfId="20985" xr:uid="{04FA83A2-6D5D-48BD-82C4-5D275D50A4B1}"/>
    <cellStyle name="20% - Accent1 2 2 2 5 3" xfId="6160" xr:uid="{00000000-0005-0000-0000-000014000000}"/>
    <cellStyle name="20% - Accent1 2 2 2 5 3 2" xfId="14610" xr:uid="{B565C51E-98C0-473E-BAE1-569187CE7F9E}"/>
    <cellStyle name="20% - Accent1 2 2 2 5 3 3" xfId="23057" xr:uid="{3C9CF293-9C98-498E-8D65-DFF1AECBE76D}"/>
    <cellStyle name="20% - Accent1 2 2 2 5 4" xfId="10392" xr:uid="{2EC0F7EC-006B-4229-83CC-3584FE49EF64}"/>
    <cellStyle name="20% - Accent1 2 2 2 5 5" xfId="18840" xr:uid="{85D85188-51E4-4A0E-8156-9308DE3F0D10}"/>
    <cellStyle name="20% - Accent1 2 2 2 6" xfId="2267" xr:uid="{00000000-0005-0000-0000-000015000000}"/>
    <cellStyle name="20% - Accent1 2 2 2 6 2" xfId="6573" xr:uid="{00000000-0005-0000-0000-000016000000}"/>
    <cellStyle name="20% - Accent1 2 2 2 6 2 2" xfId="15023" xr:uid="{66D7B328-2694-4230-A48F-37E187261F0B}"/>
    <cellStyle name="20% - Accent1 2 2 2 6 2 3" xfId="23470" xr:uid="{141BBA50-CF77-47CE-BB48-BAD6A1481DEF}"/>
    <cellStyle name="20% - Accent1 2 2 2 6 3" xfId="10805" xr:uid="{F7D6315A-34EB-4772-B679-8494ACBE0768}"/>
    <cellStyle name="20% - Accent1 2 2 2 6 4" xfId="19253" xr:uid="{38C9C2F3-FD86-4CD7-A90B-23E54FBFA119}"/>
    <cellStyle name="20% - Accent1 2 2 2 7" xfId="4507" xr:uid="{00000000-0005-0000-0000-000017000000}"/>
    <cellStyle name="20% - Accent1 2 2 2 7 2" xfId="12957" xr:uid="{E2AF615A-1DEC-46F0-ADC3-30631FFFF5FF}"/>
    <cellStyle name="20% - Accent1 2 2 2 7 3" xfId="21404" xr:uid="{1FB02A74-CB4C-4086-AFA8-9E0ACF842B92}"/>
    <cellStyle name="20% - Accent1 2 2 2 8" xfId="8739" xr:uid="{C81E7F67-4170-42A9-BD9E-A5CE85B719DD}"/>
    <cellStyle name="20% - Accent1 2 2 2 9" xfId="17187" xr:uid="{C8E0A20A-7228-4EB3-AA79-D710AE8E66FC}"/>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C26DFC87-BAE3-48C8-B8E0-7DA02E6D915B}"/>
    <cellStyle name="20% - Accent1 2 2 3 2 2 3" xfId="23962" xr:uid="{164EB5E5-7DCD-4B50-B8A2-68CE8F4FFAD4}"/>
    <cellStyle name="20% - Accent1 2 2 3 2 3" xfId="11297" xr:uid="{B1C30440-0BA9-490B-AD63-9208C501F0B0}"/>
    <cellStyle name="20% - Accent1 2 2 3 2 4" xfId="19745" xr:uid="{F534A758-13CE-4441-8DBA-C6F624CC6010}"/>
    <cellStyle name="20% - Accent1 2 2 3 3" xfId="4920" xr:uid="{00000000-0005-0000-0000-00001B000000}"/>
    <cellStyle name="20% - Accent1 2 2 3 3 2" xfId="13370" xr:uid="{50D9F170-9DEF-4E98-9CED-EA38DEF63295}"/>
    <cellStyle name="20% - Accent1 2 2 3 3 3" xfId="21817" xr:uid="{139A508D-8B05-42BD-A9C7-1C25DEC568D3}"/>
    <cellStyle name="20% - Accent1 2 2 3 4" xfId="9152" xr:uid="{5FD3E087-B52B-461C-9564-6EB8ACEBD84D}"/>
    <cellStyle name="20% - Accent1 2 2 3 5" xfId="17600" xr:uid="{6E75BEFA-98EA-4FF6-A76C-A875E46C2F1F}"/>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84262CCE-27C7-46A3-80FC-F1FACF450E3B}"/>
    <cellStyle name="20% - Accent1 2 2 4 2 2 3" xfId="24375" xr:uid="{BAAA7A0F-AAC2-4154-AE35-558DF200F536}"/>
    <cellStyle name="20% - Accent1 2 2 4 2 3" xfId="11710" xr:uid="{5DF4EE34-2B7A-4D83-8412-401E277E67A0}"/>
    <cellStyle name="20% - Accent1 2 2 4 2 4" xfId="20158" xr:uid="{5CEBB19C-2772-44E1-866F-5CD34EE1A2D4}"/>
    <cellStyle name="20% - Accent1 2 2 4 3" xfId="5333" xr:uid="{00000000-0005-0000-0000-00001F000000}"/>
    <cellStyle name="20% - Accent1 2 2 4 3 2" xfId="13783" xr:uid="{60645B1D-7840-4F59-B6F3-5CCC96AF7409}"/>
    <cellStyle name="20% - Accent1 2 2 4 3 3" xfId="22230" xr:uid="{C9096FD9-4CD7-4E36-AD92-1850F5BFE5E5}"/>
    <cellStyle name="20% - Accent1 2 2 4 4" xfId="9565" xr:uid="{1F1F1E99-34C9-4640-920E-4351613C857A}"/>
    <cellStyle name="20% - Accent1 2 2 4 5" xfId="18013" xr:uid="{B49C4F57-1F61-46F8-B8CD-5310CB6F54C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34E4B467-C8C6-45AA-887B-FA866E161ADD}"/>
    <cellStyle name="20% - Accent1 2 2 5 2 2 3" xfId="24788" xr:uid="{B9B40BE4-0DA7-4172-A3A7-F147E207DF0A}"/>
    <cellStyle name="20% - Accent1 2 2 5 2 3" xfId="12123" xr:uid="{02FC100C-6B6F-41A6-BA17-B30F8063CC0D}"/>
    <cellStyle name="20% - Accent1 2 2 5 2 4" xfId="20571" xr:uid="{E0DC409C-0607-4C43-B5B3-DA467869F2E1}"/>
    <cellStyle name="20% - Accent1 2 2 5 3" xfId="5746" xr:uid="{00000000-0005-0000-0000-000023000000}"/>
    <cellStyle name="20% - Accent1 2 2 5 3 2" xfId="14196" xr:uid="{FA45DA81-5C45-4311-A51C-5C794E07B26F}"/>
    <cellStyle name="20% - Accent1 2 2 5 3 3" xfId="22643" xr:uid="{EB1BE736-D7AF-4A81-880D-D23D60260731}"/>
    <cellStyle name="20% - Accent1 2 2 5 4" xfId="9978" xr:uid="{B71CE000-6D94-4224-81B8-5904346F5151}"/>
    <cellStyle name="20% - Accent1 2 2 5 5" xfId="18426" xr:uid="{098E3DE6-4B6C-49A3-9B0C-4712E2FA6961}"/>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C53B5961-8BC2-4ACA-A9A1-9C5D21F83923}"/>
    <cellStyle name="20% - Accent1 2 2 6 2 2 3" xfId="25201" xr:uid="{1A49260C-9AEF-4728-A64A-BDF3F7CA0E8F}"/>
    <cellStyle name="20% - Accent1 2 2 6 2 3" xfId="12536" xr:uid="{750CBCE4-9EAE-4AAF-A02D-6D0EE3E6FCFC}"/>
    <cellStyle name="20% - Accent1 2 2 6 2 4" xfId="20984" xr:uid="{BEFB76A4-DFFE-4840-964A-A6AFA97DDAA2}"/>
    <cellStyle name="20% - Accent1 2 2 6 3" xfId="6159" xr:uid="{00000000-0005-0000-0000-000027000000}"/>
    <cellStyle name="20% - Accent1 2 2 6 3 2" xfId="14609" xr:uid="{7DBE4616-50E7-4A81-A305-DB1E5A479975}"/>
    <cellStyle name="20% - Accent1 2 2 6 3 3" xfId="23056" xr:uid="{BA40936C-72E0-4259-B94A-901062C2887E}"/>
    <cellStyle name="20% - Accent1 2 2 6 4" xfId="10391" xr:uid="{EE1F2EF6-C250-4ADE-88E7-C3909BB91394}"/>
    <cellStyle name="20% - Accent1 2 2 6 5" xfId="18839" xr:uid="{1742F353-C6FB-4076-9CAA-C0A587B1B0DA}"/>
    <cellStyle name="20% - Accent1 2 2 7" xfId="2266" xr:uid="{00000000-0005-0000-0000-000028000000}"/>
    <cellStyle name="20% - Accent1 2 2 7 2" xfId="6572" xr:uid="{00000000-0005-0000-0000-000029000000}"/>
    <cellStyle name="20% - Accent1 2 2 7 2 2" xfId="15022" xr:uid="{162880DD-76D1-4745-B14B-3C252C13812A}"/>
    <cellStyle name="20% - Accent1 2 2 7 2 3" xfId="23469" xr:uid="{FE87A8D8-161C-49DC-B091-1AC88AE9D829}"/>
    <cellStyle name="20% - Accent1 2 2 7 3" xfId="10804" xr:uid="{830D2231-AE66-4E59-9527-76C5BB82D14E}"/>
    <cellStyle name="20% - Accent1 2 2 7 4" xfId="19252" xr:uid="{7199404F-469B-491E-8905-C9AEAB765B6F}"/>
    <cellStyle name="20% - Accent1 2 2 8" xfId="4506" xr:uid="{00000000-0005-0000-0000-00002A000000}"/>
    <cellStyle name="20% - Accent1 2 2 8 2" xfId="12956" xr:uid="{A026D467-2A83-4541-BF3B-413A94062217}"/>
    <cellStyle name="20% - Accent1 2 2 8 3" xfId="21403" xr:uid="{1DC1768F-3C71-4C63-A4A7-B0241718D551}"/>
    <cellStyle name="20% - Accent1 2 2 9" xfId="8738" xr:uid="{AE04592D-44A4-449F-9CD2-03089642A92D}"/>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CE8899C3-D71F-44DA-AD6C-EB80EAA82172}"/>
    <cellStyle name="20% - Accent1 2 3 2 2 2 3" xfId="23964" xr:uid="{0323E69B-FE94-4A46-81B8-777512EF87DF}"/>
    <cellStyle name="20% - Accent1 2 3 2 2 3" xfId="11299" xr:uid="{7754CFE6-6E33-4715-80F2-88D0CD6AF8A8}"/>
    <cellStyle name="20% - Accent1 2 3 2 2 4" xfId="19747" xr:uid="{49AF612C-BBA2-4198-B498-537BF102FC8B}"/>
    <cellStyle name="20% - Accent1 2 3 2 3" xfId="4922" xr:uid="{00000000-0005-0000-0000-00002F000000}"/>
    <cellStyle name="20% - Accent1 2 3 2 3 2" xfId="13372" xr:uid="{493FD412-40B6-43CA-B674-A80364FE4212}"/>
    <cellStyle name="20% - Accent1 2 3 2 3 3" xfId="21819" xr:uid="{FCC194DB-A93C-428E-9A57-9B03126B286B}"/>
    <cellStyle name="20% - Accent1 2 3 2 4" xfId="9154" xr:uid="{DA53B404-3968-4A85-B7E9-B2A1656C7151}"/>
    <cellStyle name="20% - Accent1 2 3 2 5" xfId="17602" xr:uid="{E87EBA3D-F7A3-465F-AB43-04B730E63F78}"/>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5F5BDC7A-535D-4F97-B826-6621066A6B11}"/>
    <cellStyle name="20% - Accent1 2 3 3 2 2 3" xfId="24377" xr:uid="{E7105508-F3B4-4C7F-BB53-B9FCBBF32CA7}"/>
    <cellStyle name="20% - Accent1 2 3 3 2 3" xfId="11712" xr:uid="{3C4E3817-1667-43D2-A0FF-B9FD5A5183F8}"/>
    <cellStyle name="20% - Accent1 2 3 3 2 4" xfId="20160" xr:uid="{B3E032D2-CFDF-42F7-AA90-8F0176C82DA3}"/>
    <cellStyle name="20% - Accent1 2 3 3 3" xfId="5335" xr:uid="{00000000-0005-0000-0000-000033000000}"/>
    <cellStyle name="20% - Accent1 2 3 3 3 2" xfId="13785" xr:uid="{9D6B9FD6-3B65-411E-9A2C-04F42BCCD157}"/>
    <cellStyle name="20% - Accent1 2 3 3 3 3" xfId="22232" xr:uid="{6E9ADBB8-56FE-4E0B-9053-6C243AA6B5D5}"/>
    <cellStyle name="20% - Accent1 2 3 3 4" xfId="9567" xr:uid="{D044B090-6626-4AAB-A52D-6B3915FA1512}"/>
    <cellStyle name="20% - Accent1 2 3 3 5" xfId="18015" xr:uid="{42021CBF-2384-4709-AD3D-F1F4668F4809}"/>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B78A38FC-4D64-4BDA-ACBF-53875F3C92C9}"/>
    <cellStyle name="20% - Accent1 2 3 4 2 2 3" xfId="24790" xr:uid="{98DF1BA4-8292-480D-9BB8-8C7A51BC87FF}"/>
    <cellStyle name="20% - Accent1 2 3 4 2 3" xfId="12125" xr:uid="{BE21DEC6-03A1-40BE-9F93-8C44D471FCBF}"/>
    <cellStyle name="20% - Accent1 2 3 4 2 4" xfId="20573" xr:uid="{4A1A113E-CE1E-41F0-B25E-29ACE7E6C5C5}"/>
    <cellStyle name="20% - Accent1 2 3 4 3" xfId="5748" xr:uid="{00000000-0005-0000-0000-000037000000}"/>
    <cellStyle name="20% - Accent1 2 3 4 3 2" xfId="14198" xr:uid="{644C27C7-E9D8-4BAC-B4EE-D35754AD332C}"/>
    <cellStyle name="20% - Accent1 2 3 4 3 3" xfId="22645" xr:uid="{6384F36B-FFA1-4B92-8CFE-150016B2EF0D}"/>
    <cellStyle name="20% - Accent1 2 3 4 4" xfId="9980" xr:uid="{AA7D5757-6B0A-4035-B38F-7C957BAF1979}"/>
    <cellStyle name="20% - Accent1 2 3 4 5" xfId="18428" xr:uid="{1DF12748-153A-4FC7-9644-3863530B82B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2DB88B0E-90EE-4C68-A70C-D5E1B514CA6D}"/>
    <cellStyle name="20% - Accent1 2 3 5 2 2 3" xfId="25203" xr:uid="{445C1427-74D3-42A1-A53E-BD6A9F56CFF2}"/>
    <cellStyle name="20% - Accent1 2 3 5 2 3" xfId="12538" xr:uid="{FEB5200B-9D60-40BE-A469-05161DE122AC}"/>
    <cellStyle name="20% - Accent1 2 3 5 2 4" xfId="20986" xr:uid="{9378F7CB-5100-4318-82BC-FE1D8E23AE4D}"/>
    <cellStyle name="20% - Accent1 2 3 5 3" xfId="6161" xr:uid="{00000000-0005-0000-0000-00003B000000}"/>
    <cellStyle name="20% - Accent1 2 3 5 3 2" xfId="14611" xr:uid="{273D6340-535B-4C90-B9D3-F741313E8133}"/>
    <cellStyle name="20% - Accent1 2 3 5 3 3" xfId="23058" xr:uid="{EFACD8EF-F3EA-42D9-AC0F-0BBC5C3402CC}"/>
    <cellStyle name="20% - Accent1 2 3 5 4" xfId="10393" xr:uid="{7FFCDD14-97FB-4227-8C53-28467E847C1E}"/>
    <cellStyle name="20% - Accent1 2 3 5 5" xfId="18841" xr:uid="{7623C61D-10B9-4828-97F6-5386F14C1E1A}"/>
    <cellStyle name="20% - Accent1 2 3 6" xfId="2268" xr:uid="{00000000-0005-0000-0000-00003C000000}"/>
    <cellStyle name="20% - Accent1 2 3 6 2" xfId="6574" xr:uid="{00000000-0005-0000-0000-00003D000000}"/>
    <cellStyle name="20% - Accent1 2 3 6 2 2" xfId="15024" xr:uid="{D90E32D7-CA26-48E4-9A23-863BD677319A}"/>
    <cellStyle name="20% - Accent1 2 3 6 2 3" xfId="23471" xr:uid="{B70F2E1C-0656-465B-B716-68F18BF06B37}"/>
    <cellStyle name="20% - Accent1 2 3 6 3" xfId="10806" xr:uid="{996A591F-F32B-47D0-807B-EC18CE04CC9E}"/>
    <cellStyle name="20% - Accent1 2 3 6 4" xfId="19254" xr:uid="{AA592B58-B5EC-4066-B548-1C8FBC42C2CE}"/>
    <cellStyle name="20% - Accent1 2 3 7" xfId="4508" xr:uid="{00000000-0005-0000-0000-00003E000000}"/>
    <cellStyle name="20% - Accent1 2 3 7 2" xfId="12958" xr:uid="{A4B81E25-0114-49FB-B459-516B5925F138}"/>
    <cellStyle name="20% - Accent1 2 3 7 3" xfId="21405" xr:uid="{D5C3D8F2-CB87-4B0B-94D3-903EE2D0B4DA}"/>
    <cellStyle name="20% - Accent1 2 3 8" xfId="8740" xr:uid="{FDC41FD9-3D72-4353-9D1D-AAEC8D0EA959}"/>
    <cellStyle name="20% - Accent1 2 3 9" xfId="17188" xr:uid="{2E81C1DC-7119-4653-AEDD-8FD659062A0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02A18D4E-17B0-44C4-8804-3AA2B352FE6C}"/>
    <cellStyle name="20% - Accent1 2 4 2 2 3" xfId="23961" xr:uid="{4D5BFE28-C1D2-493A-9243-1EAA262E5E41}"/>
    <cellStyle name="20% - Accent1 2 4 2 3" xfId="11296" xr:uid="{F04ABD63-276D-4CF7-941F-B0E3BFF59163}"/>
    <cellStyle name="20% - Accent1 2 4 2 4" xfId="19744" xr:uid="{10E5CA91-50E4-4041-A76A-323C37DF7A75}"/>
    <cellStyle name="20% - Accent1 2 4 3" xfId="4919" xr:uid="{00000000-0005-0000-0000-000042000000}"/>
    <cellStyle name="20% - Accent1 2 4 3 2" xfId="13369" xr:uid="{E575F4ED-99E6-4C92-B0BC-E575C3FB7B8C}"/>
    <cellStyle name="20% - Accent1 2 4 3 3" xfId="21816" xr:uid="{848E975C-2F45-4CAA-8CD2-C30B283C6072}"/>
    <cellStyle name="20% - Accent1 2 4 4" xfId="9151" xr:uid="{74A6054E-B0EE-4BAF-9BBF-7EA0948F4CFC}"/>
    <cellStyle name="20% - Accent1 2 4 5" xfId="17599" xr:uid="{2178B7C1-2C85-431C-9A99-EEAF699584DE}"/>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9B6F1D90-E66C-43F9-9A39-E502FDC0C6F6}"/>
    <cellStyle name="20% - Accent1 2 5 2 2 3" xfId="24374" xr:uid="{6C12AEE1-EED1-422A-92DA-9DBA45239A3D}"/>
    <cellStyle name="20% - Accent1 2 5 2 3" xfId="11709" xr:uid="{DB5DCA4C-7096-4032-97F5-5EA84B53688C}"/>
    <cellStyle name="20% - Accent1 2 5 2 4" xfId="20157" xr:uid="{523B0EAD-D375-4CC0-8E01-C780CECD7B38}"/>
    <cellStyle name="20% - Accent1 2 5 3" xfId="5332" xr:uid="{00000000-0005-0000-0000-000046000000}"/>
    <cellStyle name="20% - Accent1 2 5 3 2" xfId="13782" xr:uid="{EC28576D-7E2E-47C3-9500-0935E3400956}"/>
    <cellStyle name="20% - Accent1 2 5 3 3" xfId="22229" xr:uid="{4849628A-5FDF-4BA0-834A-C02F2FA4FDFD}"/>
    <cellStyle name="20% - Accent1 2 5 4" xfId="9564" xr:uid="{D072F26E-1895-47EC-B397-8368EA41DDF6}"/>
    <cellStyle name="20% - Accent1 2 5 5" xfId="18012" xr:uid="{2514EA02-C6C0-4FDA-A544-5F7D7D1F060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722A3C83-59F0-49B0-8AFD-240850394E80}"/>
    <cellStyle name="20% - Accent1 2 6 2 2 3" xfId="24787" xr:uid="{FACBDD8A-2A86-4C08-8279-E3475CD82C42}"/>
    <cellStyle name="20% - Accent1 2 6 2 3" xfId="12122" xr:uid="{8144A17F-71C4-4044-BD4B-0EF23C72E008}"/>
    <cellStyle name="20% - Accent1 2 6 2 4" xfId="20570" xr:uid="{AA5ED459-1B34-4E41-B687-F8A07CE45576}"/>
    <cellStyle name="20% - Accent1 2 6 3" xfId="5745" xr:uid="{00000000-0005-0000-0000-00004A000000}"/>
    <cellStyle name="20% - Accent1 2 6 3 2" xfId="14195" xr:uid="{96D7E0F6-D184-4298-A61C-906345AD3A27}"/>
    <cellStyle name="20% - Accent1 2 6 3 3" xfId="22642" xr:uid="{0194E072-2836-4A3D-AE98-38EC59CAC86D}"/>
    <cellStyle name="20% - Accent1 2 6 4" xfId="9977" xr:uid="{04C0CBF5-4524-4413-B198-9C5253D28F8D}"/>
    <cellStyle name="20% - Accent1 2 6 5" xfId="18425" xr:uid="{D1518FAC-6A5A-4FAB-8B8B-C1058727623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1DB1A545-BFB9-4721-9484-A3AE5765598D}"/>
    <cellStyle name="20% - Accent1 2 7 2 2 3" xfId="25200" xr:uid="{463B2618-7607-4181-9D65-70D8948EA5BD}"/>
    <cellStyle name="20% - Accent1 2 7 2 3" xfId="12535" xr:uid="{053818DD-9A1B-4CB4-BF80-E946C0CDD7CB}"/>
    <cellStyle name="20% - Accent1 2 7 2 4" xfId="20983" xr:uid="{6E236382-BBDB-44C9-B191-B5735E497C35}"/>
    <cellStyle name="20% - Accent1 2 7 3" xfId="6158" xr:uid="{00000000-0005-0000-0000-00004E000000}"/>
    <cellStyle name="20% - Accent1 2 7 3 2" xfId="14608" xr:uid="{7AF1B489-6300-4EE0-B13A-67EC5E390519}"/>
    <cellStyle name="20% - Accent1 2 7 3 3" xfId="23055" xr:uid="{B4DC8984-38AF-4FFB-8D3A-943624B3A5FF}"/>
    <cellStyle name="20% - Accent1 2 7 4" xfId="10390" xr:uid="{0F331209-D3B6-45A2-BCEA-6D06B3188151}"/>
    <cellStyle name="20% - Accent1 2 7 5" xfId="18838" xr:uid="{DF7AF5BE-EF22-45CE-BEF8-A9F4F95B9C4B}"/>
    <cellStyle name="20% - Accent1 2 8" xfId="2265" xr:uid="{00000000-0005-0000-0000-00004F000000}"/>
    <cellStyle name="20% - Accent1 2 8 2" xfId="6571" xr:uid="{00000000-0005-0000-0000-000050000000}"/>
    <cellStyle name="20% - Accent1 2 8 2 2" xfId="15021" xr:uid="{B1D9E6D9-7439-4D61-BDAA-B72904544399}"/>
    <cellStyle name="20% - Accent1 2 8 2 3" xfId="23468" xr:uid="{091E9FF4-843A-4598-85A6-CD3222F281CB}"/>
    <cellStyle name="20% - Accent1 2 8 3" xfId="10803" xr:uid="{2C100191-9001-4BB2-97F3-349FAA0C30F2}"/>
    <cellStyle name="20% - Accent1 2 8 4" xfId="19251" xr:uid="{41C90353-2B4D-4276-B488-9FE1B661367E}"/>
    <cellStyle name="20% - Accent1 2 9" xfId="4505" xr:uid="{00000000-0005-0000-0000-000051000000}"/>
    <cellStyle name="20% - Accent1 2 9 2" xfId="12955" xr:uid="{ECDD05AD-0849-440A-BE98-D5155DAB7453}"/>
    <cellStyle name="20% - Accent1 2 9 3" xfId="21402" xr:uid="{4B7F8F83-FB46-4916-9BA7-EB958950BE36}"/>
    <cellStyle name="20% - Accent1 3" xfId="6" xr:uid="{00000000-0005-0000-0000-000052000000}"/>
    <cellStyle name="20% - Accent1 3 10" xfId="17189" xr:uid="{1CBEAF28-0DB5-451E-9E2E-CB2610FC5038}"/>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6E28E1CC-3421-49B3-A507-429C36BE6EDF}"/>
    <cellStyle name="20% - Accent1 3 2 2 2 2 3" xfId="23966" xr:uid="{652FE9A5-7EF4-47AA-A8D0-4AD8513A8378}"/>
    <cellStyle name="20% - Accent1 3 2 2 2 3" xfId="11301" xr:uid="{71328B37-7E90-4B32-8969-96FCCDD2C9FA}"/>
    <cellStyle name="20% - Accent1 3 2 2 2 4" xfId="19749" xr:uid="{76373F24-7363-4425-A6A8-45202D3B5F2B}"/>
    <cellStyle name="20% - Accent1 3 2 2 3" xfId="4924" xr:uid="{00000000-0005-0000-0000-000057000000}"/>
    <cellStyle name="20% - Accent1 3 2 2 3 2" xfId="13374" xr:uid="{DB489B58-ECB5-4A7E-948D-B75186C7C483}"/>
    <cellStyle name="20% - Accent1 3 2 2 3 3" xfId="21821" xr:uid="{014CDBD4-AA22-410C-9BE9-4A502966589A}"/>
    <cellStyle name="20% - Accent1 3 2 2 4" xfId="9156" xr:uid="{C54F0DD8-2931-4C7A-B82C-FB4068D469EA}"/>
    <cellStyle name="20% - Accent1 3 2 2 5" xfId="17604" xr:uid="{D567F25C-F2AF-4032-9F82-01469FDE7EEC}"/>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FBEF7D8A-A0E7-43B1-A04B-B72C821D278C}"/>
    <cellStyle name="20% - Accent1 3 2 3 2 2 3" xfId="24379" xr:uid="{BE5288BB-C91F-4123-931D-C87F519F8385}"/>
    <cellStyle name="20% - Accent1 3 2 3 2 3" xfId="11714" xr:uid="{4D30DE2C-02CB-43B3-A0C1-094BFBCF5D34}"/>
    <cellStyle name="20% - Accent1 3 2 3 2 4" xfId="20162" xr:uid="{A6DB2568-726A-4578-A921-E45E3EBBF346}"/>
    <cellStyle name="20% - Accent1 3 2 3 3" xfId="5337" xr:uid="{00000000-0005-0000-0000-00005B000000}"/>
    <cellStyle name="20% - Accent1 3 2 3 3 2" xfId="13787" xr:uid="{CEB81A4B-3FA0-4719-9C2C-0020C1F89908}"/>
    <cellStyle name="20% - Accent1 3 2 3 3 3" xfId="22234" xr:uid="{4E29A2CF-ED5E-4987-B6A7-F49FA1B178A6}"/>
    <cellStyle name="20% - Accent1 3 2 3 4" xfId="9569" xr:uid="{10D1A250-4EEC-4212-AD48-7DF07263299D}"/>
    <cellStyle name="20% - Accent1 3 2 3 5" xfId="18017" xr:uid="{E3853E86-589D-4B91-8093-CBEA3BBC8F64}"/>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C9DF8264-600F-445A-9B95-CD21097E9A01}"/>
    <cellStyle name="20% - Accent1 3 2 4 2 2 3" xfId="24792" xr:uid="{538CDB8A-791B-47DF-88B7-3D79BF66E5D7}"/>
    <cellStyle name="20% - Accent1 3 2 4 2 3" xfId="12127" xr:uid="{CCF60D67-DC33-4F64-870C-1E1B28D80ECB}"/>
    <cellStyle name="20% - Accent1 3 2 4 2 4" xfId="20575" xr:uid="{650EE17F-F169-4FEB-BD1E-260728B1A9D8}"/>
    <cellStyle name="20% - Accent1 3 2 4 3" xfId="5750" xr:uid="{00000000-0005-0000-0000-00005F000000}"/>
    <cellStyle name="20% - Accent1 3 2 4 3 2" xfId="14200" xr:uid="{11E302E8-EDEB-42A4-B419-A8EE8AD2F90C}"/>
    <cellStyle name="20% - Accent1 3 2 4 3 3" xfId="22647" xr:uid="{128F8D46-B4E3-4C8A-8A89-3B8177E863A6}"/>
    <cellStyle name="20% - Accent1 3 2 4 4" xfId="9982" xr:uid="{D3ABD76D-67D5-4E41-A09E-D26B71BB0159}"/>
    <cellStyle name="20% - Accent1 3 2 4 5" xfId="18430" xr:uid="{72CD5645-9C3C-4EB4-8A30-42E17DB2F44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447CDC89-CD2A-4699-9448-7526392F5086}"/>
    <cellStyle name="20% - Accent1 3 2 5 2 2 3" xfId="25205" xr:uid="{D6B37863-BBDC-4840-81FA-CB4901E0B67F}"/>
    <cellStyle name="20% - Accent1 3 2 5 2 3" xfId="12540" xr:uid="{1D907E83-E8F5-4F1A-9315-F47DF6BFFB34}"/>
    <cellStyle name="20% - Accent1 3 2 5 2 4" xfId="20988" xr:uid="{D8AE2C31-0F11-40F2-9899-785086C90842}"/>
    <cellStyle name="20% - Accent1 3 2 5 3" xfId="6163" xr:uid="{00000000-0005-0000-0000-000063000000}"/>
    <cellStyle name="20% - Accent1 3 2 5 3 2" xfId="14613" xr:uid="{5E6A857A-97ED-4B3D-8A6B-D72D0008E10E}"/>
    <cellStyle name="20% - Accent1 3 2 5 3 3" xfId="23060" xr:uid="{3D956256-C924-483F-8B96-EECC11A17897}"/>
    <cellStyle name="20% - Accent1 3 2 5 4" xfId="10395" xr:uid="{398AC846-C5E1-45EA-B94C-2B0AD2F3D028}"/>
    <cellStyle name="20% - Accent1 3 2 5 5" xfId="18843" xr:uid="{4D1A4731-ED21-4DE8-B61B-F87AD71AF1B3}"/>
    <cellStyle name="20% - Accent1 3 2 6" xfId="2270" xr:uid="{00000000-0005-0000-0000-000064000000}"/>
    <cellStyle name="20% - Accent1 3 2 6 2" xfId="6576" xr:uid="{00000000-0005-0000-0000-000065000000}"/>
    <cellStyle name="20% - Accent1 3 2 6 2 2" xfId="15026" xr:uid="{A75717D2-4BEA-46D7-98B4-9F591CBB085A}"/>
    <cellStyle name="20% - Accent1 3 2 6 2 3" xfId="23473" xr:uid="{3B13F331-AC7C-44D2-8EB4-06BCDEFB7DA4}"/>
    <cellStyle name="20% - Accent1 3 2 6 3" xfId="10808" xr:uid="{4A351A24-8681-4E83-B253-EBA4595600CB}"/>
    <cellStyle name="20% - Accent1 3 2 6 4" xfId="19256" xr:uid="{64F88575-2E2F-4DDF-B96F-7441E1C70235}"/>
    <cellStyle name="20% - Accent1 3 2 7" xfId="4510" xr:uid="{00000000-0005-0000-0000-000066000000}"/>
    <cellStyle name="20% - Accent1 3 2 7 2" xfId="12960" xr:uid="{47647365-BDAA-4B11-9DE4-AE4B7D6EFB6B}"/>
    <cellStyle name="20% - Accent1 3 2 7 3" xfId="21407" xr:uid="{DF46DC2F-7DBF-4FC9-BBDD-F5B2F32739E4}"/>
    <cellStyle name="20% - Accent1 3 2 8" xfId="8742" xr:uid="{C99A00B2-65FB-4FE0-975D-C8B5FA66219F}"/>
    <cellStyle name="20% - Accent1 3 2 9" xfId="17190" xr:uid="{5A1461C3-B273-4C97-BB6F-0CDA01A866C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EBDC28F7-1AEA-4C6E-BD08-C48B009FBB2C}"/>
    <cellStyle name="20% - Accent1 3 3 2 2 3" xfId="23965" xr:uid="{16040912-1DD1-45EC-AD1F-CAA4850D71F3}"/>
    <cellStyle name="20% - Accent1 3 3 2 3" xfId="11300" xr:uid="{14182BDB-7F50-4870-A753-C92AC3A1C9B5}"/>
    <cellStyle name="20% - Accent1 3 3 2 4" xfId="19748" xr:uid="{21A8B888-44CF-4FA6-A868-80A5C9DA5D93}"/>
    <cellStyle name="20% - Accent1 3 3 3" xfId="4923" xr:uid="{00000000-0005-0000-0000-00006A000000}"/>
    <cellStyle name="20% - Accent1 3 3 3 2" xfId="13373" xr:uid="{543419F9-2969-40C6-B0D7-95459ADD8B90}"/>
    <cellStyle name="20% - Accent1 3 3 3 3" xfId="21820" xr:uid="{8F49785B-7BB7-48FA-83CC-AF05A4D1E10F}"/>
    <cellStyle name="20% - Accent1 3 3 4" xfId="9155" xr:uid="{E3E141BA-2ECF-4B99-85EB-CBC2C3180C19}"/>
    <cellStyle name="20% - Accent1 3 3 5" xfId="17603" xr:uid="{3457EE6D-E4F9-4344-B69E-CB8954F1878E}"/>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9F6EE62D-04A0-42B2-A9F2-BA699B5C94E5}"/>
    <cellStyle name="20% - Accent1 3 4 2 2 3" xfId="24378" xr:uid="{653E0CE7-C203-4EC0-B6CB-11E533714944}"/>
    <cellStyle name="20% - Accent1 3 4 2 3" xfId="11713" xr:uid="{4B19025F-F214-48E0-A545-F833F9C6D216}"/>
    <cellStyle name="20% - Accent1 3 4 2 4" xfId="20161" xr:uid="{EB3CA89E-DF13-41B7-8C2B-9A09949CDDC6}"/>
    <cellStyle name="20% - Accent1 3 4 3" xfId="5336" xr:uid="{00000000-0005-0000-0000-00006E000000}"/>
    <cellStyle name="20% - Accent1 3 4 3 2" xfId="13786" xr:uid="{A606E76C-7FAB-4420-BB0C-15C2F041EFA9}"/>
    <cellStyle name="20% - Accent1 3 4 3 3" xfId="22233" xr:uid="{F708DABF-0DBF-4640-B0A4-F11AF100404C}"/>
    <cellStyle name="20% - Accent1 3 4 4" xfId="9568" xr:uid="{AFA7043B-CA1A-486D-B5E6-56420308DED7}"/>
    <cellStyle name="20% - Accent1 3 4 5" xfId="18016" xr:uid="{7733D823-BC54-42CD-85D7-000EF43C8D59}"/>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C13ED81B-4734-4A8A-9809-606D7D887C19}"/>
    <cellStyle name="20% - Accent1 3 5 2 2 3" xfId="24791" xr:uid="{55475D0F-C437-4006-9FC1-5EA86ACC253E}"/>
    <cellStyle name="20% - Accent1 3 5 2 3" xfId="12126" xr:uid="{D59E6345-AB4D-4C34-9D08-36F27878E562}"/>
    <cellStyle name="20% - Accent1 3 5 2 4" xfId="20574" xr:uid="{F62DBC18-CA7C-4DED-AEB8-59C1EFB3B76A}"/>
    <cellStyle name="20% - Accent1 3 5 3" xfId="5749" xr:uid="{00000000-0005-0000-0000-000072000000}"/>
    <cellStyle name="20% - Accent1 3 5 3 2" xfId="14199" xr:uid="{D172AAF3-6606-4BD6-845C-A377EE635BAF}"/>
    <cellStyle name="20% - Accent1 3 5 3 3" xfId="22646" xr:uid="{90644C40-D7C5-49A4-AC24-A94FE5EBD2FD}"/>
    <cellStyle name="20% - Accent1 3 5 4" xfId="9981" xr:uid="{FDA5320D-C760-4959-8CDB-DF2A543B3EA5}"/>
    <cellStyle name="20% - Accent1 3 5 5" xfId="18429" xr:uid="{D6A68E09-6753-4C99-941E-61DA1053879D}"/>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90CA12F7-15BB-43DC-9CF8-E3170D53A7B9}"/>
    <cellStyle name="20% - Accent1 3 6 2 2 3" xfId="25204" xr:uid="{B3831D00-2258-4640-8765-7FF6CEEE4FD3}"/>
    <cellStyle name="20% - Accent1 3 6 2 3" xfId="12539" xr:uid="{9E83D3A3-6298-4671-B59A-5B16C88FADF3}"/>
    <cellStyle name="20% - Accent1 3 6 2 4" xfId="20987" xr:uid="{464DF590-E92D-4DEF-ACBE-DD5E498C636F}"/>
    <cellStyle name="20% - Accent1 3 6 3" xfId="6162" xr:uid="{00000000-0005-0000-0000-000076000000}"/>
    <cellStyle name="20% - Accent1 3 6 3 2" xfId="14612" xr:uid="{3A8FC113-8139-4576-BE75-F4381DC86920}"/>
    <cellStyle name="20% - Accent1 3 6 3 3" xfId="23059" xr:uid="{DB094FC1-1335-47F0-B7B0-7A02E5796579}"/>
    <cellStyle name="20% - Accent1 3 6 4" xfId="10394" xr:uid="{92FDB0E3-1E5E-44E4-94D9-EDD40FE5BFB6}"/>
    <cellStyle name="20% - Accent1 3 6 5" xfId="18842" xr:uid="{86A12C3A-441F-47A0-B3BD-298005536CB7}"/>
    <cellStyle name="20% - Accent1 3 7" xfId="2269" xr:uid="{00000000-0005-0000-0000-000077000000}"/>
    <cellStyle name="20% - Accent1 3 7 2" xfId="6575" xr:uid="{00000000-0005-0000-0000-000078000000}"/>
    <cellStyle name="20% - Accent1 3 7 2 2" xfId="15025" xr:uid="{FAEBBAA0-3CB3-49CD-805D-5BB51A04419A}"/>
    <cellStyle name="20% - Accent1 3 7 2 3" xfId="23472" xr:uid="{982051E5-1411-42EE-9E77-9951E39DFE6C}"/>
    <cellStyle name="20% - Accent1 3 7 3" xfId="10807" xr:uid="{9E364E3B-6973-4A7A-8F25-C03E7250C45C}"/>
    <cellStyle name="20% - Accent1 3 7 4" xfId="19255" xr:uid="{C4FA0513-BF7B-4E01-9073-6EBE236D8BA0}"/>
    <cellStyle name="20% - Accent1 3 8" xfId="4509" xr:uid="{00000000-0005-0000-0000-000079000000}"/>
    <cellStyle name="20% - Accent1 3 8 2" xfId="12959" xr:uid="{630C70BE-2BB7-4E05-9BB5-72D2B0F823A5}"/>
    <cellStyle name="20% - Accent1 3 8 3" xfId="21406" xr:uid="{7CE1CD3A-766C-445E-BFDC-61252A1BD7AD}"/>
    <cellStyle name="20% - Accent1 3 9" xfId="8741" xr:uid="{CBC1CFA8-FAFF-4A4B-8957-31FC6865C821}"/>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256658DD-533A-4635-A4F9-41642FBD7054}"/>
    <cellStyle name="20% - Accent1 4 2 2 2 3" xfId="23967" xr:uid="{4C7FEA9F-8711-4A26-8B23-6CEBCC47E57B}"/>
    <cellStyle name="20% - Accent1 4 2 2 3" xfId="11302" xr:uid="{AB3E1C3C-0E98-4207-AE32-A1F438EF0CF1}"/>
    <cellStyle name="20% - Accent1 4 2 2 4" xfId="19750" xr:uid="{F033ADF5-329D-4C8D-A13C-186CBC83ED23}"/>
    <cellStyle name="20% - Accent1 4 2 3" xfId="4925" xr:uid="{00000000-0005-0000-0000-00007E000000}"/>
    <cellStyle name="20% - Accent1 4 2 3 2" xfId="13375" xr:uid="{C5E35F4B-ADA6-46D3-AFD1-34A67B9ED70E}"/>
    <cellStyle name="20% - Accent1 4 2 3 3" xfId="21822" xr:uid="{F63E08A1-3F22-415D-BC7F-B35FB4F1B2A3}"/>
    <cellStyle name="20% - Accent1 4 2 4" xfId="9157" xr:uid="{67939228-161E-4BDF-9F0E-0EBCC07CF49F}"/>
    <cellStyle name="20% - Accent1 4 2 5" xfId="17605" xr:uid="{4FC17DEE-0F03-4DB8-B371-FB426F43EE9F}"/>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09661F8A-AEC5-4840-B5EB-514C62EAB97E}"/>
    <cellStyle name="20% - Accent1 4 3 2 2 3" xfId="24380" xr:uid="{9CFDEBF6-FFB5-49A2-BE3B-1DA8901FD94A}"/>
    <cellStyle name="20% - Accent1 4 3 2 3" xfId="11715" xr:uid="{BB2E1C30-62DD-4ACE-9A65-27266816B27C}"/>
    <cellStyle name="20% - Accent1 4 3 2 4" xfId="20163" xr:uid="{58F46EB7-3795-494E-A9C0-21D0E96D9901}"/>
    <cellStyle name="20% - Accent1 4 3 3" xfId="5338" xr:uid="{00000000-0005-0000-0000-000082000000}"/>
    <cellStyle name="20% - Accent1 4 3 3 2" xfId="13788" xr:uid="{1B45448E-94D3-497B-A99B-104446989D01}"/>
    <cellStyle name="20% - Accent1 4 3 3 3" xfId="22235" xr:uid="{1E99EA7F-2674-4790-9961-043A2FAE07E1}"/>
    <cellStyle name="20% - Accent1 4 3 4" xfId="9570" xr:uid="{DC854DCB-E4AD-4FFE-9331-8A3EBB1BA808}"/>
    <cellStyle name="20% - Accent1 4 3 5" xfId="18018" xr:uid="{2E4E0C1C-5EB6-4932-A64E-2C24ACDC9DD1}"/>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CA658845-20DF-4671-A42F-830D8175EA04}"/>
    <cellStyle name="20% - Accent1 4 4 2 2 3" xfId="24793" xr:uid="{BA4E71DB-5B99-4BE6-ADDB-632507ED773A}"/>
    <cellStyle name="20% - Accent1 4 4 2 3" xfId="12128" xr:uid="{5CBB0107-4738-4648-8F63-2D0FEFD047D8}"/>
    <cellStyle name="20% - Accent1 4 4 2 4" xfId="20576" xr:uid="{1A56DDBC-63D9-492D-9935-7A244FF015D6}"/>
    <cellStyle name="20% - Accent1 4 4 3" xfId="5751" xr:uid="{00000000-0005-0000-0000-000086000000}"/>
    <cellStyle name="20% - Accent1 4 4 3 2" xfId="14201" xr:uid="{301E2ECC-8285-4C7E-9A2B-F237E8649445}"/>
    <cellStyle name="20% - Accent1 4 4 3 3" xfId="22648" xr:uid="{94804E3B-FA91-4DE8-BF44-A4434DC2A5CE}"/>
    <cellStyle name="20% - Accent1 4 4 4" xfId="9983" xr:uid="{8E49ECF3-7054-44A3-B5C9-7F168DCA9F15}"/>
    <cellStyle name="20% - Accent1 4 4 5" xfId="18431" xr:uid="{DE8FCCFF-6D33-45D6-AF1C-4CA729657378}"/>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2B6B934A-EDB2-425A-8694-ADCF2853CCEA}"/>
    <cellStyle name="20% - Accent1 4 5 2 2 3" xfId="25206" xr:uid="{115BAEE4-0E72-4409-9C3B-BBBE1774E42C}"/>
    <cellStyle name="20% - Accent1 4 5 2 3" xfId="12541" xr:uid="{D3F896C9-69A0-4166-A535-3E45E7FD3D8E}"/>
    <cellStyle name="20% - Accent1 4 5 2 4" xfId="20989" xr:uid="{71CAAE4C-E941-48B0-B929-C888599DAE0F}"/>
    <cellStyle name="20% - Accent1 4 5 3" xfId="6164" xr:uid="{00000000-0005-0000-0000-00008A000000}"/>
    <cellStyle name="20% - Accent1 4 5 3 2" xfId="14614" xr:uid="{7078D593-4CB5-4176-931C-110DCFBDE687}"/>
    <cellStyle name="20% - Accent1 4 5 3 3" xfId="23061" xr:uid="{D05D1819-F067-481C-9EDC-C7FAE41A549A}"/>
    <cellStyle name="20% - Accent1 4 5 4" xfId="10396" xr:uid="{A7082DC9-1F05-4358-8957-89B36E96DE40}"/>
    <cellStyle name="20% - Accent1 4 5 5" xfId="18844" xr:uid="{6043892D-C5A6-486C-AE33-ADFA55A8DE69}"/>
    <cellStyle name="20% - Accent1 4 6" xfId="2271" xr:uid="{00000000-0005-0000-0000-00008B000000}"/>
    <cellStyle name="20% - Accent1 4 6 2" xfId="6577" xr:uid="{00000000-0005-0000-0000-00008C000000}"/>
    <cellStyle name="20% - Accent1 4 6 2 2" xfId="15027" xr:uid="{FC625F4F-E0A7-4C91-8144-3BD4571F7A07}"/>
    <cellStyle name="20% - Accent1 4 6 2 3" xfId="23474" xr:uid="{ECC1B916-0750-47B1-9A63-26CB889700EF}"/>
    <cellStyle name="20% - Accent1 4 6 3" xfId="10809" xr:uid="{FAFF2FEB-EC65-4680-B5F9-4C5B8384C5C1}"/>
    <cellStyle name="20% - Accent1 4 6 4" xfId="19257" xr:uid="{F1821C92-95E0-4602-AAC2-171805E88234}"/>
    <cellStyle name="20% - Accent1 4 7" xfId="4511" xr:uid="{00000000-0005-0000-0000-00008D000000}"/>
    <cellStyle name="20% - Accent1 4 7 2" xfId="12961" xr:uid="{33872934-44FE-4735-A9F7-762221C1B10D}"/>
    <cellStyle name="20% - Accent1 4 7 3" xfId="21408" xr:uid="{E94DB313-EED1-4A73-B5E1-7FC100C7EFDB}"/>
    <cellStyle name="20% - Accent1 4 8" xfId="8743" xr:uid="{B1B8A035-52C8-40C7-A9DE-BA05568D5DCA}"/>
    <cellStyle name="20% - Accent1 4 9" xfId="17191" xr:uid="{2C5B457D-25DB-4CE8-9334-3891876ECD65}"/>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8CE64BF3-86A5-4616-92FF-4661FBB4DD2D}"/>
    <cellStyle name="20% - Accent1 5 2 2 3" xfId="23960" xr:uid="{065D99E6-490D-4D12-961D-4276550E6C42}"/>
    <cellStyle name="20% - Accent1 5 2 3" xfId="11295" xr:uid="{969BC8AF-0CC3-4E97-98A4-1CC3A0046407}"/>
    <cellStyle name="20% - Accent1 5 2 4" xfId="19743" xr:uid="{87A86AD8-773E-4017-A113-1C7AC9E01E22}"/>
    <cellStyle name="20% - Accent1 5 3" xfId="4918" xr:uid="{00000000-0005-0000-0000-000091000000}"/>
    <cellStyle name="20% - Accent1 5 3 2" xfId="13368" xr:uid="{65A03FF7-521B-4252-B092-0AF8074F9519}"/>
    <cellStyle name="20% - Accent1 5 3 3" xfId="21815" xr:uid="{4F1EB0BD-53AE-4A89-82A0-BCF469F70756}"/>
    <cellStyle name="20% - Accent1 5 4" xfId="9150" xr:uid="{B91AFFC7-9E5E-4B89-8166-0FCEDC9DBDA2}"/>
    <cellStyle name="20% - Accent1 5 5" xfId="17598" xr:uid="{A408DC35-7615-4CC7-8733-524A13B43CDC}"/>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7BF64E14-EAE4-4239-9F16-C49016F49F0B}"/>
    <cellStyle name="20% - Accent1 6 2 2 3" xfId="24373" xr:uid="{AA32C750-204A-40C7-BCB3-D456400EBBD2}"/>
    <cellStyle name="20% - Accent1 6 2 3" xfId="11708" xr:uid="{8E509CBD-6AC4-4EA0-ACCC-264DA3DB270F}"/>
    <cellStyle name="20% - Accent1 6 2 4" xfId="20156" xr:uid="{5A19BF7F-5429-4116-B0D9-2729B883FCFE}"/>
    <cellStyle name="20% - Accent1 6 3" xfId="5331" xr:uid="{00000000-0005-0000-0000-000095000000}"/>
    <cellStyle name="20% - Accent1 6 3 2" xfId="13781" xr:uid="{B6DFA420-747C-47A4-8A18-1F9DB08382A8}"/>
    <cellStyle name="20% - Accent1 6 3 3" xfId="22228" xr:uid="{D870B08A-7ECC-4BBF-8173-E2001965BCC1}"/>
    <cellStyle name="20% - Accent1 6 4" xfId="9563" xr:uid="{BC5ABA43-8C4A-4A2C-A103-A0A89E88CD41}"/>
    <cellStyle name="20% - Accent1 6 5" xfId="18011" xr:uid="{07E5A8FB-6853-4853-BC85-874A8445888E}"/>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F24DF74F-720D-4739-8D74-58AE80572F80}"/>
    <cellStyle name="20% - Accent1 7 2 2 3" xfId="24786" xr:uid="{1B8126E1-757A-45F8-A5B1-92C53B17B747}"/>
    <cellStyle name="20% - Accent1 7 2 3" xfId="12121" xr:uid="{1F9E4563-68F7-423F-8026-58535D924D4A}"/>
    <cellStyle name="20% - Accent1 7 2 4" xfId="20569" xr:uid="{6023AAD6-5700-43FC-9862-BF39CEFB980B}"/>
    <cellStyle name="20% - Accent1 7 3" xfId="5744" xr:uid="{00000000-0005-0000-0000-000099000000}"/>
    <cellStyle name="20% - Accent1 7 3 2" xfId="14194" xr:uid="{8A621B05-6B22-430B-A3E7-BC3CADF809F8}"/>
    <cellStyle name="20% - Accent1 7 3 3" xfId="22641" xr:uid="{A459E89B-CFFE-4945-ADA2-FB0EF8071696}"/>
    <cellStyle name="20% - Accent1 7 4" xfId="9976" xr:uid="{6E15AA36-53E0-4ADC-B561-681B13667281}"/>
    <cellStyle name="20% - Accent1 7 5" xfId="18424" xr:uid="{58BAF2FA-BD17-4614-9F94-6D888E93DE5F}"/>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1CCA9333-C2D5-4622-8367-7DED32B7B62A}"/>
    <cellStyle name="20% - Accent1 8 2 2 3" xfId="25199" xr:uid="{0ED58C6F-A8F5-4E81-AAF2-75772459FB2D}"/>
    <cellStyle name="20% - Accent1 8 2 3" xfId="12534" xr:uid="{BAE58CE3-9C2F-4ECD-AF77-11A6EB13E5D2}"/>
    <cellStyle name="20% - Accent1 8 2 4" xfId="20982" xr:uid="{58C5FE01-FE0D-401E-9B5F-D2BB5BE0F296}"/>
    <cellStyle name="20% - Accent1 8 3" xfId="6157" xr:uid="{00000000-0005-0000-0000-00009D000000}"/>
    <cellStyle name="20% - Accent1 8 3 2" xfId="14607" xr:uid="{82DB81CC-3951-4A37-8FB2-F538878E3CD7}"/>
    <cellStyle name="20% - Accent1 8 3 3" xfId="23054" xr:uid="{2B2A906C-5177-4FCD-A9CE-294C79DA3176}"/>
    <cellStyle name="20% - Accent1 8 4" xfId="10389" xr:uid="{B3FCAA7D-8073-4043-9133-94ED8D2F42E1}"/>
    <cellStyle name="20% - Accent1 8 5" xfId="18837" xr:uid="{2AFD99AE-E0CC-42CA-B3DA-E46741322893}"/>
    <cellStyle name="20% - Accent1 9" xfId="2264" xr:uid="{00000000-0005-0000-0000-00009E000000}"/>
    <cellStyle name="20% - Accent1 9 2" xfId="6570" xr:uid="{00000000-0005-0000-0000-00009F000000}"/>
    <cellStyle name="20% - Accent1 9 2 2" xfId="15020" xr:uid="{6D25E3D9-CD34-46A2-8CB2-E8759D065BEE}"/>
    <cellStyle name="20% - Accent1 9 2 3" xfId="23467" xr:uid="{BD526BAA-B853-43FF-854B-5700A0CF575F}"/>
    <cellStyle name="20% - Accent1 9 3" xfId="10802" xr:uid="{28C1783B-EA87-43D7-AE5D-E0DDFB8264FB}"/>
    <cellStyle name="20% - Accent1 9 4" xfId="19250" xr:uid="{3916B060-79B0-45A2-A1F4-98D0D404BDF4}"/>
    <cellStyle name="20% - Accent2" xfId="9" builtinId="34" customBuiltin="1"/>
    <cellStyle name="20% - Accent2 10" xfId="4512" xr:uid="{00000000-0005-0000-0000-0000A1000000}"/>
    <cellStyle name="20% - Accent2 10 2" xfId="12962" xr:uid="{6364FB29-BF53-4A29-BA7C-C92307758745}"/>
    <cellStyle name="20% - Accent2 10 3" xfId="21409" xr:uid="{8756C6A3-3C0A-45CE-8EE2-D8D99CBD7879}"/>
    <cellStyle name="20% - Accent2 11" xfId="8744" xr:uid="{15B86171-B5D0-4D6F-8E5D-ADC36F3B8480}"/>
    <cellStyle name="20% - Accent2 12" xfId="17192" xr:uid="{5E737B78-1488-4C32-86C4-8C20915F41C9}"/>
    <cellStyle name="20% - Accent2 2" xfId="10" xr:uid="{00000000-0005-0000-0000-0000A2000000}"/>
    <cellStyle name="20% - Accent2 2 10" xfId="8745" xr:uid="{60689D27-C692-4834-960E-8E0C3EC0227B}"/>
    <cellStyle name="20% - Accent2 2 11" xfId="17193" xr:uid="{3DAABCE9-C195-4877-B26A-67A8A0F9333E}"/>
    <cellStyle name="20% - Accent2 2 2" xfId="11" xr:uid="{00000000-0005-0000-0000-0000A3000000}"/>
    <cellStyle name="20% - Accent2 2 2 10" xfId="17194" xr:uid="{FD97F1C6-6467-44BA-8043-6A58C6B227FB}"/>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FBFF4C7F-68AE-4A28-BF81-7E72228A0E51}"/>
    <cellStyle name="20% - Accent2 2 2 2 2 2 2 3" xfId="23971" xr:uid="{7D50152F-9D19-4904-8A81-4AF1AB23F11C}"/>
    <cellStyle name="20% - Accent2 2 2 2 2 2 3" xfId="11306" xr:uid="{A53C54E6-74BD-4D86-AF69-B4531EB6464E}"/>
    <cellStyle name="20% - Accent2 2 2 2 2 2 4" xfId="19754" xr:uid="{8BF40D45-AC06-4105-9203-9DBD71C5A657}"/>
    <cellStyle name="20% - Accent2 2 2 2 2 3" xfId="4929" xr:uid="{00000000-0005-0000-0000-0000A8000000}"/>
    <cellStyle name="20% - Accent2 2 2 2 2 3 2" xfId="13379" xr:uid="{935EE7A0-45FC-4CE4-AAE4-31D1A5D28CEC}"/>
    <cellStyle name="20% - Accent2 2 2 2 2 3 3" xfId="21826" xr:uid="{49F433DA-7208-4C9D-B8D8-D735BC61B65E}"/>
    <cellStyle name="20% - Accent2 2 2 2 2 4" xfId="9161" xr:uid="{48390ABB-3543-411C-A13E-DCD3BBC068A7}"/>
    <cellStyle name="20% - Accent2 2 2 2 2 5" xfId="17609" xr:uid="{8FE1E4CC-A260-4953-9116-283BB79AA217}"/>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8034833A-5AF9-4A9B-BA42-8021D47FC354}"/>
    <cellStyle name="20% - Accent2 2 2 2 3 2 2 3" xfId="24384" xr:uid="{59ADCFF0-1935-4B35-899C-ABD8F9FE2861}"/>
    <cellStyle name="20% - Accent2 2 2 2 3 2 3" xfId="11719" xr:uid="{11FF1C92-19C7-4357-8250-F2E57EE1A315}"/>
    <cellStyle name="20% - Accent2 2 2 2 3 2 4" xfId="20167" xr:uid="{3CDF19E7-87F6-4976-B7AB-92C07F622155}"/>
    <cellStyle name="20% - Accent2 2 2 2 3 3" xfId="5342" xr:uid="{00000000-0005-0000-0000-0000AC000000}"/>
    <cellStyle name="20% - Accent2 2 2 2 3 3 2" xfId="13792" xr:uid="{22C441C1-94AB-4607-8A3D-A1980EF0E4AB}"/>
    <cellStyle name="20% - Accent2 2 2 2 3 3 3" xfId="22239" xr:uid="{2A5E1410-EE86-47EB-ACE4-208917DFE280}"/>
    <cellStyle name="20% - Accent2 2 2 2 3 4" xfId="9574" xr:uid="{7BCAD623-D9E7-449F-B694-1FC25B5F71C8}"/>
    <cellStyle name="20% - Accent2 2 2 2 3 5" xfId="18022" xr:uid="{2F4BDA5B-D64C-4131-851B-BB50301E79B8}"/>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1361160B-2ACE-43CF-A835-53872BA15164}"/>
    <cellStyle name="20% - Accent2 2 2 2 4 2 2 3" xfId="24797" xr:uid="{C4170037-8931-4ECD-A8A7-C6E68EE9F7A3}"/>
    <cellStyle name="20% - Accent2 2 2 2 4 2 3" xfId="12132" xr:uid="{012701CA-DE1A-4922-92DD-D461B1397C24}"/>
    <cellStyle name="20% - Accent2 2 2 2 4 2 4" xfId="20580" xr:uid="{0371C23B-7C26-475A-B847-0BBEA5E02145}"/>
    <cellStyle name="20% - Accent2 2 2 2 4 3" xfId="5755" xr:uid="{00000000-0005-0000-0000-0000B0000000}"/>
    <cellStyle name="20% - Accent2 2 2 2 4 3 2" xfId="14205" xr:uid="{CBBEEDC1-8C3D-49EC-863F-1154D41AEB3A}"/>
    <cellStyle name="20% - Accent2 2 2 2 4 3 3" xfId="22652" xr:uid="{E319F4FB-9802-46D1-BB96-BCA3DDE4C7E1}"/>
    <cellStyle name="20% - Accent2 2 2 2 4 4" xfId="9987" xr:uid="{EEFBB0C5-27DC-4CE4-930D-38933702A889}"/>
    <cellStyle name="20% - Accent2 2 2 2 4 5" xfId="18435" xr:uid="{CC94E8F9-2C34-4EDD-AD86-CCC8C9C3036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E25D5742-9010-41EE-BA9A-CAF3EE36A2DF}"/>
    <cellStyle name="20% - Accent2 2 2 2 5 2 2 3" xfId="25210" xr:uid="{A8C6C6B0-7983-43B2-A2F4-70FBBA6540D7}"/>
    <cellStyle name="20% - Accent2 2 2 2 5 2 3" xfId="12545" xr:uid="{686313F0-D6DA-47CB-B5B5-664413AA4317}"/>
    <cellStyle name="20% - Accent2 2 2 2 5 2 4" xfId="20993" xr:uid="{37B2BF7C-60EE-4666-9E5A-3EE741D7FD35}"/>
    <cellStyle name="20% - Accent2 2 2 2 5 3" xfId="6168" xr:uid="{00000000-0005-0000-0000-0000B4000000}"/>
    <cellStyle name="20% - Accent2 2 2 2 5 3 2" xfId="14618" xr:uid="{D02DE840-F65F-42B1-BF13-488956B60424}"/>
    <cellStyle name="20% - Accent2 2 2 2 5 3 3" xfId="23065" xr:uid="{10D6E96E-D0AA-4785-90CF-7BF51A8A6EB5}"/>
    <cellStyle name="20% - Accent2 2 2 2 5 4" xfId="10400" xr:uid="{57899CF2-1451-43A0-910F-B41427B13DC9}"/>
    <cellStyle name="20% - Accent2 2 2 2 5 5" xfId="18848" xr:uid="{0046E8A7-C5E8-4181-AE22-F03F1E7E2933}"/>
    <cellStyle name="20% - Accent2 2 2 2 6" xfId="2275" xr:uid="{00000000-0005-0000-0000-0000B5000000}"/>
    <cellStyle name="20% - Accent2 2 2 2 6 2" xfId="6581" xr:uid="{00000000-0005-0000-0000-0000B6000000}"/>
    <cellStyle name="20% - Accent2 2 2 2 6 2 2" xfId="15031" xr:uid="{4F0BFAE8-7894-40E3-82FA-BC989ACB7059}"/>
    <cellStyle name="20% - Accent2 2 2 2 6 2 3" xfId="23478" xr:uid="{CE677FE4-6238-4619-B5CA-821129DDCB6F}"/>
    <cellStyle name="20% - Accent2 2 2 2 6 3" xfId="10813" xr:uid="{6AC40EA9-1835-454F-B74B-0A2C82AC16A0}"/>
    <cellStyle name="20% - Accent2 2 2 2 6 4" xfId="19261" xr:uid="{A91DC77C-B442-435F-90E5-FEB85850DAEC}"/>
    <cellStyle name="20% - Accent2 2 2 2 7" xfId="4515" xr:uid="{00000000-0005-0000-0000-0000B7000000}"/>
    <cellStyle name="20% - Accent2 2 2 2 7 2" xfId="12965" xr:uid="{12F4E63F-CA54-4D70-A0CD-1B62C7DAF1AF}"/>
    <cellStyle name="20% - Accent2 2 2 2 7 3" xfId="21412" xr:uid="{E9829FF6-317B-455E-A5DC-7C2C4533C518}"/>
    <cellStyle name="20% - Accent2 2 2 2 8" xfId="8747" xr:uid="{556998D1-FF52-4A16-B00E-558637DD17DA}"/>
    <cellStyle name="20% - Accent2 2 2 2 9" xfId="17195" xr:uid="{24727E00-607B-445B-AF35-6F4A322E9A3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131FAC93-D867-47CF-A1D9-D544591594B7}"/>
    <cellStyle name="20% - Accent2 2 2 3 2 2 3" xfId="23970" xr:uid="{70CF82BB-3404-4D26-AD72-04644399B473}"/>
    <cellStyle name="20% - Accent2 2 2 3 2 3" xfId="11305" xr:uid="{533E0D38-5173-4BF3-8824-8250BA92D122}"/>
    <cellStyle name="20% - Accent2 2 2 3 2 4" xfId="19753" xr:uid="{26487DCC-6AE2-4E43-9C42-341CED2F40EF}"/>
    <cellStyle name="20% - Accent2 2 2 3 3" xfId="4928" xr:uid="{00000000-0005-0000-0000-0000BB000000}"/>
    <cellStyle name="20% - Accent2 2 2 3 3 2" xfId="13378" xr:uid="{5BC84DDB-7E43-4330-8AE2-28C2C2AE3D16}"/>
    <cellStyle name="20% - Accent2 2 2 3 3 3" xfId="21825" xr:uid="{E6485E2F-8FB8-470D-89B0-D331CA49621D}"/>
    <cellStyle name="20% - Accent2 2 2 3 4" xfId="9160" xr:uid="{D36E4A45-4CA9-4A95-9F57-28C9BC5DAAD7}"/>
    <cellStyle name="20% - Accent2 2 2 3 5" xfId="17608" xr:uid="{BDA8892D-CA58-4CD0-9643-037480FA0995}"/>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14E33940-4A3B-4FDD-96C3-72F545086A52}"/>
    <cellStyle name="20% - Accent2 2 2 4 2 2 3" xfId="24383" xr:uid="{E5D19023-DD87-444B-84E3-6C618D475B04}"/>
    <cellStyle name="20% - Accent2 2 2 4 2 3" xfId="11718" xr:uid="{BA1A416F-5C15-49B4-A65B-BBF3BF2B1815}"/>
    <cellStyle name="20% - Accent2 2 2 4 2 4" xfId="20166" xr:uid="{D62E01A2-C06C-4DEB-B510-86EE10E02579}"/>
    <cellStyle name="20% - Accent2 2 2 4 3" xfId="5341" xr:uid="{00000000-0005-0000-0000-0000BF000000}"/>
    <cellStyle name="20% - Accent2 2 2 4 3 2" xfId="13791" xr:uid="{3639BCD6-C3D9-4F07-9C95-7865C19F1BCA}"/>
    <cellStyle name="20% - Accent2 2 2 4 3 3" xfId="22238" xr:uid="{FD585F91-1A21-4505-B4D9-90C07462ADBF}"/>
    <cellStyle name="20% - Accent2 2 2 4 4" xfId="9573" xr:uid="{3711F1A3-D9D5-46AD-92EC-05519CEB269E}"/>
    <cellStyle name="20% - Accent2 2 2 4 5" xfId="18021" xr:uid="{F8724BB3-C8C3-4FD4-A6B3-16CE7AAFEF2B}"/>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D1905221-C07B-42CE-89D2-4602FD7974A8}"/>
    <cellStyle name="20% - Accent2 2 2 5 2 2 3" xfId="24796" xr:uid="{B62C951E-AAC5-420B-AF8F-BC56A4870849}"/>
    <cellStyle name="20% - Accent2 2 2 5 2 3" xfId="12131" xr:uid="{2020C59C-A873-473E-9CE1-4CD4F3F133C0}"/>
    <cellStyle name="20% - Accent2 2 2 5 2 4" xfId="20579" xr:uid="{5D40D932-15BD-4E5C-9AC1-A3A0B786A081}"/>
    <cellStyle name="20% - Accent2 2 2 5 3" xfId="5754" xr:uid="{00000000-0005-0000-0000-0000C3000000}"/>
    <cellStyle name="20% - Accent2 2 2 5 3 2" xfId="14204" xr:uid="{9BD25A62-25D5-4002-A6E3-D31663546EE7}"/>
    <cellStyle name="20% - Accent2 2 2 5 3 3" xfId="22651" xr:uid="{B9E3DD76-EF60-41FF-A698-BB80584281B6}"/>
    <cellStyle name="20% - Accent2 2 2 5 4" xfId="9986" xr:uid="{B9C403BB-F99B-4FDE-8925-9001D30369B5}"/>
    <cellStyle name="20% - Accent2 2 2 5 5" xfId="18434" xr:uid="{AF257D26-7C3E-4096-BAEE-BF4574EDDC8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BE6EB6EB-DD2E-44D5-90B8-D239EC2A3438}"/>
    <cellStyle name="20% - Accent2 2 2 6 2 2 3" xfId="25209" xr:uid="{A1F10741-B05E-47D5-9174-7D204B330E3E}"/>
    <cellStyle name="20% - Accent2 2 2 6 2 3" xfId="12544" xr:uid="{2FE21BE0-1EB3-47B0-8C09-9EE3E1D5EC8A}"/>
    <cellStyle name="20% - Accent2 2 2 6 2 4" xfId="20992" xr:uid="{C63C1833-1CBC-485A-8BE4-8275DFEDAC52}"/>
    <cellStyle name="20% - Accent2 2 2 6 3" xfId="6167" xr:uid="{00000000-0005-0000-0000-0000C7000000}"/>
    <cellStyle name="20% - Accent2 2 2 6 3 2" xfId="14617" xr:uid="{FD887582-E6BF-45F3-82E6-D4C03D1C8392}"/>
    <cellStyle name="20% - Accent2 2 2 6 3 3" xfId="23064" xr:uid="{CF572F96-CF5F-4E4A-8FD1-EAAC3907D98F}"/>
    <cellStyle name="20% - Accent2 2 2 6 4" xfId="10399" xr:uid="{6E4737FD-DE23-4E06-B61C-D538445A2CBA}"/>
    <cellStyle name="20% - Accent2 2 2 6 5" xfId="18847" xr:uid="{57A87CD9-BD4D-43BD-83D0-D6F64A775D51}"/>
    <cellStyle name="20% - Accent2 2 2 7" xfId="2274" xr:uid="{00000000-0005-0000-0000-0000C8000000}"/>
    <cellStyle name="20% - Accent2 2 2 7 2" xfId="6580" xr:uid="{00000000-0005-0000-0000-0000C9000000}"/>
    <cellStyle name="20% - Accent2 2 2 7 2 2" xfId="15030" xr:uid="{90A92646-76D7-4946-BED2-B58183D220A1}"/>
    <cellStyle name="20% - Accent2 2 2 7 2 3" xfId="23477" xr:uid="{40DB3AD9-941A-4A54-9F2B-ABC39E93ECF3}"/>
    <cellStyle name="20% - Accent2 2 2 7 3" xfId="10812" xr:uid="{8B6A64E0-3DC3-46F2-B881-50EFDA457355}"/>
    <cellStyle name="20% - Accent2 2 2 7 4" xfId="19260" xr:uid="{72F8EE50-580C-4A80-8335-4BE563D1EE95}"/>
    <cellStyle name="20% - Accent2 2 2 8" xfId="4514" xr:uid="{00000000-0005-0000-0000-0000CA000000}"/>
    <cellStyle name="20% - Accent2 2 2 8 2" xfId="12964" xr:uid="{04060F96-4FA2-479B-8AB3-53EB175F45D2}"/>
    <cellStyle name="20% - Accent2 2 2 8 3" xfId="21411" xr:uid="{67B60463-3004-4904-B318-08D7B3280F75}"/>
    <cellStyle name="20% - Accent2 2 2 9" xfId="8746" xr:uid="{8411244D-C814-471B-A93E-F77BF31C1D1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6A959C8E-A40B-466D-B106-4AABBFC99985}"/>
    <cellStyle name="20% - Accent2 2 3 2 2 2 3" xfId="23972" xr:uid="{AEF10872-A92F-4322-ACD6-DBB54E1D642D}"/>
    <cellStyle name="20% - Accent2 2 3 2 2 3" xfId="11307" xr:uid="{5127CD69-3A9A-4EC5-BEDA-C0FD9ECFC772}"/>
    <cellStyle name="20% - Accent2 2 3 2 2 4" xfId="19755" xr:uid="{28C1812D-8A46-464D-954D-C699D9290E26}"/>
    <cellStyle name="20% - Accent2 2 3 2 3" xfId="4930" xr:uid="{00000000-0005-0000-0000-0000CF000000}"/>
    <cellStyle name="20% - Accent2 2 3 2 3 2" xfId="13380" xr:uid="{7F04CC2F-F86C-45F8-AE70-52A7AB89383D}"/>
    <cellStyle name="20% - Accent2 2 3 2 3 3" xfId="21827" xr:uid="{42C16B97-6695-4B1A-93D2-69A6ABB66B67}"/>
    <cellStyle name="20% - Accent2 2 3 2 4" xfId="9162" xr:uid="{B3932E0F-8C18-43E0-9F41-73EB6F338869}"/>
    <cellStyle name="20% - Accent2 2 3 2 5" xfId="17610" xr:uid="{84FACE51-8F04-4297-9CC2-284F68BC78A0}"/>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453FD48F-9547-47EA-A8BA-1327F706D8E1}"/>
    <cellStyle name="20% - Accent2 2 3 3 2 2 3" xfId="24385" xr:uid="{A96EF133-3B17-4B38-8C0C-811BBDFC214A}"/>
    <cellStyle name="20% - Accent2 2 3 3 2 3" xfId="11720" xr:uid="{D5E52C77-4876-47B8-ADF3-5565A04C0D57}"/>
    <cellStyle name="20% - Accent2 2 3 3 2 4" xfId="20168" xr:uid="{18C74D39-2C06-4631-894A-09FB94C136BB}"/>
    <cellStyle name="20% - Accent2 2 3 3 3" xfId="5343" xr:uid="{00000000-0005-0000-0000-0000D3000000}"/>
    <cellStyle name="20% - Accent2 2 3 3 3 2" xfId="13793" xr:uid="{4A674F76-3096-44DC-868B-CB2FA6D21AE9}"/>
    <cellStyle name="20% - Accent2 2 3 3 3 3" xfId="22240" xr:uid="{D5747277-BCEE-4D46-8C69-F48ABF305313}"/>
    <cellStyle name="20% - Accent2 2 3 3 4" xfId="9575" xr:uid="{DB7FDDD2-DACE-4E4C-A7F7-9BA265294B7B}"/>
    <cellStyle name="20% - Accent2 2 3 3 5" xfId="18023" xr:uid="{0927BA27-A006-4878-91A3-946CB330D81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A1E2E035-04B6-4AB9-80F5-770869F9D1D4}"/>
    <cellStyle name="20% - Accent2 2 3 4 2 2 3" xfId="24798" xr:uid="{04012CF1-3E1A-4224-8DDB-89C3C3ED37A9}"/>
    <cellStyle name="20% - Accent2 2 3 4 2 3" xfId="12133" xr:uid="{291BDBF6-2A86-430A-9BC6-B56BCE2BF014}"/>
    <cellStyle name="20% - Accent2 2 3 4 2 4" xfId="20581" xr:uid="{1C3C4120-9884-4CD7-BB9E-23CA06CB2204}"/>
    <cellStyle name="20% - Accent2 2 3 4 3" xfId="5756" xr:uid="{00000000-0005-0000-0000-0000D7000000}"/>
    <cellStyle name="20% - Accent2 2 3 4 3 2" xfId="14206" xr:uid="{BC6862D0-5519-4B68-8F09-7FB4E5FDDB22}"/>
    <cellStyle name="20% - Accent2 2 3 4 3 3" xfId="22653" xr:uid="{0F0054C2-FC81-4E10-931C-7F0C720CF411}"/>
    <cellStyle name="20% - Accent2 2 3 4 4" xfId="9988" xr:uid="{C9F2183B-7647-434B-8074-D29FCFDE7907}"/>
    <cellStyle name="20% - Accent2 2 3 4 5" xfId="18436" xr:uid="{A00008B4-7090-4A70-A5AC-A3767E36C796}"/>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6ED9881B-5DC7-4D89-86B9-AD27373D0C69}"/>
    <cellStyle name="20% - Accent2 2 3 5 2 2 3" xfId="25211" xr:uid="{AB7C7CDE-E266-42D4-937C-63E6719A5A95}"/>
    <cellStyle name="20% - Accent2 2 3 5 2 3" xfId="12546" xr:uid="{41C79D71-678A-41A1-A0AE-BAB97216FAA4}"/>
    <cellStyle name="20% - Accent2 2 3 5 2 4" xfId="20994" xr:uid="{F0C88DE0-D15E-4E53-8B2E-EA595FA7B19C}"/>
    <cellStyle name="20% - Accent2 2 3 5 3" xfId="6169" xr:uid="{00000000-0005-0000-0000-0000DB000000}"/>
    <cellStyle name="20% - Accent2 2 3 5 3 2" xfId="14619" xr:uid="{5DD56063-F887-49DB-BF23-707D156AF534}"/>
    <cellStyle name="20% - Accent2 2 3 5 3 3" xfId="23066" xr:uid="{53D99DD5-2A44-40A6-BEAE-5F9AA8B34223}"/>
    <cellStyle name="20% - Accent2 2 3 5 4" xfId="10401" xr:uid="{F8C01762-D856-471D-8360-51B62789087F}"/>
    <cellStyle name="20% - Accent2 2 3 5 5" xfId="18849" xr:uid="{C08C1F50-67D0-4EA0-98E2-2DA8F8C1E9B5}"/>
    <cellStyle name="20% - Accent2 2 3 6" xfId="2276" xr:uid="{00000000-0005-0000-0000-0000DC000000}"/>
    <cellStyle name="20% - Accent2 2 3 6 2" xfId="6582" xr:uid="{00000000-0005-0000-0000-0000DD000000}"/>
    <cellStyle name="20% - Accent2 2 3 6 2 2" xfId="15032" xr:uid="{5A560EE2-5814-4EBB-B400-1FC5531B049C}"/>
    <cellStyle name="20% - Accent2 2 3 6 2 3" xfId="23479" xr:uid="{EBE5CEEB-58CD-4124-9CEE-1265FF8E2DA3}"/>
    <cellStyle name="20% - Accent2 2 3 6 3" xfId="10814" xr:uid="{709DA011-1FAB-40D9-948A-5FEB13F3422E}"/>
    <cellStyle name="20% - Accent2 2 3 6 4" xfId="19262" xr:uid="{785FE694-77BF-448D-B269-2834880852EE}"/>
    <cellStyle name="20% - Accent2 2 3 7" xfId="4516" xr:uid="{00000000-0005-0000-0000-0000DE000000}"/>
    <cellStyle name="20% - Accent2 2 3 7 2" xfId="12966" xr:uid="{9E505C76-0D8E-45D0-8C90-E7DBA4DF31D6}"/>
    <cellStyle name="20% - Accent2 2 3 7 3" xfId="21413" xr:uid="{E22D8399-9718-4569-8EB4-0BEEEBEDBBC4}"/>
    <cellStyle name="20% - Accent2 2 3 8" xfId="8748" xr:uid="{1A97C416-0F39-4D06-AFCF-D04F007ED770}"/>
    <cellStyle name="20% - Accent2 2 3 9" xfId="17196" xr:uid="{EA532B5D-FCCB-448C-B412-D713D0B13A3A}"/>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13D9B238-B44A-4644-AA13-0B087F672E55}"/>
    <cellStyle name="20% - Accent2 2 4 2 2 3" xfId="23969" xr:uid="{4CC25F8F-29DF-4596-96F3-6668C528599D}"/>
    <cellStyle name="20% - Accent2 2 4 2 3" xfId="11304" xr:uid="{27E8224C-EFA9-4A38-A9B5-31165E662922}"/>
    <cellStyle name="20% - Accent2 2 4 2 4" xfId="19752" xr:uid="{32A5390F-19AB-4A8D-9A5E-657867DE0E98}"/>
    <cellStyle name="20% - Accent2 2 4 3" xfId="4927" xr:uid="{00000000-0005-0000-0000-0000E2000000}"/>
    <cellStyle name="20% - Accent2 2 4 3 2" xfId="13377" xr:uid="{7A11B68C-585C-4557-8139-2B7BF4E9B969}"/>
    <cellStyle name="20% - Accent2 2 4 3 3" xfId="21824" xr:uid="{5BAC5567-279B-424F-B162-7A766CE01B2C}"/>
    <cellStyle name="20% - Accent2 2 4 4" xfId="9159" xr:uid="{97909FDA-4D13-4FB4-A6DC-C45D5DB4D295}"/>
    <cellStyle name="20% - Accent2 2 4 5" xfId="17607" xr:uid="{877CEEAF-9FEB-4BA8-BB58-DFFB2B1C4789}"/>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4008545C-EF65-446E-98B4-94A6E5DE97E3}"/>
    <cellStyle name="20% - Accent2 2 5 2 2 3" xfId="24382" xr:uid="{67F36ED4-7AA4-4BC1-AA42-5D7A9D2F18BE}"/>
    <cellStyle name="20% - Accent2 2 5 2 3" xfId="11717" xr:uid="{27D7C4E1-ACE9-4ABC-A141-72F59C103346}"/>
    <cellStyle name="20% - Accent2 2 5 2 4" xfId="20165" xr:uid="{FC13D7BD-B10B-4F05-BFDB-34FC1FB2DEF9}"/>
    <cellStyle name="20% - Accent2 2 5 3" xfId="5340" xr:uid="{00000000-0005-0000-0000-0000E6000000}"/>
    <cellStyle name="20% - Accent2 2 5 3 2" xfId="13790" xr:uid="{BE506AE0-5266-4A76-8050-571E0F170F36}"/>
    <cellStyle name="20% - Accent2 2 5 3 3" xfId="22237" xr:uid="{354B9049-5FB5-4044-A9BC-1B2ADF38A847}"/>
    <cellStyle name="20% - Accent2 2 5 4" xfId="9572" xr:uid="{5D6EF1EF-D276-484D-9572-4BCCB1BAA894}"/>
    <cellStyle name="20% - Accent2 2 5 5" xfId="18020" xr:uid="{65CA2B82-8650-4B80-A9E3-91A62A924050}"/>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2F011174-B671-4E9B-AC6A-19E280B7A839}"/>
    <cellStyle name="20% - Accent2 2 6 2 2 3" xfId="24795" xr:uid="{6D6E0D99-2067-4BD3-B693-7C6881E3B72B}"/>
    <cellStyle name="20% - Accent2 2 6 2 3" xfId="12130" xr:uid="{C7E6FBC0-0182-412A-B2B3-F1CF1D1BECFB}"/>
    <cellStyle name="20% - Accent2 2 6 2 4" xfId="20578" xr:uid="{96850016-AA83-42E8-85FD-06D5ABEF4755}"/>
    <cellStyle name="20% - Accent2 2 6 3" xfId="5753" xr:uid="{00000000-0005-0000-0000-0000EA000000}"/>
    <cellStyle name="20% - Accent2 2 6 3 2" xfId="14203" xr:uid="{B0120BC4-86F7-45CE-AE54-F9649A84EA44}"/>
    <cellStyle name="20% - Accent2 2 6 3 3" xfId="22650" xr:uid="{CC7BB15B-79A9-4A54-9C85-C765641FF465}"/>
    <cellStyle name="20% - Accent2 2 6 4" xfId="9985" xr:uid="{9A823F44-6077-491C-93F7-413D9E7A07CE}"/>
    <cellStyle name="20% - Accent2 2 6 5" xfId="18433" xr:uid="{38379639-BDBD-45CF-8AA4-454CB20DC8F1}"/>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748115FD-9061-49A4-83BC-DE5B1D154614}"/>
    <cellStyle name="20% - Accent2 2 7 2 2 3" xfId="25208" xr:uid="{95FBB9E2-E79F-409A-BAE2-1F97581287A8}"/>
    <cellStyle name="20% - Accent2 2 7 2 3" xfId="12543" xr:uid="{ACCA1948-52F8-4152-872C-463B6B9B13FC}"/>
    <cellStyle name="20% - Accent2 2 7 2 4" xfId="20991" xr:uid="{9C76C0B0-669A-4D41-B004-54C669350619}"/>
    <cellStyle name="20% - Accent2 2 7 3" xfId="6166" xr:uid="{00000000-0005-0000-0000-0000EE000000}"/>
    <cellStyle name="20% - Accent2 2 7 3 2" xfId="14616" xr:uid="{1B51DFE1-1F56-467C-BC61-00D09A112FAB}"/>
    <cellStyle name="20% - Accent2 2 7 3 3" xfId="23063" xr:uid="{1FE46E12-E0D2-44AC-839A-97C328C0B69B}"/>
    <cellStyle name="20% - Accent2 2 7 4" xfId="10398" xr:uid="{862B8068-22EC-4C1D-99F4-1F17DDD70698}"/>
    <cellStyle name="20% - Accent2 2 7 5" xfId="18846" xr:uid="{0A9DC731-1358-4977-900E-635AF51D52E9}"/>
    <cellStyle name="20% - Accent2 2 8" xfId="2273" xr:uid="{00000000-0005-0000-0000-0000EF000000}"/>
    <cellStyle name="20% - Accent2 2 8 2" xfId="6579" xr:uid="{00000000-0005-0000-0000-0000F0000000}"/>
    <cellStyle name="20% - Accent2 2 8 2 2" xfId="15029" xr:uid="{458CFB34-3971-4E9E-8E4A-FF85D6280AAC}"/>
    <cellStyle name="20% - Accent2 2 8 2 3" xfId="23476" xr:uid="{2D59829B-3283-474E-B5BF-B1C19E4A8B36}"/>
    <cellStyle name="20% - Accent2 2 8 3" xfId="10811" xr:uid="{885A6AF5-AF76-42F4-A232-403F8A2ED75E}"/>
    <cellStyle name="20% - Accent2 2 8 4" xfId="19259" xr:uid="{CB98C317-11AD-4A92-B27B-DAF0B8120F4D}"/>
    <cellStyle name="20% - Accent2 2 9" xfId="4513" xr:uid="{00000000-0005-0000-0000-0000F1000000}"/>
    <cellStyle name="20% - Accent2 2 9 2" xfId="12963" xr:uid="{EAFAA6E6-B456-4087-9FBF-A0195D4B3424}"/>
    <cellStyle name="20% - Accent2 2 9 3" xfId="21410" xr:uid="{C6D59920-13A4-40F0-A963-141F64E632AE}"/>
    <cellStyle name="20% - Accent2 3" xfId="14" xr:uid="{00000000-0005-0000-0000-0000F2000000}"/>
    <cellStyle name="20% - Accent2 3 10" xfId="17197" xr:uid="{0453AB0E-DA24-4963-8F9E-FFCD1FD5F986}"/>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E5D9D1D8-D058-41F2-ACBA-5032F15B8E4B}"/>
    <cellStyle name="20% - Accent2 3 2 2 2 2 3" xfId="23974" xr:uid="{ADDBFE07-3148-4027-B284-88B601D110C0}"/>
    <cellStyle name="20% - Accent2 3 2 2 2 3" xfId="11309" xr:uid="{DD2674CB-0AA1-4A7A-94D6-3AF7105C203B}"/>
    <cellStyle name="20% - Accent2 3 2 2 2 4" xfId="19757" xr:uid="{64E58888-3A61-43D9-9802-85434E733D18}"/>
    <cellStyle name="20% - Accent2 3 2 2 3" xfId="4932" xr:uid="{00000000-0005-0000-0000-0000F7000000}"/>
    <cellStyle name="20% - Accent2 3 2 2 3 2" xfId="13382" xr:uid="{E805A128-6338-4726-941D-08F58DBB41D8}"/>
    <cellStyle name="20% - Accent2 3 2 2 3 3" xfId="21829" xr:uid="{EE5ED417-B4C0-48E6-A838-12DDE7F3BEF6}"/>
    <cellStyle name="20% - Accent2 3 2 2 4" xfId="9164" xr:uid="{78CA163B-8A08-46B3-96D6-D8A53C3F6C6C}"/>
    <cellStyle name="20% - Accent2 3 2 2 5" xfId="17612" xr:uid="{40A8718C-0B1F-4D17-9CF5-B1B53AD3E6D3}"/>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4B13BEA-E2DE-415A-B128-1BADE443CB5F}"/>
    <cellStyle name="20% - Accent2 3 2 3 2 2 3" xfId="24387" xr:uid="{17AB961D-F68D-458F-8506-2C81F7E0D18A}"/>
    <cellStyle name="20% - Accent2 3 2 3 2 3" xfId="11722" xr:uid="{8F4CA40A-5B09-4DD5-8AFC-719FBADFA2F1}"/>
    <cellStyle name="20% - Accent2 3 2 3 2 4" xfId="20170" xr:uid="{3A87D102-01D3-4FEF-A93B-EE6C483172B2}"/>
    <cellStyle name="20% - Accent2 3 2 3 3" xfId="5345" xr:uid="{00000000-0005-0000-0000-0000FB000000}"/>
    <cellStyle name="20% - Accent2 3 2 3 3 2" xfId="13795" xr:uid="{79DF5755-419F-484B-93F9-277A31587B02}"/>
    <cellStyle name="20% - Accent2 3 2 3 3 3" xfId="22242" xr:uid="{6A075277-0EC0-4FD5-B47E-6700D474D8C7}"/>
    <cellStyle name="20% - Accent2 3 2 3 4" xfId="9577" xr:uid="{F785F181-A4BA-4C34-B911-EC52727FC342}"/>
    <cellStyle name="20% - Accent2 3 2 3 5" xfId="18025" xr:uid="{EE9E6EE8-AB4B-4980-AE1B-DC81DCF6933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2B25F2C0-BCE4-463B-91C9-EED0E2E3E23B}"/>
    <cellStyle name="20% - Accent2 3 2 4 2 2 3" xfId="24800" xr:uid="{B30182E1-96E2-49F1-B7BE-13555AC0CB69}"/>
    <cellStyle name="20% - Accent2 3 2 4 2 3" xfId="12135" xr:uid="{A8C7272B-1573-476B-99BF-DF315177220E}"/>
    <cellStyle name="20% - Accent2 3 2 4 2 4" xfId="20583" xr:uid="{32099DD4-57F2-42C6-B370-A658971818C9}"/>
    <cellStyle name="20% - Accent2 3 2 4 3" xfId="5758" xr:uid="{00000000-0005-0000-0000-0000FF000000}"/>
    <cellStyle name="20% - Accent2 3 2 4 3 2" xfId="14208" xr:uid="{43CCB108-9DC5-4A3E-A43B-65B76677BB91}"/>
    <cellStyle name="20% - Accent2 3 2 4 3 3" xfId="22655" xr:uid="{B15AD717-B49C-4A6D-A1EB-F89E48167DC9}"/>
    <cellStyle name="20% - Accent2 3 2 4 4" xfId="9990" xr:uid="{1F8F3205-D271-4995-8C9F-1BD0F303579E}"/>
    <cellStyle name="20% - Accent2 3 2 4 5" xfId="18438" xr:uid="{075D663B-5A5B-48DA-A5A0-2F558ACBEC19}"/>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8199976A-46B0-4F20-9143-B591FF25D7AA}"/>
    <cellStyle name="20% - Accent2 3 2 5 2 2 3" xfId="25213" xr:uid="{253B079E-7A3F-4EA8-B864-688D53ED8AFA}"/>
    <cellStyle name="20% - Accent2 3 2 5 2 3" xfId="12548" xr:uid="{C2EA7329-75E7-4ED9-95B7-B7E3B1947B72}"/>
    <cellStyle name="20% - Accent2 3 2 5 2 4" xfId="20996" xr:uid="{8F0A78AE-F7EB-4614-A761-BDD0DDE5B0FC}"/>
    <cellStyle name="20% - Accent2 3 2 5 3" xfId="6171" xr:uid="{00000000-0005-0000-0000-000003010000}"/>
    <cellStyle name="20% - Accent2 3 2 5 3 2" xfId="14621" xr:uid="{27D0D855-D4DC-4132-BFF4-6075C817D073}"/>
    <cellStyle name="20% - Accent2 3 2 5 3 3" xfId="23068" xr:uid="{8A00F3FB-6D32-445A-8FF0-401EE9831993}"/>
    <cellStyle name="20% - Accent2 3 2 5 4" xfId="10403" xr:uid="{33BB2C4A-77BD-4656-9967-77B2B87721A2}"/>
    <cellStyle name="20% - Accent2 3 2 5 5" xfId="18851" xr:uid="{2601B8A2-4914-480C-BF59-69E1C9A5C996}"/>
    <cellStyle name="20% - Accent2 3 2 6" xfId="2278" xr:uid="{00000000-0005-0000-0000-000004010000}"/>
    <cellStyle name="20% - Accent2 3 2 6 2" xfId="6584" xr:uid="{00000000-0005-0000-0000-000005010000}"/>
    <cellStyle name="20% - Accent2 3 2 6 2 2" xfId="15034" xr:uid="{787C2077-7EE7-42EC-B83C-681F21C8724A}"/>
    <cellStyle name="20% - Accent2 3 2 6 2 3" xfId="23481" xr:uid="{8661A784-9379-499B-91B8-EFA82E050FAB}"/>
    <cellStyle name="20% - Accent2 3 2 6 3" xfId="10816" xr:uid="{9DF81F50-B73E-48BD-A398-243E0974555E}"/>
    <cellStyle name="20% - Accent2 3 2 6 4" xfId="19264" xr:uid="{37C95ABD-0407-4776-B729-2DCDCAF7D53E}"/>
    <cellStyle name="20% - Accent2 3 2 7" xfId="4518" xr:uid="{00000000-0005-0000-0000-000006010000}"/>
    <cellStyle name="20% - Accent2 3 2 7 2" xfId="12968" xr:uid="{45FBC224-4294-432E-93C7-DC3DA520013D}"/>
    <cellStyle name="20% - Accent2 3 2 7 3" xfId="21415" xr:uid="{74FA32FC-83A2-4EE5-83B9-2596A228B1D1}"/>
    <cellStyle name="20% - Accent2 3 2 8" xfId="8750" xr:uid="{4CA31932-3DDC-4CE8-97A0-2B09A684F4E4}"/>
    <cellStyle name="20% - Accent2 3 2 9" xfId="17198" xr:uid="{A07FDE15-2D59-487B-A9A1-9F2E9437E1BC}"/>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BE3D0D4B-8779-4715-98BF-08E7673B2C06}"/>
    <cellStyle name="20% - Accent2 3 3 2 2 3" xfId="23973" xr:uid="{FF27DB2C-25E4-4BE3-8319-2E8B36DEB836}"/>
    <cellStyle name="20% - Accent2 3 3 2 3" xfId="11308" xr:uid="{04EBFC09-A76A-4977-BD34-2D70E67DE880}"/>
    <cellStyle name="20% - Accent2 3 3 2 4" xfId="19756" xr:uid="{387B3E00-788C-47BD-A872-0FBC0430AE21}"/>
    <cellStyle name="20% - Accent2 3 3 3" xfId="4931" xr:uid="{00000000-0005-0000-0000-00000A010000}"/>
    <cellStyle name="20% - Accent2 3 3 3 2" xfId="13381" xr:uid="{EC73D42D-9C2B-4BAC-AF71-8E40F6EB9B3F}"/>
    <cellStyle name="20% - Accent2 3 3 3 3" xfId="21828" xr:uid="{28A541C3-8D70-4B54-A2A0-D48E565A28EC}"/>
    <cellStyle name="20% - Accent2 3 3 4" xfId="9163" xr:uid="{C1369FA9-E108-48CC-919D-8F4F2DCA661A}"/>
    <cellStyle name="20% - Accent2 3 3 5" xfId="17611" xr:uid="{D119AD48-732B-451B-90AB-3677802C3599}"/>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6FC7D4B9-6C8A-4628-A59F-E48456A47030}"/>
    <cellStyle name="20% - Accent2 3 4 2 2 3" xfId="24386" xr:uid="{EB5E1E4E-6C0A-49D4-8BB8-9E8A5B804ABF}"/>
    <cellStyle name="20% - Accent2 3 4 2 3" xfId="11721" xr:uid="{02B89251-4EF4-45E4-8217-9DE810AADFEB}"/>
    <cellStyle name="20% - Accent2 3 4 2 4" xfId="20169" xr:uid="{77B2AD37-F9C8-4620-B446-5A916B139694}"/>
    <cellStyle name="20% - Accent2 3 4 3" xfId="5344" xr:uid="{00000000-0005-0000-0000-00000E010000}"/>
    <cellStyle name="20% - Accent2 3 4 3 2" xfId="13794" xr:uid="{9F86E307-AC4B-4B3B-A3C7-C9046469BCE1}"/>
    <cellStyle name="20% - Accent2 3 4 3 3" xfId="22241" xr:uid="{081FC47D-B601-4824-99BD-23EAEAE1A424}"/>
    <cellStyle name="20% - Accent2 3 4 4" xfId="9576" xr:uid="{C3D5FF9D-FE52-4CE9-AF59-D6434483DC10}"/>
    <cellStyle name="20% - Accent2 3 4 5" xfId="18024" xr:uid="{581C0E6E-2DEE-457E-A992-1EF8D4C1551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DA652601-6EA1-4A83-BC36-EADA3663FEDC}"/>
    <cellStyle name="20% - Accent2 3 5 2 2 3" xfId="24799" xr:uid="{881CC779-2C0B-4FB4-A512-90E6345D0FF8}"/>
    <cellStyle name="20% - Accent2 3 5 2 3" xfId="12134" xr:uid="{8B0ADE50-7263-45A2-98BF-580EC9037167}"/>
    <cellStyle name="20% - Accent2 3 5 2 4" xfId="20582" xr:uid="{DFA4C389-39AE-48A3-A7E7-7F3027CB94EB}"/>
    <cellStyle name="20% - Accent2 3 5 3" xfId="5757" xr:uid="{00000000-0005-0000-0000-000012010000}"/>
    <cellStyle name="20% - Accent2 3 5 3 2" xfId="14207" xr:uid="{F98D0A46-7503-458C-BE9A-D4F6CFF9AD06}"/>
    <cellStyle name="20% - Accent2 3 5 3 3" xfId="22654" xr:uid="{D7CA11EE-54C1-411E-8900-1343C4FC51D6}"/>
    <cellStyle name="20% - Accent2 3 5 4" xfId="9989" xr:uid="{04AE7F2A-F67D-4EE7-8D63-F3DBD5F26DAB}"/>
    <cellStyle name="20% - Accent2 3 5 5" xfId="18437" xr:uid="{784CADE5-9D36-45E6-BC93-E40E4E0C646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C51CAEE2-A9A0-4962-93C5-2C11187BF70C}"/>
    <cellStyle name="20% - Accent2 3 6 2 2 3" xfId="25212" xr:uid="{77A66DBB-6796-477D-BA30-CD56C69755FD}"/>
    <cellStyle name="20% - Accent2 3 6 2 3" xfId="12547" xr:uid="{1EE10AED-D720-4EAA-81CE-733C7E96C55A}"/>
    <cellStyle name="20% - Accent2 3 6 2 4" xfId="20995" xr:uid="{10FABAFE-1ACB-45FE-92EA-225CD9DB7FEF}"/>
    <cellStyle name="20% - Accent2 3 6 3" xfId="6170" xr:uid="{00000000-0005-0000-0000-000016010000}"/>
    <cellStyle name="20% - Accent2 3 6 3 2" xfId="14620" xr:uid="{D24BD8C6-74AA-44D6-AF58-6268F45970FB}"/>
    <cellStyle name="20% - Accent2 3 6 3 3" xfId="23067" xr:uid="{723019D5-1A42-4CE0-BC11-770F1A4D4D1D}"/>
    <cellStyle name="20% - Accent2 3 6 4" xfId="10402" xr:uid="{D1243EEF-87FA-41E4-8AA7-53351CFAA4A7}"/>
    <cellStyle name="20% - Accent2 3 6 5" xfId="18850" xr:uid="{9A2F04FD-3BB3-4080-B292-96F79546528F}"/>
    <cellStyle name="20% - Accent2 3 7" xfId="2277" xr:uid="{00000000-0005-0000-0000-000017010000}"/>
    <cellStyle name="20% - Accent2 3 7 2" xfId="6583" xr:uid="{00000000-0005-0000-0000-000018010000}"/>
    <cellStyle name="20% - Accent2 3 7 2 2" xfId="15033" xr:uid="{2ADD99D7-33C8-44E7-8D88-ADBF3016CFB9}"/>
    <cellStyle name="20% - Accent2 3 7 2 3" xfId="23480" xr:uid="{4F1D9A75-BA2C-4BB6-A618-161B938C5659}"/>
    <cellStyle name="20% - Accent2 3 7 3" xfId="10815" xr:uid="{39F9E2F9-9E2A-4DD8-BAF9-12A8850FDA0A}"/>
    <cellStyle name="20% - Accent2 3 7 4" xfId="19263" xr:uid="{A00DC3C7-0936-4544-B47D-B3A1E4C5E555}"/>
    <cellStyle name="20% - Accent2 3 8" xfId="4517" xr:uid="{00000000-0005-0000-0000-000019010000}"/>
    <cellStyle name="20% - Accent2 3 8 2" xfId="12967" xr:uid="{A41FAE72-F5A7-4001-82C1-D1B9C7F624D8}"/>
    <cellStyle name="20% - Accent2 3 8 3" xfId="21414" xr:uid="{3B47050A-5156-43AC-AE0E-947E83070E8B}"/>
    <cellStyle name="20% - Accent2 3 9" xfId="8749" xr:uid="{A427A918-79B7-46C4-A5BC-B52F13655A1F}"/>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82FB9CE4-6783-466C-909A-E2E99710D902}"/>
    <cellStyle name="20% - Accent2 4 2 2 2 3" xfId="23975" xr:uid="{C718B4F4-D50B-4A37-80A9-641999DDED50}"/>
    <cellStyle name="20% - Accent2 4 2 2 3" xfId="11310" xr:uid="{FDDFC8AC-E2A4-4EEE-A6FC-E0C66B585A22}"/>
    <cellStyle name="20% - Accent2 4 2 2 4" xfId="19758" xr:uid="{F3ABAB18-9170-4A92-B8DB-FBB1506041C4}"/>
    <cellStyle name="20% - Accent2 4 2 3" xfId="4933" xr:uid="{00000000-0005-0000-0000-00001E010000}"/>
    <cellStyle name="20% - Accent2 4 2 3 2" xfId="13383" xr:uid="{15409837-AABC-42F8-9DE9-C41441C58E2F}"/>
    <cellStyle name="20% - Accent2 4 2 3 3" xfId="21830" xr:uid="{08D571E7-96B5-45BC-B979-D9116FF83687}"/>
    <cellStyle name="20% - Accent2 4 2 4" xfId="9165" xr:uid="{BC03321E-3035-48D6-B4B9-3612381DE595}"/>
    <cellStyle name="20% - Accent2 4 2 5" xfId="17613" xr:uid="{1B649AC6-197A-4E48-BE37-EFED03BDEB12}"/>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6978BAB-1998-4F9D-B0E6-B7F40D2FA596}"/>
    <cellStyle name="20% - Accent2 4 3 2 2 3" xfId="24388" xr:uid="{34F06CB1-E005-4D74-ACFD-4519EC0CD25D}"/>
    <cellStyle name="20% - Accent2 4 3 2 3" xfId="11723" xr:uid="{ECA1C529-A3F7-4E87-AA51-28CAB61DC530}"/>
    <cellStyle name="20% - Accent2 4 3 2 4" xfId="20171" xr:uid="{8F45E4DB-5636-4225-8789-6BE7BDCFD8EB}"/>
    <cellStyle name="20% - Accent2 4 3 3" xfId="5346" xr:uid="{00000000-0005-0000-0000-000022010000}"/>
    <cellStyle name="20% - Accent2 4 3 3 2" xfId="13796" xr:uid="{0BF544AD-189F-47A0-A809-D0D57957AACD}"/>
    <cellStyle name="20% - Accent2 4 3 3 3" xfId="22243" xr:uid="{84CDFC66-7368-4BCD-97C6-CF42BB8AA0ED}"/>
    <cellStyle name="20% - Accent2 4 3 4" xfId="9578" xr:uid="{CB98E387-3486-4828-94C7-2234D87AB2FC}"/>
    <cellStyle name="20% - Accent2 4 3 5" xfId="18026" xr:uid="{5B491B89-30B2-40B3-BC3A-0DD06E728407}"/>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24D8ECA2-4C9A-49D3-A22B-4E002923B995}"/>
    <cellStyle name="20% - Accent2 4 4 2 2 3" xfId="24801" xr:uid="{26841786-0DD5-4AA1-B502-B51E8594ED18}"/>
    <cellStyle name="20% - Accent2 4 4 2 3" xfId="12136" xr:uid="{73E8CD35-D7DA-4E79-B02F-6B98258C157B}"/>
    <cellStyle name="20% - Accent2 4 4 2 4" xfId="20584" xr:uid="{0EE80737-FF55-4A9E-9939-CC09D78EAA5B}"/>
    <cellStyle name="20% - Accent2 4 4 3" xfId="5759" xr:uid="{00000000-0005-0000-0000-000026010000}"/>
    <cellStyle name="20% - Accent2 4 4 3 2" xfId="14209" xr:uid="{8F7AE020-5FDF-488E-B42D-0F420EE4B190}"/>
    <cellStyle name="20% - Accent2 4 4 3 3" xfId="22656" xr:uid="{3892B6BB-9D90-47D0-8533-E478DEFF0B90}"/>
    <cellStyle name="20% - Accent2 4 4 4" xfId="9991" xr:uid="{88642A1F-0E51-4DC1-AD23-B34F1C7B584C}"/>
    <cellStyle name="20% - Accent2 4 4 5" xfId="18439" xr:uid="{20AA1FAF-6608-4F40-AFF0-8B1CAF4C6152}"/>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B0A293FE-9731-46CF-9393-BA51B2723ED5}"/>
    <cellStyle name="20% - Accent2 4 5 2 2 3" xfId="25214" xr:uid="{4206F833-B29F-4EBC-8464-D940A857B715}"/>
    <cellStyle name="20% - Accent2 4 5 2 3" xfId="12549" xr:uid="{870CDF47-7136-4AF6-879A-0C531617367D}"/>
    <cellStyle name="20% - Accent2 4 5 2 4" xfId="20997" xr:uid="{CE2E898A-7B95-4975-90D5-A34DBB28F1DF}"/>
    <cellStyle name="20% - Accent2 4 5 3" xfId="6172" xr:uid="{00000000-0005-0000-0000-00002A010000}"/>
    <cellStyle name="20% - Accent2 4 5 3 2" xfId="14622" xr:uid="{9DF3CFF9-8F68-4ED9-BD26-F7141DE4D0E4}"/>
    <cellStyle name="20% - Accent2 4 5 3 3" xfId="23069" xr:uid="{B61476A3-AD5D-45CD-80A9-1DDA646A9DEE}"/>
    <cellStyle name="20% - Accent2 4 5 4" xfId="10404" xr:uid="{54EB2D5C-1F34-4703-87B3-84AEE11A1422}"/>
    <cellStyle name="20% - Accent2 4 5 5" xfId="18852" xr:uid="{8A369630-4EB9-4E57-88A5-E4EECAE2D2F2}"/>
    <cellStyle name="20% - Accent2 4 6" xfId="2279" xr:uid="{00000000-0005-0000-0000-00002B010000}"/>
    <cellStyle name="20% - Accent2 4 6 2" xfId="6585" xr:uid="{00000000-0005-0000-0000-00002C010000}"/>
    <cellStyle name="20% - Accent2 4 6 2 2" xfId="15035" xr:uid="{2D043364-3249-4F42-9B18-D862FA47F66E}"/>
    <cellStyle name="20% - Accent2 4 6 2 3" xfId="23482" xr:uid="{59676E2E-269C-476C-B2D3-B73B71E29D26}"/>
    <cellStyle name="20% - Accent2 4 6 3" xfId="10817" xr:uid="{6DA1A4D9-236B-4CF2-8310-AF169B045995}"/>
    <cellStyle name="20% - Accent2 4 6 4" xfId="19265" xr:uid="{6F95A268-ADAA-42FB-9B1B-9FD42ACDC635}"/>
    <cellStyle name="20% - Accent2 4 7" xfId="4519" xr:uid="{00000000-0005-0000-0000-00002D010000}"/>
    <cellStyle name="20% - Accent2 4 7 2" xfId="12969" xr:uid="{41DE3C90-09E7-4B45-9C21-6F2726BCA0A9}"/>
    <cellStyle name="20% - Accent2 4 7 3" xfId="21416" xr:uid="{EE1A8510-E3C6-4029-967C-723263003D3E}"/>
    <cellStyle name="20% - Accent2 4 8" xfId="8751" xr:uid="{2F9DEA81-6ECD-48E6-A0EF-D28E232DA62D}"/>
    <cellStyle name="20% - Accent2 4 9" xfId="17199" xr:uid="{346ADC1A-7176-4585-808F-131E31B9BF2A}"/>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0C72489B-716C-4615-A67E-008075CC5C44}"/>
    <cellStyle name="20% - Accent2 5 2 2 3" xfId="23968" xr:uid="{BBE095FC-CBE8-41F8-88AF-2DACA3BD53E6}"/>
    <cellStyle name="20% - Accent2 5 2 3" xfId="11303" xr:uid="{589B8816-C739-4CC6-A3ED-4060C0C179ED}"/>
    <cellStyle name="20% - Accent2 5 2 4" xfId="19751" xr:uid="{083BDFCC-E69F-4E5B-9421-50F987518399}"/>
    <cellStyle name="20% - Accent2 5 3" xfId="4926" xr:uid="{00000000-0005-0000-0000-000031010000}"/>
    <cellStyle name="20% - Accent2 5 3 2" xfId="13376" xr:uid="{2E77AB9A-13D3-46C3-AAAA-93C20D846824}"/>
    <cellStyle name="20% - Accent2 5 3 3" xfId="21823" xr:uid="{9499EB70-07E4-4A88-AA1C-1189779D0B2D}"/>
    <cellStyle name="20% - Accent2 5 4" xfId="9158" xr:uid="{03D9A091-A48F-4C69-8475-B850FC835156}"/>
    <cellStyle name="20% - Accent2 5 5" xfId="17606" xr:uid="{C362D8BE-C7DF-4230-B76C-8C4D8B49548A}"/>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D46A1DA7-651E-4D63-B196-60971CD534E8}"/>
    <cellStyle name="20% - Accent2 6 2 2 3" xfId="24381" xr:uid="{CF90EB87-7CE6-4088-83B1-EF2558B07076}"/>
    <cellStyle name="20% - Accent2 6 2 3" xfId="11716" xr:uid="{684FD0E3-58FE-4A57-AE98-2FEDE13FFCD4}"/>
    <cellStyle name="20% - Accent2 6 2 4" xfId="20164" xr:uid="{4AD656DA-BE9F-4A53-9D77-DAC0889A98A3}"/>
    <cellStyle name="20% - Accent2 6 3" xfId="5339" xr:uid="{00000000-0005-0000-0000-000035010000}"/>
    <cellStyle name="20% - Accent2 6 3 2" xfId="13789" xr:uid="{34B4245F-A278-43FE-8ED7-162CBF4ACC2B}"/>
    <cellStyle name="20% - Accent2 6 3 3" xfId="22236" xr:uid="{B8F56317-A6E8-4E3E-946F-6CF00C10C2FF}"/>
    <cellStyle name="20% - Accent2 6 4" xfId="9571" xr:uid="{7800DEFB-543E-421E-9A5E-EF5253C74C7A}"/>
    <cellStyle name="20% - Accent2 6 5" xfId="18019" xr:uid="{B272531D-EBE1-4347-8A1C-7934E632835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F9339CFD-AD98-4EE7-A902-E38DD40B9E8E}"/>
    <cellStyle name="20% - Accent2 7 2 2 3" xfId="24794" xr:uid="{D728B2BF-9A77-46DC-B745-2D684224E905}"/>
    <cellStyle name="20% - Accent2 7 2 3" xfId="12129" xr:uid="{815A24CB-67D5-40F9-BB67-3D2615766CC0}"/>
    <cellStyle name="20% - Accent2 7 2 4" xfId="20577" xr:uid="{4DF67412-7414-4C5B-B27D-E9076DCF4FA6}"/>
    <cellStyle name="20% - Accent2 7 3" xfId="5752" xr:uid="{00000000-0005-0000-0000-000039010000}"/>
    <cellStyle name="20% - Accent2 7 3 2" xfId="14202" xr:uid="{B71D4E5C-B145-45FD-B9B5-DE86875B3504}"/>
    <cellStyle name="20% - Accent2 7 3 3" xfId="22649" xr:uid="{EB61378A-CB9B-4023-8AEF-222A1221242F}"/>
    <cellStyle name="20% - Accent2 7 4" xfId="9984" xr:uid="{B40F5C9D-667A-4D3A-A7F3-F7AA02F69ED8}"/>
    <cellStyle name="20% - Accent2 7 5" xfId="18432" xr:uid="{BE84C878-533E-4888-AC21-3488E5F405EE}"/>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B7C128B3-604D-4FE6-96E1-E8B407316B30}"/>
    <cellStyle name="20% - Accent2 8 2 2 3" xfId="25207" xr:uid="{85C544D1-E465-4713-AA25-70C70E48B7AD}"/>
    <cellStyle name="20% - Accent2 8 2 3" xfId="12542" xr:uid="{2123E7BC-1CCC-4E9D-AD19-47073162AA58}"/>
    <cellStyle name="20% - Accent2 8 2 4" xfId="20990" xr:uid="{BD7EC534-8250-48EB-8FF1-71AF82F557DF}"/>
    <cellStyle name="20% - Accent2 8 3" xfId="6165" xr:uid="{00000000-0005-0000-0000-00003D010000}"/>
    <cellStyle name="20% - Accent2 8 3 2" xfId="14615" xr:uid="{E71DC196-54D3-4AD3-8A41-DB5C6CEE6D13}"/>
    <cellStyle name="20% - Accent2 8 3 3" xfId="23062" xr:uid="{FB452815-E45E-4650-B9C1-82981B36FB35}"/>
    <cellStyle name="20% - Accent2 8 4" xfId="10397" xr:uid="{C9524B85-C3FA-4327-B82C-06FEAA1FAB42}"/>
    <cellStyle name="20% - Accent2 8 5" xfId="18845" xr:uid="{3754CDA5-CABE-4B86-9C04-86009F3F9AB6}"/>
    <cellStyle name="20% - Accent2 9" xfId="2272" xr:uid="{00000000-0005-0000-0000-00003E010000}"/>
    <cellStyle name="20% - Accent2 9 2" xfId="6578" xr:uid="{00000000-0005-0000-0000-00003F010000}"/>
    <cellStyle name="20% - Accent2 9 2 2" xfId="15028" xr:uid="{C1CB1622-C764-42D0-A1B5-7B3F16891EAC}"/>
    <cellStyle name="20% - Accent2 9 2 3" xfId="23475" xr:uid="{44822C2A-FD74-4017-A9F3-821C769F3C10}"/>
    <cellStyle name="20% - Accent2 9 3" xfId="10810" xr:uid="{E09589B1-652C-4E51-98E9-A507935127A5}"/>
    <cellStyle name="20% - Accent2 9 4" xfId="19258" xr:uid="{4C2F9A11-8417-42A1-A8AF-2771D58FB7BE}"/>
    <cellStyle name="20% - Accent3" xfId="17" builtinId="38" customBuiltin="1"/>
    <cellStyle name="20% - Accent3 10" xfId="4520" xr:uid="{00000000-0005-0000-0000-000041010000}"/>
    <cellStyle name="20% - Accent3 10 2" xfId="12970" xr:uid="{808DA7BB-3D51-42FE-8C54-6CFFA6221043}"/>
    <cellStyle name="20% - Accent3 10 3" xfId="21417" xr:uid="{69CBC868-B6CE-4249-A6EA-A0BC6F7452A6}"/>
    <cellStyle name="20% - Accent3 11" xfId="8752" xr:uid="{D0E416D7-8D0A-4435-A57C-3F5E6DB80462}"/>
    <cellStyle name="20% - Accent3 12" xfId="17200" xr:uid="{AE404331-B07B-48BB-831F-BC512C8F35B4}"/>
    <cellStyle name="20% - Accent3 2" xfId="18" xr:uid="{00000000-0005-0000-0000-000042010000}"/>
    <cellStyle name="20% - Accent3 2 10" xfId="8753" xr:uid="{FFC01994-2DE8-47D2-B58D-FB4A28115C7E}"/>
    <cellStyle name="20% - Accent3 2 11" xfId="17201" xr:uid="{FD672DFC-5CF1-4CDF-8372-FC764909D256}"/>
    <cellStyle name="20% - Accent3 2 2" xfId="19" xr:uid="{00000000-0005-0000-0000-000043010000}"/>
    <cellStyle name="20% - Accent3 2 2 10" xfId="17202" xr:uid="{31EC2A55-3BFA-4AB8-B0A5-9992FA702B1D}"/>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52BC9794-6A07-4E79-9C90-F5DEC4903F4D}"/>
    <cellStyle name="20% - Accent3 2 2 2 2 2 2 3" xfId="23979" xr:uid="{69012C2E-AEB9-4535-8BEB-69493C598AFA}"/>
    <cellStyle name="20% - Accent3 2 2 2 2 2 3" xfId="11314" xr:uid="{097F61F7-C332-4B76-B4FF-8BB75F71DC9D}"/>
    <cellStyle name="20% - Accent3 2 2 2 2 2 4" xfId="19762" xr:uid="{8922F5A5-892A-4F36-A1C0-D7AE1054FDD9}"/>
    <cellStyle name="20% - Accent3 2 2 2 2 3" xfId="4937" xr:uid="{00000000-0005-0000-0000-000048010000}"/>
    <cellStyle name="20% - Accent3 2 2 2 2 3 2" xfId="13387" xr:uid="{D488D968-F121-45E5-8896-7EFEE0EA9F94}"/>
    <cellStyle name="20% - Accent3 2 2 2 2 3 3" xfId="21834" xr:uid="{394D1D2D-363A-4E8A-8A1A-AEDAD5DE4CD2}"/>
    <cellStyle name="20% - Accent3 2 2 2 2 4" xfId="9169" xr:uid="{5591F6A2-D75F-418F-9C2C-1885508A8BF5}"/>
    <cellStyle name="20% - Accent3 2 2 2 2 5" xfId="17617" xr:uid="{EE90AAAB-308F-4A1D-B8FF-F9D63A805959}"/>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AC51E0C6-B803-4C11-B3AB-EF93DB4FF8F1}"/>
    <cellStyle name="20% - Accent3 2 2 2 3 2 2 3" xfId="24392" xr:uid="{7973DF07-A064-40D7-8B92-7B41D31884E4}"/>
    <cellStyle name="20% - Accent3 2 2 2 3 2 3" xfId="11727" xr:uid="{1806E935-2F5E-458B-AD6D-D17379E98C73}"/>
    <cellStyle name="20% - Accent3 2 2 2 3 2 4" xfId="20175" xr:uid="{67E72788-477B-4127-93D4-441E98D35882}"/>
    <cellStyle name="20% - Accent3 2 2 2 3 3" xfId="5350" xr:uid="{00000000-0005-0000-0000-00004C010000}"/>
    <cellStyle name="20% - Accent3 2 2 2 3 3 2" xfId="13800" xr:uid="{6232EEA4-00DF-4D46-BED3-EC06E8511E8F}"/>
    <cellStyle name="20% - Accent3 2 2 2 3 3 3" xfId="22247" xr:uid="{24A343DF-2F7F-4D3C-82D8-1756B00C70DA}"/>
    <cellStyle name="20% - Accent3 2 2 2 3 4" xfId="9582" xr:uid="{E32BBBD8-3523-41CE-926C-317DB7E9F810}"/>
    <cellStyle name="20% - Accent3 2 2 2 3 5" xfId="18030" xr:uid="{8F650D77-833C-47B0-9FF6-509F35750555}"/>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E49B1C5B-C7C1-4F2F-872A-E0C08C9F180D}"/>
    <cellStyle name="20% - Accent3 2 2 2 4 2 2 3" xfId="24805" xr:uid="{74E5E39D-0CE9-41B0-849B-351B7A23BBD6}"/>
    <cellStyle name="20% - Accent3 2 2 2 4 2 3" xfId="12140" xr:uid="{17241B75-CDCA-4A22-A4C6-CDAF5A569C28}"/>
    <cellStyle name="20% - Accent3 2 2 2 4 2 4" xfId="20588" xr:uid="{D23EE8F1-F791-42E9-B507-B490040C1D9D}"/>
    <cellStyle name="20% - Accent3 2 2 2 4 3" xfId="5763" xr:uid="{00000000-0005-0000-0000-000050010000}"/>
    <cellStyle name="20% - Accent3 2 2 2 4 3 2" xfId="14213" xr:uid="{204B7430-512A-41E9-805F-04CAAA72EE91}"/>
    <cellStyle name="20% - Accent3 2 2 2 4 3 3" xfId="22660" xr:uid="{A7663E8F-038F-4EE2-A4C9-C02B38B6675F}"/>
    <cellStyle name="20% - Accent3 2 2 2 4 4" xfId="9995" xr:uid="{B669C1B6-4FF6-49F9-B89B-6B71F452AAB7}"/>
    <cellStyle name="20% - Accent3 2 2 2 4 5" xfId="18443" xr:uid="{F94D735D-36D6-40C0-A94B-2DE6A2B2E0B4}"/>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00AAC412-219F-4CA6-9D14-CD865A0E8393}"/>
    <cellStyle name="20% - Accent3 2 2 2 5 2 2 3" xfId="25218" xr:uid="{1E89FC11-339C-4AFB-859E-EF79C0D87392}"/>
    <cellStyle name="20% - Accent3 2 2 2 5 2 3" xfId="12553" xr:uid="{0EE086E3-BB0E-4609-A0A6-DEBA20C49EF3}"/>
    <cellStyle name="20% - Accent3 2 2 2 5 2 4" xfId="21001" xr:uid="{3A7A703B-A0DD-46C7-93D6-DCC5A9A50EFD}"/>
    <cellStyle name="20% - Accent3 2 2 2 5 3" xfId="6176" xr:uid="{00000000-0005-0000-0000-000054010000}"/>
    <cellStyle name="20% - Accent3 2 2 2 5 3 2" xfId="14626" xr:uid="{3869CF52-03F0-4ED8-AEBF-6A45BE5CED43}"/>
    <cellStyle name="20% - Accent3 2 2 2 5 3 3" xfId="23073" xr:uid="{40BE2328-6A9E-4474-9EB9-C2378AFAAEF5}"/>
    <cellStyle name="20% - Accent3 2 2 2 5 4" xfId="10408" xr:uid="{09DB351F-BFD8-4E03-AA0F-233AF22DCB7B}"/>
    <cellStyle name="20% - Accent3 2 2 2 5 5" xfId="18856" xr:uid="{48FFA3B8-692B-44AB-9403-656DE7EE3957}"/>
    <cellStyle name="20% - Accent3 2 2 2 6" xfId="2283" xr:uid="{00000000-0005-0000-0000-000055010000}"/>
    <cellStyle name="20% - Accent3 2 2 2 6 2" xfId="6589" xr:uid="{00000000-0005-0000-0000-000056010000}"/>
    <cellStyle name="20% - Accent3 2 2 2 6 2 2" xfId="15039" xr:uid="{85090CF3-541E-464F-B94D-A5173D28B2C2}"/>
    <cellStyle name="20% - Accent3 2 2 2 6 2 3" xfId="23486" xr:uid="{501B43DB-549E-4F9D-A1E9-F0F6B955E0D0}"/>
    <cellStyle name="20% - Accent3 2 2 2 6 3" xfId="10821" xr:uid="{E1A7E5FF-9D01-4477-A73B-F1FD1582E6B6}"/>
    <cellStyle name="20% - Accent3 2 2 2 6 4" xfId="19269" xr:uid="{CDFD956F-7CCC-4A00-A709-C482095C2F5B}"/>
    <cellStyle name="20% - Accent3 2 2 2 7" xfId="4523" xr:uid="{00000000-0005-0000-0000-000057010000}"/>
    <cellStyle name="20% - Accent3 2 2 2 7 2" xfId="12973" xr:uid="{ABACB06E-2FCB-485A-9B4D-46ED0EB2F358}"/>
    <cellStyle name="20% - Accent3 2 2 2 7 3" xfId="21420" xr:uid="{1EF57187-4668-49DE-A2CD-815B6C3550E1}"/>
    <cellStyle name="20% - Accent3 2 2 2 8" xfId="8755" xr:uid="{495E69DB-83AD-4BEB-8FCF-0E10AB6B71E0}"/>
    <cellStyle name="20% - Accent3 2 2 2 9" xfId="17203" xr:uid="{AC0B55D2-5800-4A30-A2C0-6C119BBCA669}"/>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C1029263-84F3-4DBF-904C-B047A8C74EDC}"/>
    <cellStyle name="20% - Accent3 2 2 3 2 2 3" xfId="23978" xr:uid="{EA9B6F15-BC32-47CC-A39E-9C58C181769D}"/>
    <cellStyle name="20% - Accent3 2 2 3 2 3" xfId="11313" xr:uid="{DE2612FD-9CBE-4819-BCD3-7A5514B4B3DA}"/>
    <cellStyle name="20% - Accent3 2 2 3 2 4" xfId="19761" xr:uid="{B9CF9E67-9B8E-4358-BFA2-DEDDAF1DE659}"/>
    <cellStyle name="20% - Accent3 2 2 3 3" xfId="4936" xr:uid="{00000000-0005-0000-0000-00005B010000}"/>
    <cellStyle name="20% - Accent3 2 2 3 3 2" xfId="13386" xr:uid="{B0F45F07-5EC4-4A75-92D7-CFCC15A6A9F5}"/>
    <cellStyle name="20% - Accent3 2 2 3 3 3" xfId="21833" xr:uid="{00014417-7E91-43F3-806C-DFE0CC2E34D5}"/>
    <cellStyle name="20% - Accent3 2 2 3 4" xfId="9168" xr:uid="{44D4E0EF-3F4E-4F76-9D38-B6C5D3F47766}"/>
    <cellStyle name="20% - Accent3 2 2 3 5" xfId="17616" xr:uid="{B5B9BF95-0CE8-4C35-8135-206F358B14AC}"/>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FF260FBD-34B6-4489-8F4E-69FC2D3C139B}"/>
    <cellStyle name="20% - Accent3 2 2 4 2 2 3" xfId="24391" xr:uid="{BFC5F4EA-3616-4D40-956A-DE0F781A2166}"/>
    <cellStyle name="20% - Accent3 2 2 4 2 3" xfId="11726" xr:uid="{C5F79B5F-C1D7-4A06-93CC-ECC9F0CA73BD}"/>
    <cellStyle name="20% - Accent3 2 2 4 2 4" xfId="20174" xr:uid="{2BDB080F-18F6-49A5-9383-0C091B2F3F2E}"/>
    <cellStyle name="20% - Accent3 2 2 4 3" xfId="5349" xr:uid="{00000000-0005-0000-0000-00005F010000}"/>
    <cellStyle name="20% - Accent3 2 2 4 3 2" xfId="13799" xr:uid="{9CC5D9C4-EB03-4537-8B29-2605F778E6C0}"/>
    <cellStyle name="20% - Accent3 2 2 4 3 3" xfId="22246" xr:uid="{CD88E542-6FF8-4CDC-A045-359C485F75E1}"/>
    <cellStyle name="20% - Accent3 2 2 4 4" xfId="9581" xr:uid="{FEA170A7-7F11-4138-9786-54BB245A700F}"/>
    <cellStyle name="20% - Accent3 2 2 4 5" xfId="18029" xr:uid="{F037A8E4-78F8-41AC-8733-8A63E735B5EE}"/>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169E31E9-996E-44D4-BBE7-0B3522DF1FA9}"/>
    <cellStyle name="20% - Accent3 2 2 5 2 2 3" xfId="24804" xr:uid="{DE3A376D-6D90-4A27-B5EF-562FFBE9A6DC}"/>
    <cellStyle name="20% - Accent3 2 2 5 2 3" xfId="12139" xr:uid="{62F4B0AB-BCE7-4289-A268-45E8973F97AA}"/>
    <cellStyle name="20% - Accent3 2 2 5 2 4" xfId="20587" xr:uid="{9FB27F18-BABD-4A2C-9EE8-B114DBDD5169}"/>
    <cellStyle name="20% - Accent3 2 2 5 3" xfId="5762" xr:uid="{00000000-0005-0000-0000-000063010000}"/>
    <cellStyle name="20% - Accent3 2 2 5 3 2" xfId="14212" xr:uid="{FB8ADC2F-8C2B-4EFF-A27B-AF41C0939C31}"/>
    <cellStyle name="20% - Accent3 2 2 5 3 3" xfId="22659" xr:uid="{0525356E-2E13-47DE-997E-0B2F4AFC82EE}"/>
    <cellStyle name="20% - Accent3 2 2 5 4" xfId="9994" xr:uid="{05F66D3F-2980-41C0-8433-1BCC55F9E590}"/>
    <cellStyle name="20% - Accent3 2 2 5 5" xfId="18442" xr:uid="{93E4081F-DB62-4704-9792-349395E1A785}"/>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F3FC470C-B395-4BE4-9DC5-2CD053816776}"/>
    <cellStyle name="20% - Accent3 2 2 6 2 2 3" xfId="25217" xr:uid="{CA1BE541-B393-4043-ADF0-214B2A843C5E}"/>
    <cellStyle name="20% - Accent3 2 2 6 2 3" xfId="12552" xr:uid="{1498095F-4CCD-4700-8C6A-CE0C36F84C89}"/>
    <cellStyle name="20% - Accent3 2 2 6 2 4" xfId="21000" xr:uid="{E98CF82F-13E7-44FB-B4A8-29C0CF3B5761}"/>
    <cellStyle name="20% - Accent3 2 2 6 3" xfId="6175" xr:uid="{00000000-0005-0000-0000-000067010000}"/>
    <cellStyle name="20% - Accent3 2 2 6 3 2" xfId="14625" xr:uid="{2A653B3F-1D6C-445D-A6AE-85EB7400E215}"/>
    <cellStyle name="20% - Accent3 2 2 6 3 3" xfId="23072" xr:uid="{0126C832-F888-4F78-B3F0-886C021FA902}"/>
    <cellStyle name="20% - Accent3 2 2 6 4" xfId="10407" xr:uid="{1A30CC32-0402-4E91-9ACC-3FE7A28E982D}"/>
    <cellStyle name="20% - Accent3 2 2 6 5" xfId="18855" xr:uid="{EDBAB807-EDA7-4AFA-A410-3351DD37F7EB}"/>
    <cellStyle name="20% - Accent3 2 2 7" xfId="2282" xr:uid="{00000000-0005-0000-0000-000068010000}"/>
    <cellStyle name="20% - Accent3 2 2 7 2" xfId="6588" xr:uid="{00000000-0005-0000-0000-000069010000}"/>
    <cellStyle name="20% - Accent3 2 2 7 2 2" xfId="15038" xr:uid="{FAECA79F-A6B8-4466-8408-C6D7A7936C15}"/>
    <cellStyle name="20% - Accent3 2 2 7 2 3" xfId="23485" xr:uid="{926C1831-F126-4B6E-9651-D5686D2E605B}"/>
    <cellStyle name="20% - Accent3 2 2 7 3" xfId="10820" xr:uid="{866A6710-2DF1-4E94-8324-BD8974675B53}"/>
    <cellStyle name="20% - Accent3 2 2 7 4" xfId="19268" xr:uid="{6AF12661-C1AC-47FD-9009-DE253A7C9C99}"/>
    <cellStyle name="20% - Accent3 2 2 8" xfId="4522" xr:uid="{00000000-0005-0000-0000-00006A010000}"/>
    <cellStyle name="20% - Accent3 2 2 8 2" xfId="12972" xr:uid="{FD47B703-B7F7-4A48-88C1-AA4EA265310F}"/>
    <cellStyle name="20% - Accent3 2 2 8 3" xfId="21419" xr:uid="{FE5F429E-F973-4656-A3BD-B615239DCC35}"/>
    <cellStyle name="20% - Accent3 2 2 9" xfId="8754" xr:uid="{7A3ECDCA-8FD8-43FC-AA5A-EEC216C241A6}"/>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C2D2AAE5-A123-48B7-8D9F-EABAB8EC64DD}"/>
    <cellStyle name="20% - Accent3 2 3 2 2 2 3" xfId="23980" xr:uid="{B6DAE703-28C1-4BEA-820C-BBD314E37809}"/>
    <cellStyle name="20% - Accent3 2 3 2 2 3" xfId="11315" xr:uid="{CF23262A-EA4C-4B50-8CB3-98D965D358DA}"/>
    <cellStyle name="20% - Accent3 2 3 2 2 4" xfId="19763" xr:uid="{7D8141A0-EBD2-423B-904D-CD08CA430186}"/>
    <cellStyle name="20% - Accent3 2 3 2 3" xfId="4938" xr:uid="{00000000-0005-0000-0000-00006F010000}"/>
    <cellStyle name="20% - Accent3 2 3 2 3 2" xfId="13388" xr:uid="{83F5B6F3-E988-410C-ADC6-AE9DCDF8D9CA}"/>
    <cellStyle name="20% - Accent3 2 3 2 3 3" xfId="21835" xr:uid="{5C310428-5D1E-450C-8FEA-790C0B1FA0D4}"/>
    <cellStyle name="20% - Accent3 2 3 2 4" xfId="9170" xr:uid="{8362A2CA-F067-4661-9D31-F0EABF5F5936}"/>
    <cellStyle name="20% - Accent3 2 3 2 5" xfId="17618" xr:uid="{3DD95A4B-7085-4EE6-9BE8-AB362CAA6BF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FB6CDDCB-ECBC-44A5-91C2-92E963B30597}"/>
    <cellStyle name="20% - Accent3 2 3 3 2 2 3" xfId="24393" xr:uid="{BD9C27CF-5EC4-424C-9682-9549AFB1A1FA}"/>
    <cellStyle name="20% - Accent3 2 3 3 2 3" xfId="11728" xr:uid="{6ABBAF0D-D96B-4684-B221-0835372439F1}"/>
    <cellStyle name="20% - Accent3 2 3 3 2 4" xfId="20176" xr:uid="{635FD6A8-8CE3-4CB0-890F-5C07678ED3C5}"/>
    <cellStyle name="20% - Accent3 2 3 3 3" xfId="5351" xr:uid="{00000000-0005-0000-0000-000073010000}"/>
    <cellStyle name="20% - Accent3 2 3 3 3 2" xfId="13801" xr:uid="{2744E91B-2604-4387-851F-980D0C997088}"/>
    <cellStyle name="20% - Accent3 2 3 3 3 3" xfId="22248" xr:uid="{7EB278A6-8245-43F8-AB32-476664BFF2B2}"/>
    <cellStyle name="20% - Accent3 2 3 3 4" xfId="9583" xr:uid="{C66F62EE-EC84-471F-A69C-3A13DB4A30EB}"/>
    <cellStyle name="20% - Accent3 2 3 3 5" xfId="18031" xr:uid="{CC9FDBFE-03FC-4949-BAF5-6E6F4A9EAB4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C59F14AB-4E6E-4E76-B78D-67D29E43C6B4}"/>
    <cellStyle name="20% - Accent3 2 3 4 2 2 3" xfId="24806" xr:uid="{02A07CCB-B953-43AA-A14B-754DF37D21ED}"/>
    <cellStyle name="20% - Accent3 2 3 4 2 3" xfId="12141" xr:uid="{7D418913-52DB-418C-B118-F883CD9934AE}"/>
    <cellStyle name="20% - Accent3 2 3 4 2 4" xfId="20589" xr:uid="{69155473-378F-43AC-8F8F-6090DA61A1F9}"/>
    <cellStyle name="20% - Accent3 2 3 4 3" xfId="5764" xr:uid="{00000000-0005-0000-0000-000077010000}"/>
    <cellStyle name="20% - Accent3 2 3 4 3 2" xfId="14214" xr:uid="{B9B25B98-F2E2-40BA-963E-4E219DD0C439}"/>
    <cellStyle name="20% - Accent3 2 3 4 3 3" xfId="22661" xr:uid="{16049C6C-799C-44B1-855E-483078BFCB4B}"/>
    <cellStyle name="20% - Accent3 2 3 4 4" xfId="9996" xr:uid="{703170B2-837E-4DDF-BC66-C328B3B859FB}"/>
    <cellStyle name="20% - Accent3 2 3 4 5" xfId="18444" xr:uid="{4F582012-3458-4003-BE0A-56B41622CB2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5C6FBC6C-08FA-4E63-A6AE-680121B0976D}"/>
    <cellStyle name="20% - Accent3 2 3 5 2 2 3" xfId="25219" xr:uid="{352967DC-D865-4ABE-9970-9C77E9DEFD6B}"/>
    <cellStyle name="20% - Accent3 2 3 5 2 3" xfId="12554" xr:uid="{F7DDDB65-9E07-4C53-B285-D98B68D7D9DB}"/>
    <cellStyle name="20% - Accent3 2 3 5 2 4" xfId="21002" xr:uid="{8D796395-7823-45E1-8485-4FD946AF8410}"/>
    <cellStyle name="20% - Accent3 2 3 5 3" xfId="6177" xr:uid="{00000000-0005-0000-0000-00007B010000}"/>
    <cellStyle name="20% - Accent3 2 3 5 3 2" xfId="14627" xr:uid="{6F300F92-E311-4603-81B2-F1EC30F7A0B9}"/>
    <cellStyle name="20% - Accent3 2 3 5 3 3" xfId="23074" xr:uid="{557BEF15-5A25-44A8-A0C7-D712AC1A4BF2}"/>
    <cellStyle name="20% - Accent3 2 3 5 4" xfId="10409" xr:uid="{8A0A81B9-AE13-47E9-81CC-0B4EF49A6345}"/>
    <cellStyle name="20% - Accent3 2 3 5 5" xfId="18857" xr:uid="{2C01DA2B-B949-4B59-9AE8-8E6DCCD793DC}"/>
    <cellStyle name="20% - Accent3 2 3 6" xfId="2284" xr:uid="{00000000-0005-0000-0000-00007C010000}"/>
    <cellStyle name="20% - Accent3 2 3 6 2" xfId="6590" xr:uid="{00000000-0005-0000-0000-00007D010000}"/>
    <cellStyle name="20% - Accent3 2 3 6 2 2" xfId="15040" xr:uid="{41E0E08D-A919-447D-A032-1E46E420C8EE}"/>
    <cellStyle name="20% - Accent3 2 3 6 2 3" xfId="23487" xr:uid="{792AC895-E783-4394-BC54-3E8143AAB137}"/>
    <cellStyle name="20% - Accent3 2 3 6 3" xfId="10822" xr:uid="{2A7178FF-D2DC-4524-8D27-5923528037A4}"/>
    <cellStyle name="20% - Accent3 2 3 6 4" xfId="19270" xr:uid="{64530B56-EC56-4F77-85B2-86663C07F14A}"/>
    <cellStyle name="20% - Accent3 2 3 7" xfId="4524" xr:uid="{00000000-0005-0000-0000-00007E010000}"/>
    <cellStyle name="20% - Accent3 2 3 7 2" xfId="12974" xr:uid="{B9D4DF12-E537-4A1F-B2A1-8AEA893436DA}"/>
    <cellStyle name="20% - Accent3 2 3 7 3" xfId="21421" xr:uid="{1D9EE089-1468-49D4-B6A2-662EAEDFDBDE}"/>
    <cellStyle name="20% - Accent3 2 3 8" xfId="8756" xr:uid="{7FBD10A8-0CF8-4B5D-A977-9F1147E7819D}"/>
    <cellStyle name="20% - Accent3 2 3 9" xfId="17204" xr:uid="{EF4F40B5-3CF7-41AA-A601-C0F9EE465B9B}"/>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8C497710-AA71-4E42-AE4A-AB8E98793DA3}"/>
    <cellStyle name="20% - Accent3 2 4 2 2 3" xfId="23977" xr:uid="{440A15F1-F446-4EB6-AB9E-43214A2E2687}"/>
    <cellStyle name="20% - Accent3 2 4 2 3" xfId="11312" xr:uid="{79201F9F-02DE-4CB3-8010-8A98358FCC96}"/>
    <cellStyle name="20% - Accent3 2 4 2 4" xfId="19760" xr:uid="{D032370E-1CA8-42C1-B6FA-82E63C4CF091}"/>
    <cellStyle name="20% - Accent3 2 4 3" xfId="4935" xr:uid="{00000000-0005-0000-0000-000082010000}"/>
    <cellStyle name="20% - Accent3 2 4 3 2" xfId="13385" xr:uid="{BF3A2A07-E39A-4332-B5D8-54C4CF2219B9}"/>
    <cellStyle name="20% - Accent3 2 4 3 3" xfId="21832" xr:uid="{D5487D02-6A7F-4B83-A410-AEB59AB598E5}"/>
    <cellStyle name="20% - Accent3 2 4 4" xfId="9167" xr:uid="{C9790743-66F0-49F1-B6D9-E345B780D006}"/>
    <cellStyle name="20% - Accent3 2 4 5" xfId="17615" xr:uid="{1C1C5604-EEC3-4294-89FB-C855EB777FBF}"/>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49ECA493-5316-45A4-AAEF-78D5FE95B094}"/>
    <cellStyle name="20% - Accent3 2 5 2 2 3" xfId="24390" xr:uid="{AEE3709D-B89D-4BD3-B010-93C035917258}"/>
    <cellStyle name="20% - Accent3 2 5 2 3" xfId="11725" xr:uid="{32C146A3-E27A-4A9F-B669-340CF7C21EE1}"/>
    <cellStyle name="20% - Accent3 2 5 2 4" xfId="20173" xr:uid="{3AFE9DC3-6F8E-4841-8305-A3B3700D0BDE}"/>
    <cellStyle name="20% - Accent3 2 5 3" xfId="5348" xr:uid="{00000000-0005-0000-0000-000086010000}"/>
    <cellStyle name="20% - Accent3 2 5 3 2" xfId="13798" xr:uid="{985415F2-553B-4C99-93DA-9924895902D2}"/>
    <cellStyle name="20% - Accent3 2 5 3 3" xfId="22245" xr:uid="{033FB6AC-5FFB-4990-AE98-4C0E49F17A53}"/>
    <cellStyle name="20% - Accent3 2 5 4" xfId="9580" xr:uid="{8039089C-B549-4FEF-A333-EDBE21091590}"/>
    <cellStyle name="20% - Accent3 2 5 5" xfId="18028" xr:uid="{E6B6208B-09DC-4A26-BC26-304AAF49302B}"/>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E45EDCD8-79D1-4955-89F6-9C0E03CB8F36}"/>
    <cellStyle name="20% - Accent3 2 6 2 2 3" xfId="24803" xr:uid="{EA179EB0-8D70-413B-B111-B5AF84EAEEA8}"/>
    <cellStyle name="20% - Accent3 2 6 2 3" xfId="12138" xr:uid="{4D353FAB-CE8F-47AE-94BE-B8A6C603C113}"/>
    <cellStyle name="20% - Accent3 2 6 2 4" xfId="20586" xr:uid="{74A856B2-E49A-4310-B91C-86886B2C572B}"/>
    <cellStyle name="20% - Accent3 2 6 3" xfId="5761" xr:uid="{00000000-0005-0000-0000-00008A010000}"/>
    <cellStyle name="20% - Accent3 2 6 3 2" xfId="14211" xr:uid="{0072A94E-FFD2-47F8-8B6D-23382A22C76E}"/>
    <cellStyle name="20% - Accent3 2 6 3 3" xfId="22658" xr:uid="{BD8156BF-D3CD-4E4B-B952-63DB3984E3F7}"/>
    <cellStyle name="20% - Accent3 2 6 4" xfId="9993" xr:uid="{337F6924-3A1A-4625-9614-475D14111A28}"/>
    <cellStyle name="20% - Accent3 2 6 5" xfId="18441" xr:uid="{DC92C726-86E9-4FA1-BF5D-4A2DC5FFF008}"/>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D3B9C93A-82A3-41DF-83B7-3D1C5290C9E6}"/>
    <cellStyle name="20% - Accent3 2 7 2 2 3" xfId="25216" xr:uid="{A4FC2C38-18F1-42A7-8588-3F7583372FB1}"/>
    <cellStyle name="20% - Accent3 2 7 2 3" xfId="12551" xr:uid="{9FF32E85-7242-4FCE-85FF-742105B9BB29}"/>
    <cellStyle name="20% - Accent3 2 7 2 4" xfId="20999" xr:uid="{0B781C85-5E7B-46DA-A92F-869C3109CB63}"/>
    <cellStyle name="20% - Accent3 2 7 3" xfId="6174" xr:uid="{00000000-0005-0000-0000-00008E010000}"/>
    <cellStyle name="20% - Accent3 2 7 3 2" xfId="14624" xr:uid="{8CE96A17-A03F-4087-9847-4C7974B4A232}"/>
    <cellStyle name="20% - Accent3 2 7 3 3" xfId="23071" xr:uid="{8564B84B-9A6F-48CD-B497-74490BF47ECC}"/>
    <cellStyle name="20% - Accent3 2 7 4" xfId="10406" xr:uid="{640D09B9-3847-4B11-9004-82ADE30435BF}"/>
    <cellStyle name="20% - Accent3 2 7 5" xfId="18854" xr:uid="{5C222499-CCA9-4A14-AE20-D4265BC8E23A}"/>
    <cellStyle name="20% - Accent3 2 8" xfId="2281" xr:uid="{00000000-0005-0000-0000-00008F010000}"/>
    <cellStyle name="20% - Accent3 2 8 2" xfId="6587" xr:uid="{00000000-0005-0000-0000-000090010000}"/>
    <cellStyle name="20% - Accent3 2 8 2 2" xfId="15037" xr:uid="{F009DA93-8FCE-4F29-BF26-58D06F69322E}"/>
    <cellStyle name="20% - Accent3 2 8 2 3" xfId="23484" xr:uid="{FFAA10F6-408D-40D2-B793-BFD8D618AB0C}"/>
    <cellStyle name="20% - Accent3 2 8 3" xfId="10819" xr:uid="{83DD35E9-F00A-40CC-8540-B9B912B6D212}"/>
    <cellStyle name="20% - Accent3 2 8 4" xfId="19267" xr:uid="{02594BF4-BBAB-4235-9C65-B2139A767090}"/>
    <cellStyle name="20% - Accent3 2 9" xfId="4521" xr:uid="{00000000-0005-0000-0000-000091010000}"/>
    <cellStyle name="20% - Accent3 2 9 2" xfId="12971" xr:uid="{F9751028-BE87-4F32-A53B-450BE16A22F9}"/>
    <cellStyle name="20% - Accent3 2 9 3" xfId="21418" xr:uid="{BEC6D49C-0216-4066-BB2D-DC6B9427A274}"/>
    <cellStyle name="20% - Accent3 3" xfId="22" xr:uid="{00000000-0005-0000-0000-000092010000}"/>
    <cellStyle name="20% - Accent3 3 10" xfId="17205" xr:uid="{8E0D105A-8509-48C7-9706-F19DEA066242}"/>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2D677192-0E58-41E7-811E-42D1C6F3FA87}"/>
    <cellStyle name="20% - Accent3 3 2 2 2 2 3" xfId="23982" xr:uid="{5AF6B53C-E62E-4AB9-94BA-7A55D65BBE3D}"/>
    <cellStyle name="20% - Accent3 3 2 2 2 3" xfId="11317" xr:uid="{5F115F28-2A89-4C7B-8EDD-661B4A25692A}"/>
    <cellStyle name="20% - Accent3 3 2 2 2 4" xfId="19765" xr:uid="{6D128A7D-6F70-4898-9AAB-6DF6E0C63BD2}"/>
    <cellStyle name="20% - Accent3 3 2 2 3" xfId="4940" xr:uid="{00000000-0005-0000-0000-000097010000}"/>
    <cellStyle name="20% - Accent3 3 2 2 3 2" xfId="13390" xr:uid="{0BF63BAB-72F2-478D-8975-A7295A1247B5}"/>
    <cellStyle name="20% - Accent3 3 2 2 3 3" xfId="21837" xr:uid="{883DFD05-6C42-4FC0-869B-A2D6B012ECF7}"/>
    <cellStyle name="20% - Accent3 3 2 2 4" xfId="9172" xr:uid="{6BE5F3C4-6217-4ED4-8A02-16CA7870C09A}"/>
    <cellStyle name="20% - Accent3 3 2 2 5" xfId="17620" xr:uid="{66EBD0E1-3AC7-4B37-B931-252011398D0A}"/>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17762012-8257-4A20-B0B7-4B0515BB4BA8}"/>
    <cellStyle name="20% - Accent3 3 2 3 2 2 3" xfId="24395" xr:uid="{FA1DB5FB-A7DB-48E3-8562-B64F961D6B13}"/>
    <cellStyle name="20% - Accent3 3 2 3 2 3" xfId="11730" xr:uid="{E2E2F20A-6BAD-476E-B506-66149C0B2501}"/>
    <cellStyle name="20% - Accent3 3 2 3 2 4" xfId="20178" xr:uid="{44191B54-B453-4FC8-A7C3-9B5730E0712A}"/>
    <cellStyle name="20% - Accent3 3 2 3 3" xfId="5353" xr:uid="{00000000-0005-0000-0000-00009B010000}"/>
    <cellStyle name="20% - Accent3 3 2 3 3 2" xfId="13803" xr:uid="{995F2F6D-DFAD-4FFE-A077-827B73725F70}"/>
    <cellStyle name="20% - Accent3 3 2 3 3 3" xfId="22250" xr:uid="{13E7BA5E-E117-405B-A50E-0EADB2CB7CB1}"/>
    <cellStyle name="20% - Accent3 3 2 3 4" xfId="9585" xr:uid="{9BB5E8C8-15DC-44D7-9B86-D307B0934F45}"/>
    <cellStyle name="20% - Accent3 3 2 3 5" xfId="18033" xr:uid="{13A2BCA0-5F60-442C-95E5-51A6464E725C}"/>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8E9CBFDE-6DD8-4995-B4FB-422475C000E2}"/>
    <cellStyle name="20% - Accent3 3 2 4 2 2 3" xfId="24808" xr:uid="{09C00E06-B2D2-488E-8577-CB4626C88141}"/>
    <cellStyle name="20% - Accent3 3 2 4 2 3" xfId="12143" xr:uid="{2D50648B-F10C-4694-8A8B-306CE21CE47A}"/>
    <cellStyle name="20% - Accent3 3 2 4 2 4" xfId="20591" xr:uid="{F8CF7275-BFAE-4032-8686-038B37EF1642}"/>
    <cellStyle name="20% - Accent3 3 2 4 3" xfId="5766" xr:uid="{00000000-0005-0000-0000-00009F010000}"/>
    <cellStyle name="20% - Accent3 3 2 4 3 2" xfId="14216" xr:uid="{8AEC8EFD-D3E5-40E2-8308-024725594902}"/>
    <cellStyle name="20% - Accent3 3 2 4 3 3" xfId="22663" xr:uid="{95489AAC-8BD8-4957-845B-D339E973CC54}"/>
    <cellStyle name="20% - Accent3 3 2 4 4" xfId="9998" xr:uid="{D4A562AD-7CAA-4E5C-A7E4-2992ECC20A5D}"/>
    <cellStyle name="20% - Accent3 3 2 4 5" xfId="18446" xr:uid="{FDCFCD52-24C9-4368-8422-71C5196224B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7BF488EE-A450-478E-B44D-2EC17F946C90}"/>
    <cellStyle name="20% - Accent3 3 2 5 2 2 3" xfId="25221" xr:uid="{59F580CE-DDB1-4DDD-BE6B-BBC320B78DFC}"/>
    <cellStyle name="20% - Accent3 3 2 5 2 3" xfId="12556" xr:uid="{3F7FE45C-3C33-4D83-9621-8C587555288F}"/>
    <cellStyle name="20% - Accent3 3 2 5 2 4" xfId="21004" xr:uid="{511772BC-0888-439A-A766-637000791559}"/>
    <cellStyle name="20% - Accent3 3 2 5 3" xfId="6179" xr:uid="{00000000-0005-0000-0000-0000A3010000}"/>
    <cellStyle name="20% - Accent3 3 2 5 3 2" xfId="14629" xr:uid="{41462CCF-B305-407C-9556-03B06B02E17F}"/>
    <cellStyle name="20% - Accent3 3 2 5 3 3" xfId="23076" xr:uid="{D27FC5EC-244A-4E41-9763-97A387B02460}"/>
    <cellStyle name="20% - Accent3 3 2 5 4" xfId="10411" xr:uid="{9A529C8E-6AD4-45E5-9EF7-08B6018A9B03}"/>
    <cellStyle name="20% - Accent3 3 2 5 5" xfId="18859" xr:uid="{91466616-AD75-4596-9EB4-A29A6FB73386}"/>
    <cellStyle name="20% - Accent3 3 2 6" xfId="2286" xr:uid="{00000000-0005-0000-0000-0000A4010000}"/>
    <cellStyle name="20% - Accent3 3 2 6 2" xfId="6592" xr:uid="{00000000-0005-0000-0000-0000A5010000}"/>
    <cellStyle name="20% - Accent3 3 2 6 2 2" xfId="15042" xr:uid="{6F787D23-29C1-4B43-9E80-7F8979AD5F29}"/>
    <cellStyle name="20% - Accent3 3 2 6 2 3" xfId="23489" xr:uid="{37A24267-48AA-4E59-AF13-31FFE571679F}"/>
    <cellStyle name="20% - Accent3 3 2 6 3" xfId="10824" xr:uid="{59C0B5FD-7366-4614-AF2D-1C6FB03A15D3}"/>
    <cellStyle name="20% - Accent3 3 2 6 4" xfId="19272" xr:uid="{E5A63A37-F1C0-462D-BF0C-8379EEF39B21}"/>
    <cellStyle name="20% - Accent3 3 2 7" xfId="4526" xr:uid="{00000000-0005-0000-0000-0000A6010000}"/>
    <cellStyle name="20% - Accent3 3 2 7 2" xfId="12976" xr:uid="{2A816E44-12E7-49CA-89E3-7AF00227E7F9}"/>
    <cellStyle name="20% - Accent3 3 2 7 3" xfId="21423" xr:uid="{6041B81D-91FD-43D7-96C2-2EF314985D44}"/>
    <cellStyle name="20% - Accent3 3 2 8" xfId="8758" xr:uid="{E4A8EF0E-7345-48D5-9C28-89E11BEEEF55}"/>
    <cellStyle name="20% - Accent3 3 2 9" xfId="17206" xr:uid="{32E70033-6D07-4F6B-9D42-95337D987801}"/>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26967869-1227-4256-ACD2-248A8C248B60}"/>
    <cellStyle name="20% - Accent3 3 3 2 2 3" xfId="23981" xr:uid="{5CB8D3CD-DFBA-4564-A75F-554E60DF2BE6}"/>
    <cellStyle name="20% - Accent3 3 3 2 3" xfId="11316" xr:uid="{069DE5B7-74BA-496C-9A3B-45E93130D5D1}"/>
    <cellStyle name="20% - Accent3 3 3 2 4" xfId="19764" xr:uid="{C75E0124-A392-4B02-BCCF-DFA33FCB88B3}"/>
    <cellStyle name="20% - Accent3 3 3 3" xfId="4939" xr:uid="{00000000-0005-0000-0000-0000AA010000}"/>
    <cellStyle name="20% - Accent3 3 3 3 2" xfId="13389" xr:uid="{DC6E5FE8-4BC5-42A5-B185-34579900D938}"/>
    <cellStyle name="20% - Accent3 3 3 3 3" xfId="21836" xr:uid="{04319E02-D94E-4A40-B9C4-2801891DFCD9}"/>
    <cellStyle name="20% - Accent3 3 3 4" xfId="9171" xr:uid="{6851C1E4-7C3A-4264-9412-5E110F6808B8}"/>
    <cellStyle name="20% - Accent3 3 3 5" xfId="17619" xr:uid="{7A6F0CBE-A5F3-4C89-98A8-5866F42F76C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4FB1E5F7-B36E-4CB1-BC83-C03CE6BB2BEA}"/>
    <cellStyle name="20% - Accent3 3 4 2 2 3" xfId="24394" xr:uid="{62B9E0C9-5B90-4E59-806E-3FEB9C37501F}"/>
    <cellStyle name="20% - Accent3 3 4 2 3" xfId="11729" xr:uid="{137B2AD2-5786-4ED2-AF0B-F33FA5D61D40}"/>
    <cellStyle name="20% - Accent3 3 4 2 4" xfId="20177" xr:uid="{EEC040F3-0661-448E-895C-D81DE52F5F7A}"/>
    <cellStyle name="20% - Accent3 3 4 3" xfId="5352" xr:uid="{00000000-0005-0000-0000-0000AE010000}"/>
    <cellStyle name="20% - Accent3 3 4 3 2" xfId="13802" xr:uid="{5BD06A4D-5D77-499C-8CF4-0E06FE623E29}"/>
    <cellStyle name="20% - Accent3 3 4 3 3" xfId="22249" xr:uid="{239A246F-A5E4-406D-AA5B-D7B96CC9FB2F}"/>
    <cellStyle name="20% - Accent3 3 4 4" xfId="9584" xr:uid="{CBF28BDC-0118-44B5-A01B-0F7CCE606928}"/>
    <cellStyle name="20% - Accent3 3 4 5" xfId="18032" xr:uid="{BCEB290B-62BA-44AF-8C0D-E52931046AD3}"/>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0105DD29-92BC-4660-A8F1-B9D94EAA6A37}"/>
    <cellStyle name="20% - Accent3 3 5 2 2 3" xfId="24807" xr:uid="{66080D43-A932-4C0A-AF01-2CAF124CDEA3}"/>
    <cellStyle name="20% - Accent3 3 5 2 3" xfId="12142" xr:uid="{93DE5EF8-E7EB-4D67-ABF1-8CF34A6CC9CB}"/>
    <cellStyle name="20% - Accent3 3 5 2 4" xfId="20590" xr:uid="{4A503637-A789-403C-AD61-F0FCE1AC00AB}"/>
    <cellStyle name="20% - Accent3 3 5 3" xfId="5765" xr:uid="{00000000-0005-0000-0000-0000B2010000}"/>
    <cellStyle name="20% - Accent3 3 5 3 2" xfId="14215" xr:uid="{1E89CBDC-8F87-4F72-98F6-1713AD1F2554}"/>
    <cellStyle name="20% - Accent3 3 5 3 3" xfId="22662" xr:uid="{117C67F1-2A03-40E8-B8C1-F81B35D4900F}"/>
    <cellStyle name="20% - Accent3 3 5 4" xfId="9997" xr:uid="{28D25FCC-2AB1-40CC-9143-DCB41660125D}"/>
    <cellStyle name="20% - Accent3 3 5 5" xfId="18445" xr:uid="{938D3D74-28B7-4E75-AAD9-B745C2941B4D}"/>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4E5C308D-8693-46D3-BBE4-C0843DD5E456}"/>
    <cellStyle name="20% - Accent3 3 6 2 2 3" xfId="25220" xr:uid="{09F78F29-F2E6-4C86-A7BC-E5C3F82F222D}"/>
    <cellStyle name="20% - Accent3 3 6 2 3" xfId="12555" xr:uid="{1C7631C7-DF97-4817-9B24-491AEC833B5E}"/>
    <cellStyle name="20% - Accent3 3 6 2 4" xfId="21003" xr:uid="{6014D3A3-A2E5-48B1-9F84-4365CB7D0167}"/>
    <cellStyle name="20% - Accent3 3 6 3" xfId="6178" xr:uid="{00000000-0005-0000-0000-0000B6010000}"/>
    <cellStyle name="20% - Accent3 3 6 3 2" xfId="14628" xr:uid="{811B827E-98F0-456B-972F-035003EFDE7F}"/>
    <cellStyle name="20% - Accent3 3 6 3 3" xfId="23075" xr:uid="{513E9579-3647-4BA7-AD7E-0DCB0036F67F}"/>
    <cellStyle name="20% - Accent3 3 6 4" xfId="10410" xr:uid="{CF68F323-FAA3-4C1A-B220-BCA034AE858E}"/>
    <cellStyle name="20% - Accent3 3 6 5" xfId="18858" xr:uid="{81296840-0EC8-446A-9CFB-0FCCACE62A14}"/>
    <cellStyle name="20% - Accent3 3 7" xfId="2285" xr:uid="{00000000-0005-0000-0000-0000B7010000}"/>
    <cellStyle name="20% - Accent3 3 7 2" xfId="6591" xr:uid="{00000000-0005-0000-0000-0000B8010000}"/>
    <cellStyle name="20% - Accent3 3 7 2 2" xfId="15041" xr:uid="{645063B6-0D0E-46A7-882C-AE5FE06431EE}"/>
    <cellStyle name="20% - Accent3 3 7 2 3" xfId="23488" xr:uid="{3F171118-55E2-4EA0-878D-C8C1A4CEF008}"/>
    <cellStyle name="20% - Accent3 3 7 3" xfId="10823" xr:uid="{996504EF-AE72-46D6-8504-29B04ED070E8}"/>
    <cellStyle name="20% - Accent3 3 7 4" xfId="19271" xr:uid="{556317F3-4E05-4B2E-9940-9F48614C4159}"/>
    <cellStyle name="20% - Accent3 3 8" xfId="4525" xr:uid="{00000000-0005-0000-0000-0000B9010000}"/>
    <cellStyle name="20% - Accent3 3 8 2" xfId="12975" xr:uid="{D4AA0B64-1D87-4A1B-A869-1AB67923EC4A}"/>
    <cellStyle name="20% - Accent3 3 8 3" xfId="21422" xr:uid="{E9F87282-DFAA-400F-A992-EF7789E0EF84}"/>
    <cellStyle name="20% - Accent3 3 9" xfId="8757" xr:uid="{33AC8986-E1E7-4238-8DC2-C8CC930808D9}"/>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32622E1E-97E0-4C6E-AD7B-9367F991402E}"/>
    <cellStyle name="20% - Accent3 4 2 2 2 3" xfId="23983" xr:uid="{FF2D9D5F-8469-4DC0-BA31-EC6C93765C15}"/>
    <cellStyle name="20% - Accent3 4 2 2 3" xfId="11318" xr:uid="{B19A3279-33BF-4E70-AD46-F0401D9DFAC7}"/>
    <cellStyle name="20% - Accent3 4 2 2 4" xfId="19766" xr:uid="{46291FD8-A3EA-4C91-A8FB-9E00E3092F73}"/>
    <cellStyle name="20% - Accent3 4 2 3" xfId="4941" xr:uid="{00000000-0005-0000-0000-0000BE010000}"/>
    <cellStyle name="20% - Accent3 4 2 3 2" xfId="13391" xr:uid="{7CB95375-CA0F-4643-A548-8537F829EFCB}"/>
    <cellStyle name="20% - Accent3 4 2 3 3" xfId="21838" xr:uid="{E5F8CB65-345C-4657-8739-6A8AFABC9306}"/>
    <cellStyle name="20% - Accent3 4 2 4" xfId="9173" xr:uid="{9EA6F745-E543-4F7D-9E09-A657CE83B1ED}"/>
    <cellStyle name="20% - Accent3 4 2 5" xfId="17621" xr:uid="{D21A9BFD-1E91-45A4-8B49-2AC76E816287}"/>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FE4E95BA-6E37-4D18-B77E-3BBD36FFEEF5}"/>
    <cellStyle name="20% - Accent3 4 3 2 2 3" xfId="24396" xr:uid="{9027BEA4-E006-4B4F-86BD-46CEDDEDB0DC}"/>
    <cellStyle name="20% - Accent3 4 3 2 3" xfId="11731" xr:uid="{2A2A94F8-FC6F-44CF-8F38-0699277A5286}"/>
    <cellStyle name="20% - Accent3 4 3 2 4" xfId="20179" xr:uid="{3EFECFFD-CD5F-489C-AB53-A123FA9BA8BF}"/>
    <cellStyle name="20% - Accent3 4 3 3" xfId="5354" xr:uid="{00000000-0005-0000-0000-0000C2010000}"/>
    <cellStyle name="20% - Accent3 4 3 3 2" xfId="13804" xr:uid="{18C502E6-3FD0-4D09-A9B8-1C916DE88FDF}"/>
    <cellStyle name="20% - Accent3 4 3 3 3" xfId="22251" xr:uid="{25A7A781-E4EA-4495-A764-85002A38189B}"/>
    <cellStyle name="20% - Accent3 4 3 4" xfId="9586" xr:uid="{9D4D9874-E3D7-447E-8CB2-3E49DEDD1E86}"/>
    <cellStyle name="20% - Accent3 4 3 5" xfId="18034" xr:uid="{D63338DA-1E46-4E75-BAA1-8A15F5A6BB52}"/>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4351D9B4-1B3B-49FD-9BBD-2483731BBE41}"/>
    <cellStyle name="20% - Accent3 4 4 2 2 3" xfId="24809" xr:uid="{EB578549-5560-4011-8F2C-643E5AB0B7F5}"/>
    <cellStyle name="20% - Accent3 4 4 2 3" xfId="12144" xr:uid="{100BBB26-71F1-4C63-80D3-0AC9833C89B9}"/>
    <cellStyle name="20% - Accent3 4 4 2 4" xfId="20592" xr:uid="{F23D56B6-5542-4B62-8192-5CFA916DFFAF}"/>
    <cellStyle name="20% - Accent3 4 4 3" xfId="5767" xr:uid="{00000000-0005-0000-0000-0000C6010000}"/>
    <cellStyle name="20% - Accent3 4 4 3 2" xfId="14217" xr:uid="{8B4992EB-F087-4787-8C96-68763A69B76A}"/>
    <cellStyle name="20% - Accent3 4 4 3 3" xfId="22664" xr:uid="{672096AE-0C59-49DD-9814-813ACE937BDC}"/>
    <cellStyle name="20% - Accent3 4 4 4" xfId="9999" xr:uid="{D326C077-CC7C-463F-AC0E-F227564AAF0E}"/>
    <cellStyle name="20% - Accent3 4 4 5" xfId="18447" xr:uid="{328EB11D-7578-4258-94E1-4BC0A8C0572F}"/>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61D8F233-3A65-4B8A-81FE-B51136D9A4B2}"/>
    <cellStyle name="20% - Accent3 4 5 2 2 3" xfId="25222" xr:uid="{D7A0CB78-B646-4BF3-BD13-9C2AEEDE1B4B}"/>
    <cellStyle name="20% - Accent3 4 5 2 3" xfId="12557" xr:uid="{52233903-5D98-4061-BED7-DE51DA5CA288}"/>
    <cellStyle name="20% - Accent3 4 5 2 4" xfId="21005" xr:uid="{10D50952-3EFB-4691-9A77-B97C6E4D19A3}"/>
    <cellStyle name="20% - Accent3 4 5 3" xfId="6180" xr:uid="{00000000-0005-0000-0000-0000CA010000}"/>
    <cellStyle name="20% - Accent3 4 5 3 2" xfId="14630" xr:uid="{CA958CA2-3F77-4BCB-9210-41E8425CB587}"/>
    <cellStyle name="20% - Accent3 4 5 3 3" xfId="23077" xr:uid="{D1DF1356-DBC1-42D4-8EAD-C3900808ED25}"/>
    <cellStyle name="20% - Accent3 4 5 4" xfId="10412" xr:uid="{5C1AB857-4052-4056-9020-4250080A573A}"/>
    <cellStyle name="20% - Accent3 4 5 5" xfId="18860" xr:uid="{092212FC-EE92-4165-9B3A-E8848F1C7410}"/>
    <cellStyle name="20% - Accent3 4 6" xfId="2287" xr:uid="{00000000-0005-0000-0000-0000CB010000}"/>
    <cellStyle name="20% - Accent3 4 6 2" xfId="6593" xr:uid="{00000000-0005-0000-0000-0000CC010000}"/>
    <cellStyle name="20% - Accent3 4 6 2 2" xfId="15043" xr:uid="{6D4B542A-7D84-4130-A2ED-B7002FFD0C1D}"/>
    <cellStyle name="20% - Accent3 4 6 2 3" xfId="23490" xr:uid="{5AE5DFEA-9D49-40F7-9FD3-2911A7237F94}"/>
    <cellStyle name="20% - Accent3 4 6 3" xfId="10825" xr:uid="{3AAC9D53-5B42-4DEC-B2AE-B14F263D5E5C}"/>
    <cellStyle name="20% - Accent3 4 6 4" xfId="19273" xr:uid="{6B223ED2-F677-4370-B338-991C947E5604}"/>
    <cellStyle name="20% - Accent3 4 7" xfId="4527" xr:uid="{00000000-0005-0000-0000-0000CD010000}"/>
    <cellStyle name="20% - Accent3 4 7 2" xfId="12977" xr:uid="{876BBD12-85DD-42C3-A2D2-C9D36ACF8E8E}"/>
    <cellStyle name="20% - Accent3 4 7 3" xfId="21424" xr:uid="{FC7F783A-4154-4825-A225-9168C4C0B3EC}"/>
    <cellStyle name="20% - Accent3 4 8" xfId="8759" xr:uid="{E18D4BF4-312F-4E96-9591-0E0829B28E6B}"/>
    <cellStyle name="20% - Accent3 4 9" xfId="17207" xr:uid="{438704F7-CA54-494D-B106-4AA7A57DC049}"/>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169FE164-CF61-4C59-A47A-B119156017E2}"/>
    <cellStyle name="20% - Accent3 5 2 2 3" xfId="23976" xr:uid="{2E13BD2C-1C8D-4BAF-9B0B-DE2833B081FF}"/>
    <cellStyle name="20% - Accent3 5 2 3" xfId="11311" xr:uid="{80B5A058-9C76-4FF8-9610-973642664804}"/>
    <cellStyle name="20% - Accent3 5 2 4" xfId="19759" xr:uid="{1C1BCA23-018B-410E-B1BB-D35D650B7247}"/>
    <cellStyle name="20% - Accent3 5 3" xfId="4934" xr:uid="{00000000-0005-0000-0000-0000D1010000}"/>
    <cellStyle name="20% - Accent3 5 3 2" xfId="13384" xr:uid="{D1ECA858-2DCA-4D9A-A8A4-3550568558F6}"/>
    <cellStyle name="20% - Accent3 5 3 3" xfId="21831" xr:uid="{FE6748D9-E1E2-4644-A833-81B2B74A29AC}"/>
    <cellStyle name="20% - Accent3 5 4" xfId="9166" xr:uid="{9A205FF8-A668-4941-BE43-3383072AF2D9}"/>
    <cellStyle name="20% - Accent3 5 5" xfId="17614" xr:uid="{C711BDC0-7784-43C1-B4FB-426C3C07FEF3}"/>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2EECF1F5-EBBA-49AB-8CDE-0E3E5075E65C}"/>
    <cellStyle name="20% - Accent3 6 2 2 3" xfId="24389" xr:uid="{39ED08D8-71D3-441D-B52F-7770601D69E1}"/>
    <cellStyle name="20% - Accent3 6 2 3" xfId="11724" xr:uid="{8A0781C0-9AD5-4FEE-A73D-22E6626812C3}"/>
    <cellStyle name="20% - Accent3 6 2 4" xfId="20172" xr:uid="{A0859ED7-0322-46CB-A08C-05A165768A8E}"/>
    <cellStyle name="20% - Accent3 6 3" xfId="5347" xr:uid="{00000000-0005-0000-0000-0000D5010000}"/>
    <cellStyle name="20% - Accent3 6 3 2" xfId="13797" xr:uid="{EE6375B8-6272-4423-B617-1A945BEB14C1}"/>
    <cellStyle name="20% - Accent3 6 3 3" xfId="22244" xr:uid="{F7802342-83B6-461C-BC46-789B53087340}"/>
    <cellStyle name="20% - Accent3 6 4" xfId="9579" xr:uid="{C1D0DC4F-86BC-43DC-8753-E209AFCF2364}"/>
    <cellStyle name="20% - Accent3 6 5" xfId="18027" xr:uid="{A26A574F-C01E-4F39-948A-0CBB86C90729}"/>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7091DCA6-9142-47DD-8B60-8304307C4C5A}"/>
    <cellStyle name="20% - Accent3 7 2 2 3" xfId="24802" xr:uid="{84EF10B6-D511-44EE-91EE-7AAC093B7D8A}"/>
    <cellStyle name="20% - Accent3 7 2 3" xfId="12137" xr:uid="{B6EB006C-D794-4C85-8D9A-17113B43CD23}"/>
    <cellStyle name="20% - Accent3 7 2 4" xfId="20585" xr:uid="{40362777-0FBB-4497-ABE5-BD2AAD7C4DDA}"/>
    <cellStyle name="20% - Accent3 7 3" xfId="5760" xr:uid="{00000000-0005-0000-0000-0000D9010000}"/>
    <cellStyle name="20% - Accent3 7 3 2" xfId="14210" xr:uid="{E884E3F2-DF65-4D45-A710-24BDACC5CE8C}"/>
    <cellStyle name="20% - Accent3 7 3 3" xfId="22657" xr:uid="{D0CF7605-7CFA-402A-B734-803710EE06D5}"/>
    <cellStyle name="20% - Accent3 7 4" xfId="9992" xr:uid="{F1EB2C41-283D-4152-A36A-11827FF8C200}"/>
    <cellStyle name="20% - Accent3 7 5" xfId="18440" xr:uid="{CBEB1012-DB38-4D23-A0DE-A8C8403160A3}"/>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18ED4674-0155-47FE-8962-3A4DF1F651FA}"/>
    <cellStyle name="20% - Accent3 8 2 2 3" xfId="25215" xr:uid="{6A2CEF5F-47A3-44DF-8FD1-C33B0A39EE0E}"/>
    <cellStyle name="20% - Accent3 8 2 3" xfId="12550" xr:uid="{E2E1069C-0B41-4A40-915C-A178FC2979F6}"/>
    <cellStyle name="20% - Accent3 8 2 4" xfId="20998" xr:uid="{5C1FAAFE-C67C-41AC-8B38-907F9E3F5949}"/>
    <cellStyle name="20% - Accent3 8 3" xfId="6173" xr:uid="{00000000-0005-0000-0000-0000DD010000}"/>
    <cellStyle name="20% - Accent3 8 3 2" xfId="14623" xr:uid="{AA03B435-7EEB-4762-B407-48B7C23564EE}"/>
    <cellStyle name="20% - Accent3 8 3 3" xfId="23070" xr:uid="{FB4E36D5-4B9F-4403-9019-442BF1E20321}"/>
    <cellStyle name="20% - Accent3 8 4" xfId="10405" xr:uid="{8B3EE13F-C8C3-4505-BC2D-E9A7490EDFA3}"/>
    <cellStyle name="20% - Accent3 8 5" xfId="18853" xr:uid="{0395B71F-4298-4A2B-BAC1-F79376774330}"/>
    <cellStyle name="20% - Accent3 9" xfId="2280" xr:uid="{00000000-0005-0000-0000-0000DE010000}"/>
    <cellStyle name="20% - Accent3 9 2" xfId="6586" xr:uid="{00000000-0005-0000-0000-0000DF010000}"/>
    <cellStyle name="20% - Accent3 9 2 2" xfId="15036" xr:uid="{44912BA7-EBBD-4FAE-96DC-75CBDC65DBF0}"/>
    <cellStyle name="20% - Accent3 9 2 3" xfId="23483" xr:uid="{3D0E6F93-D047-4A6A-8283-8F18BFEB0EE0}"/>
    <cellStyle name="20% - Accent3 9 3" xfId="10818" xr:uid="{7C37426B-E928-4C45-AB85-48FCADCA289D}"/>
    <cellStyle name="20% - Accent3 9 4" xfId="19266" xr:uid="{C53AB81E-0B0B-4623-984C-C734F019F66A}"/>
    <cellStyle name="20% - Accent4" xfId="25" builtinId="42" customBuiltin="1"/>
    <cellStyle name="20% - Accent4 10" xfId="4528" xr:uid="{00000000-0005-0000-0000-0000E1010000}"/>
    <cellStyle name="20% - Accent4 10 2" xfId="12978" xr:uid="{BAF23DA4-B9B6-4B27-BF4C-DDD05261DC2D}"/>
    <cellStyle name="20% - Accent4 10 3" xfId="21425" xr:uid="{0DD49CFA-10DD-4F78-9063-5F4D5B908D2F}"/>
    <cellStyle name="20% - Accent4 11" xfId="8760" xr:uid="{01259B4D-F146-4F4A-96F3-314E0AA8DBF1}"/>
    <cellStyle name="20% - Accent4 12" xfId="17208" xr:uid="{FF090902-3766-42D3-BA74-0DBA79312453}"/>
    <cellStyle name="20% - Accent4 2" xfId="26" xr:uid="{00000000-0005-0000-0000-0000E2010000}"/>
    <cellStyle name="20% - Accent4 2 10" xfId="8761" xr:uid="{D4382059-205A-431F-A30F-FB6181E9DB27}"/>
    <cellStyle name="20% - Accent4 2 11" xfId="17209" xr:uid="{9D97453C-8228-4BF5-83AB-9BA6EB8F3C32}"/>
    <cellStyle name="20% - Accent4 2 2" xfId="27" xr:uid="{00000000-0005-0000-0000-0000E3010000}"/>
    <cellStyle name="20% - Accent4 2 2 10" xfId="17210" xr:uid="{57141868-EEE7-472A-814F-724C2E755D9B}"/>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512F3EA0-A5CB-4868-9848-1904F7E8EB51}"/>
    <cellStyle name="20% - Accent4 2 2 2 2 2 2 3" xfId="23987" xr:uid="{DB61CF9A-A998-4F54-9CE0-268D82FE57FF}"/>
    <cellStyle name="20% - Accent4 2 2 2 2 2 3" xfId="11322" xr:uid="{555E806B-D7F6-4665-B528-3ED74A7AE102}"/>
    <cellStyle name="20% - Accent4 2 2 2 2 2 4" xfId="19770" xr:uid="{F8DCC5AE-D7CD-4DFC-8A40-ED76C521E962}"/>
    <cellStyle name="20% - Accent4 2 2 2 2 3" xfId="4945" xr:uid="{00000000-0005-0000-0000-0000E8010000}"/>
    <cellStyle name="20% - Accent4 2 2 2 2 3 2" xfId="13395" xr:uid="{36E37572-B931-44A9-AAEF-8F0A368A2D2E}"/>
    <cellStyle name="20% - Accent4 2 2 2 2 3 3" xfId="21842" xr:uid="{E7C66284-3AAC-48AF-BDDD-AA2169B11F64}"/>
    <cellStyle name="20% - Accent4 2 2 2 2 4" xfId="9177" xr:uid="{5D125259-FE89-4C31-B0A6-64797755252E}"/>
    <cellStyle name="20% - Accent4 2 2 2 2 5" xfId="17625" xr:uid="{151F0353-FE24-42BB-9E12-E1CCCDFBC68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157E2D56-0655-498F-AD41-AB020C5F6C1E}"/>
    <cellStyle name="20% - Accent4 2 2 2 3 2 2 3" xfId="24400" xr:uid="{F36461FC-7018-4B34-9E90-A72C4D70FC02}"/>
    <cellStyle name="20% - Accent4 2 2 2 3 2 3" xfId="11735" xr:uid="{258FE270-8852-4FD1-8067-D48781171FA6}"/>
    <cellStyle name="20% - Accent4 2 2 2 3 2 4" xfId="20183" xr:uid="{6107006C-C3E7-48CC-8F02-7D6E3DA195B7}"/>
    <cellStyle name="20% - Accent4 2 2 2 3 3" xfId="5358" xr:uid="{00000000-0005-0000-0000-0000EC010000}"/>
    <cellStyle name="20% - Accent4 2 2 2 3 3 2" xfId="13808" xr:uid="{4DA62A50-3BD6-4C5A-B817-6AF061829240}"/>
    <cellStyle name="20% - Accent4 2 2 2 3 3 3" xfId="22255" xr:uid="{B996ECA5-5156-42C4-94C8-14095D066B80}"/>
    <cellStyle name="20% - Accent4 2 2 2 3 4" xfId="9590" xr:uid="{F6EC2D6A-3F33-4EBB-8D27-B353413D4AEF}"/>
    <cellStyle name="20% - Accent4 2 2 2 3 5" xfId="18038" xr:uid="{8FD6D270-6201-4776-BE2D-453532A269E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8A18ECAE-2B12-4CFF-8A6D-61E690B7EFC7}"/>
    <cellStyle name="20% - Accent4 2 2 2 4 2 2 3" xfId="24813" xr:uid="{1441579A-DE7D-4038-ADFF-D4451E9C4702}"/>
    <cellStyle name="20% - Accent4 2 2 2 4 2 3" xfId="12148" xr:uid="{3B3B71CD-BD7D-4C25-A418-E22BD41F2C6A}"/>
    <cellStyle name="20% - Accent4 2 2 2 4 2 4" xfId="20596" xr:uid="{699208FF-3DD0-4C86-899F-95C6B57B7022}"/>
    <cellStyle name="20% - Accent4 2 2 2 4 3" xfId="5771" xr:uid="{00000000-0005-0000-0000-0000F0010000}"/>
    <cellStyle name="20% - Accent4 2 2 2 4 3 2" xfId="14221" xr:uid="{B92FE406-AB06-41C1-92EB-93E4EE71F3DE}"/>
    <cellStyle name="20% - Accent4 2 2 2 4 3 3" xfId="22668" xr:uid="{3B4E1B3F-9F24-4C26-B4A7-7AA85D5809A0}"/>
    <cellStyle name="20% - Accent4 2 2 2 4 4" xfId="10003" xr:uid="{F71DB79F-EF99-4D43-B822-71E1806230FB}"/>
    <cellStyle name="20% - Accent4 2 2 2 4 5" xfId="18451" xr:uid="{FCB1A32D-B071-4C52-A664-FC1E2E43E7B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0283F90B-CB51-4762-BA2F-D03F916CBADB}"/>
    <cellStyle name="20% - Accent4 2 2 2 5 2 2 3" xfId="25226" xr:uid="{CEB9E855-89F1-4485-8D46-8463A499AE66}"/>
    <cellStyle name="20% - Accent4 2 2 2 5 2 3" xfId="12561" xr:uid="{0973388E-307B-41FE-9D1B-F74140B084BB}"/>
    <cellStyle name="20% - Accent4 2 2 2 5 2 4" xfId="21009" xr:uid="{E8C32427-9BD5-4BD0-B6DE-9136F0E1D5F2}"/>
    <cellStyle name="20% - Accent4 2 2 2 5 3" xfId="6184" xr:uid="{00000000-0005-0000-0000-0000F4010000}"/>
    <cellStyle name="20% - Accent4 2 2 2 5 3 2" xfId="14634" xr:uid="{118ADC98-A7A8-46FA-A887-9C0CB78FDA3B}"/>
    <cellStyle name="20% - Accent4 2 2 2 5 3 3" xfId="23081" xr:uid="{0AD01861-6DFF-43D8-BC16-98FB604D77A9}"/>
    <cellStyle name="20% - Accent4 2 2 2 5 4" xfId="10416" xr:uid="{6B33D368-6BD5-4DCB-A22F-32A57B3004AB}"/>
    <cellStyle name="20% - Accent4 2 2 2 5 5" xfId="18864" xr:uid="{1E1C0CD2-5095-4B47-AF28-D2A17A5738DF}"/>
    <cellStyle name="20% - Accent4 2 2 2 6" xfId="2291" xr:uid="{00000000-0005-0000-0000-0000F5010000}"/>
    <cellStyle name="20% - Accent4 2 2 2 6 2" xfId="6597" xr:uid="{00000000-0005-0000-0000-0000F6010000}"/>
    <cellStyle name="20% - Accent4 2 2 2 6 2 2" xfId="15047" xr:uid="{4FCECE23-16A2-4585-95CF-74D28632E944}"/>
    <cellStyle name="20% - Accent4 2 2 2 6 2 3" xfId="23494" xr:uid="{1E578933-C789-4A25-A998-135F2B295947}"/>
    <cellStyle name="20% - Accent4 2 2 2 6 3" xfId="10829" xr:uid="{A128767D-BBF6-4802-9CEE-47D066AC0DF0}"/>
    <cellStyle name="20% - Accent4 2 2 2 6 4" xfId="19277" xr:uid="{6A874CA9-F3A8-4F40-96F3-9B2A126B2124}"/>
    <cellStyle name="20% - Accent4 2 2 2 7" xfId="4531" xr:uid="{00000000-0005-0000-0000-0000F7010000}"/>
    <cellStyle name="20% - Accent4 2 2 2 7 2" xfId="12981" xr:uid="{280F58E9-0DEA-41B7-8BCF-197FCDC2E74F}"/>
    <cellStyle name="20% - Accent4 2 2 2 7 3" xfId="21428" xr:uid="{C21BD996-2917-4CE8-85FA-172C8969FCB9}"/>
    <cellStyle name="20% - Accent4 2 2 2 8" xfId="8763" xr:uid="{DB7EBF09-D4D4-4FF9-9A7D-EB822B7F87BD}"/>
    <cellStyle name="20% - Accent4 2 2 2 9" xfId="17211" xr:uid="{14F82234-7DC6-441E-93B5-287B930DA9E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D6F8880B-6573-4178-94D3-A23513F28DB7}"/>
    <cellStyle name="20% - Accent4 2 2 3 2 2 3" xfId="23986" xr:uid="{FF0EC324-82A0-4320-967D-C216E8474391}"/>
    <cellStyle name="20% - Accent4 2 2 3 2 3" xfId="11321" xr:uid="{31FDCC7F-8DA9-4BC7-A0A9-7B792E2A4B2C}"/>
    <cellStyle name="20% - Accent4 2 2 3 2 4" xfId="19769" xr:uid="{2688B3F1-4CA1-45AE-8C7D-7C4C0767354F}"/>
    <cellStyle name="20% - Accent4 2 2 3 3" xfId="4944" xr:uid="{00000000-0005-0000-0000-0000FB010000}"/>
    <cellStyle name="20% - Accent4 2 2 3 3 2" xfId="13394" xr:uid="{EB3EAB7B-EFC2-4BDB-B14E-06901A297840}"/>
    <cellStyle name="20% - Accent4 2 2 3 3 3" xfId="21841" xr:uid="{7037C53D-1505-453C-9D2E-DA9108325D60}"/>
    <cellStyle name="20% - Accent4 2 2 3 4" xfId="9176" xr:uid="{E61447A3-4527-4891-99D6-1D7FF14D6322}"/>
    <cellStyle name="20% - Accent4 2 2 3 5" xfId="17624" xr:uid="{56330511-4C1D-42AE-8F7E-7126BC253C37}"/>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423723FC-E813-4A03-8164-97F279CD1F09}"/>
    <cellStyle name="20% - Accent4 2 2 4 2 2 3" xfId="24399" xr:uid="{B6E5BE93-7FCA-4F4A-882C-FDCF3A640BA2}"/>
    <cellStyle name="20% - Accent4 2 2 4 2 3" xfId="11734" xr:uid="{94F3A15D-0307-408D-8F32-8E4556085644}"/>
    <cellStyle name="20% - Accent4 2 2 4 2 4" xfId="20182" xr:uid="{BB3AC67C-802D-4627-835D-E85E2D218393}"/>
    <cellStyle name="20% - Accent4 2 2 4 3" xfId="5357" xr:uid="{00000000-0005-0000-0000-0000FF010000}"/>
    <cellStyle name="20% - Accent4 2 2 4 3 2" xfId="13807" xr:uid="{C3A25420-7FEC-47E0-B2CA-7CB24B904799}"/>
    <cellStyle name="20% - Accent4 2 2 4 3 3" xfId="22254" xr:uid="{B0617F67-1286-4059-A1F1-005443C62E7E}"/>
    <cellStyle name="20% - Accent4 2 2 4 4" xfId="9589" xr:uid="{F7645FB9-0DC3-49FB-8AF4-6A94B0F53236}"/>
    <cellStyle name="20% - Accent4 2 2 4 5" xfId="18037" xr:uid="{9049A2FD-84D8-425F-9F11-854FB7D077E4}"/>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4C2C6CCF-521E-43C9-BDA9-39D12F155B30}"/>
    <cellStyle name="20% - Accent4 2 2 5 2 2 3" xfId="24812" xr:uid="{6F84FEC4-C305-4EA9-B826-AC466BBD5AF1}"/>
    <cellStyle name="20% - Accent4 2 2 5 2 3" xfId="12147" xr:uid="{FDC06E6F-4551-4405-91C9-3EBA48B18573}"/>
    <cellStyle name="20% - Accent4 2 2 5 2 4" xfId="20595" xr:uid="{28583136-E14D-45AC-B950-2FA097176C19}"/>
    <cellStyle name="20% - Accent4 2 2 5 3" xfId="5770" xr:uid="{00000000-0005-0000-0000-000003020000}"/>
    <cellStyle name="20% - Accent4 2 2 5 3 2" xfId="14220" xr:uid="{371F6838-A093-4D2C-B142-8543CD413FDD}"/>
    <cellStyle name="20% - Accent4 2 2 5 3 3" xfId="22667" xr:uid="{DD37E300-5CEC-456F-B9D0-83DA62C0B208}"/>
    <cellStyle name="20% - Accent4 2 2 5 4" xfId="10002" xr:uid="{E08D41BA-66C0-4214-96EA-930470725C5A}"/>
    <cellStyle name="20% - Accent4 2 2 5 5" xfId="18450" xr:uid="{2A792D00-D3D4-4FB7-8C70-5F39A09424F4}"/>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B836F6E7-563F-401A-82BC-FF18A773A695}"/>
    <cellStyle name="20% - Accent4 2 2 6 2 2 3" xfId="25225" xr:uid="{9938571E-0FEB-472C-A0FF-006D7BA84532}"/>
    <cellStyle name="20% - Accent4 2 2 6 2 3" xfId="12560" xr:uid="{20CB4B37-88C9-4A29-8048-A85BCBA524CF}"/>
    <cellStyle name="20% - Accent4 2 2 6 2 4" xfId="21008" xr:uid="{F4EDFC3B-37DA-4E73-ADA0-4A54B1FBA10B}"/>
    <cellStyle name="20% - Accent4 2 2 6 3" xfId="6183" xr:uid="{00000000-0005-0000-0000-000007020000}"/>
    <cellStyle name="20% - Accent4 2 2 6 3 2" xfId="14633" xr:uid="{FB5D7401-7B85-43C7-81F1-004DF0BA9EBA}"/>
    <cellStyle name="20% - Accent4 2 2 6 3 3" xfId="23080" xr:uid="{82B81CC7-C82D-4C5B-AB0D-1A8EEB799A47}"/>
    <cellStyle name="20% - Accent4 2 2 6 4" xfId="10415" xr:uid="{4A34B766-F36E-4CEA-9176-6D8F35F3AE2E}"/>
    <cellStyle name="20% - Accent4 2 2 6 5" xfId="18863" xr:uid="{CFC7F4D6-3EBB-4B59-BD33-F414A1B5B186}"/>
    <cellStyle name="20% - Accent4 2 2 7" xfId="2290" xr:uid="{00000000-0005-0000-0000-000008020000}"/>
    <cellStyle name="20% - Accent4 2 2 7 2" xfId="6596" xr:uid="{00000000-0005-0000-0000-000009020000}"/>
    <cellStyle name="20% - Accent4 2 2 7 2 2" xfId="15046" xr:uid="{B1620F03-9297-4338-8AF6-4E0208F652B5}"/>
    <cellStyle name="20% - Accent4 2 2 7 2 3" xfId="23493" xr:uid="{F93620FB-7DB4-4EDF-8373-271A2E478113}"/>
    <cellStyle name="20% - Accent4 2 2 7 3" xfId="10828" xr:uid="{619A340E-052C-49A4-843E-616E731CE2D3}"/>
    <cellStyle name="20% - Accent4 2 2 7 4" xfId="19276" xr:uid="{A35070BB-9634-4C29-BFFB-951763EF75A0}"/>
    <cellStyle name="20% - Accent4 2 2 8" xfId="4530" xr:uid="{00000000-0005-0000-0000-00000A020000}"/>
    <cellStyle name="20% - Accent4 2 2 8 2" xfId="12980" xr:uid="{4723E6A2-05B0-423C-9A36-11606718FDE2}"/>
    <cellStyle name="20% - Accent4 2 2 8 3" xfId="21427" xr:uid="{B6A236D9-F368-41A4-A1CD-348DA6D2CDCA}"/>
    <cellStyle name="20% - Accent4 2 2 9" xfId="8762" xr:uid="{9F606833-D9E1-4A3A-91C3-89B09FBC6127}"/>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65DE40E9-32E1-4066-AB01-8A31C4A8AEA9}"/>
    <cellStyle name="20% - Accent4 2 3 2 2 2 3" xfId="23988" xr:uid="{3FD1418D-616B-4536-B225-8457ADE4C5F5}"/>
    <cellStyle name="20% - Accent4 2 3 2 2 3" xfId="11323" xr:uid="{9293B58A-5CFF-4EA5-ACDE-F0F5F51EBFDD}"/>
    <cellStyle name="20% - Accent4 2 3 2 2 4" xfId="19771" xr:uid="{D8CFA67C-BA20-4988-8D3F-E3B079700F94}"/>
    <cellStyle name="20% - Accent4 2 3 2 3" xfId="4946" xr:uid="{00000000-0005-0000-0000-00000F020000}"/>
    <cellStyle name="20% - Accent4 2 3 2 3 2" xfId="13396" xr:uid="{2770C246-2C57-49F0-97CF-FDA04947410A}"/>
    <cellStyle name="20% - Accent4 2 3 2 3 3" xfId="21843" xr:uid="{7B1B46E0-373A-4473-AA27-86A63840F24F}"/>
    <cellStyle name="20% - Accent4 2 3 2 4" xfId="9178" xr:uid="{1ED29A18-435A-48C2-B9CB-023627447EE5}"/>
    <cellStyle name="20% - Accent4 2 3 2 5" xfId="17626" xr:uid="{126DB24D-27A7-47AB-9435-52FF4D21274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EA136A05-AF88-4875-B219-FEFA45E49818}"/>
    <cellStyle name="20% - Accent4 2 3 3 2 2 3" xfId="24401" xr:uid="{2C027142-5D43-4B0A-8E76-616B0D3AC1D0}"/>
    <cellStyle name="20% - Accent4 2 3 3 2 3" xfId="11736" xr:uid="{52703E5D-6A89-463E-87AE-4CA291E22317}"/>
    <cellStyle name="20% - Accent4 2 3 3 2 4" xfId="20184" xr:uid="{0B51EB5F-E3FF-4232-BA6E-9504D23042A1}"/>
    <cellStyle name="20% - Accent4 2 3 3 3" xfId="5359" xr:uid="{00000000-0005-0000-0000-000013020000}"/>
    <cellStyle name="20% - Accent4 2 3 3 3 2" xfId="13809" xr:uid="{414F6500-D1C1-45D4-8F46-E574A7382ACD}"/>
    <cellStyle name="20% - Accent4 2 3 3 3 3" xfId="22256" xr:uid="{621B5F13-BC98-479B-9F16-B3B36E7431DB}"/>
    <cellStyle name="20% - Accent4 2 3 3 4" xfId="9591" xr:uid="{AECE17A6-C224-498B-8306-33F1289F8C68}"/>
    <cellStyle name="20% - Accent4 2 3 3 5" xfId="18039" xr:uid="{75BD6840-78CE-4211-9B84-8088BD3A1DF5}"/>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4378A62E-B21A-4422-A94C-C09B9CBA294F}"/>
    <cellStyle name="20% - Accent4 2 3 4 2 2 3" xfId="24814" xr:uid="{68C164F6-889C-4935-826C-D4CDBE3E63E2}"/>
    <cellStyle name="20% - Accent4 2 3 4 2 3" xfId="12149" xr:uid="{B2696ACB-D6C9-4552-B35B-FA5F274E376D}"/>
    <cellStyle name="20% - Accent4 2 3 4 2 4" xfId="20597" xr:uid="{4FCA2855-3F1C-49C8-8089-55CE5FD1AC66}"/>
    <cellStyle name="20% - Accent4 2 3 4 3" xfId="5772" xr:uid="{00000000-0005-0000-0000-000017020000}"/>
    <cellStyle name="20% - Accent4 2 3 4 3 2" xfId="14222" xr:uid="{FC9C3CB3-A9FF-4B5F-BF82-FB3974E95F81}"/>
    <cellStyle name="20% - Accent4 2 3 4 3 3" xfId="22669" xr:uid="{D0BB453E-9D04-468E-B442-ED3B2B16BB84}"/>
    <cellStyle name="20% - Accent4 2 3 4 4" xfId="10004" xr:uid="{E22895F0-1414-4763-95F0-2DA04D7DF91B}"/>
    <cellStyle name="20% - Accent4 2 3 4 5" xfId="18452" xr:uid="{EA117C93-3808-48E4-BC8E-F545419EB23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7B98ADE5-2179-4776-97C4-DE78F75491F9}"/>
    <cellStyle name="20% - Accent4 2 3 5 2 2 3" xfId="25227" xr:uid="{BF4A1134-21E3-4158-B563-BF9417758B89}"/>
    <cellStyle name="20% - Accent4 2 3 5 2 3" xfId="12562" xr:uid="{EF93E986-57AE-4CA6-9C44-62C304672557}"/>
    <cellStyle name="20% - Accent4 2 3 5 2 4" xfId="21010" xr:uid="{7D812175-5621-44D7-AAE5-7713EE082B5D}"/>
    <cellStyle name="20% - Accent4 2 3 5 3" xfId="6185" xr:uid="{00000000-0005-0000-0000-00001B020000}"/>
    <cellStyle name="20% - Accent4 2 3 5 3 2" xfId="14635" xr:uid="{02AB0809-2847-4B4F-970C-0A13C4398FA8}"/>
    <cellStyle name="20% - Accent4 2 3 5 3 3" xfId="23082" xr:uid="{DFD37CD5-DD71-46F6-9DDE-B808352273EA}"/>
    <cellStyle name="20% - Accent4 2 3 5 4" xfId="10417" xr:uid="{EED49827-A755-438D-9BA8-4046CF2FFE5C}"/>
    <cellStyle name="20% - Accent4 2 3 5 5" xfId="18865" xr:uid="{5E793322-DA95-4C59-A848-08758BB40926}"/>
    <cellStyle name="20% - Accent4 2 3 6" xfId="2292" xr:uid="{00000000-0005-0000-0000-00001C020000}"/>
    <cellStyle name="20% - Accent4 2 3 6 2" xfId="6598" xr:uid="{00000000-0005-0000-0000-00001D020000}"/>
    <cellStyle name="20% - Accent4 2 3 6 2 2" xfId="15048" xr:uid="{D016E98B-3200-4F5B-AC4E-323DED943870}"/>
    <cellStyle name="20% - Accent4 2 3 6 2 3" xfId="23495" xr:uid="{83FF5404-6317-439F-9D37-94EFF38300B3}"/>
    <cellStyle name="20% - Accent4 2 3 6 3" xfId="10830" xr:uid="{F8AA7A8F-2F34-4541-AFDD-762749B895C7}"/>
    <cellStyle name="20% - Accent4 2 3 6 4" xfId="19278" xr:uid="{01414C76-7ED8-4CD1-8F10-E1B75CC00CD6}"/>
    <cellStyle name="20% - Accent4 2 3 7" xfId="4532" xr:uid="{00000000-0005-0000-0000-00001E020000}"/>
    <cellStyle name="20% - Accent4 2 3 7 2" xfId="12982" xr:uid="{ACCD5BA4-7F67-4AB9-B746-C5C9893153A4}"/>
    <cellStyle name="20% - Accent4 2 3 7 3" xfId="21429" xr:uid="{AD5E292E-9693-4255-A777-D70F9035EAD1}"/>
    <cellStyle name="20% - Accent4 2 3 8" xfId="8764" xr:uid="{67164D8F-4154-4AB6-B759-30992DC267C4}"/>
    <cellStyle name="20% - Accent4 2 3 9" xfId="17212" xr:uid="{C28493DA-7D56-4FB3-94BC-7760C557CC5D}"/>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DC408574-0859-4F1C-9CC1-E75DF0D2DB82}"/>
    <cellStyle name="20% - Accent4 2 4 2 2 3" xfId="23985" xr:uid="{2EBCAFCD-D529-43F6-A3F5-5AA5C2C59D33}"/>
    <cellStyle name="20% - Accent4 2 4 2 3" xfId="11320" xr:uid="{8151AB61-55EC-41AE-B168-250774C3D800}"/>
    <cellStyle name="20% - Accent4 2 4 2 4" xfId="19768" xr:uid="{53D7EE0A-BA97-4D83-9188-82AB15A02FA5}"/>
    <cellStyle name="20% - Accent4 2 4 3" xfId="4943" xr:uid="{00000000-0005-0000-0000-000022020000}"/>
    <cellStyle name="20% - Accent4 2 4 3 2" xfId="13393" xr:uid="{B7CFD0DC-6779-4E9A-826F-011747514F39}"/>
    <cellStyle name="20% - Accent4 2 4 3 3" xfId="21840" xr:uid="{677044FF-A5A3-45B4-93F5-1AE6896337D3}"/>
    <cellStyle name="20% - Accent4 2 4 4" xfId="9175" xr:uid="{148855AA-865F-4EBD-B150-ECD22750978A}"/>
    <cellStyle name="20% - Accent4 2 4 5" xfId="17623" xr:uid="{BF0A8A36-2990-4F0D-9B4A-E28ADD889B1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6DE58FE3-701A-4B06-B387-BBB88DE4F0B5}"/>
    <cellStyle name="20% - Accent4 2 5 2 2 3" xfId="24398" xr:uid="{FDBB8993-F860-4221-9DD2-081BE48820AF}"/>
    <cellStyle name="20% - Accent4 2 5 2 3" xfId="11733" xr:uid="{E6FE14D5-E63A-4962-88DD-A272912E005D}"/>
    <cellStyle name="20% - Accent4 2 5 2 4" xfId="20181" xr:uid="{D9625B27-AD55-4B6C-BDF7-C975C72256ED}"/>
    <cellStyle name="20% - Accent4 2 5 3" xfId="5356" xr:uid="{00000000-0005-0000-0000-000026020000}"/>
    <cellStyle name="20% - Accent4 2 5 3 2" xfId="13806" xr:uid="{C15ADD06-D19D-4F1C-8832-50F0850CF444}"/>
    <cellStyle name="20% - Accent4 2 5 3 3" xfId="22253" xr:uid="{0CBC5B42-B228-4929-AD45-29D2386EF0D2}"/>
    <cellStyle name="20% - Accent4 2 5 4" xfId="9588" xr:uid="{7AB87698-6AA7-4B09-BA4A-CEF72654FAFE}"/>
    <cellStyle name="20% - Accent4 2 5 5" xfId="18036" xr:uid="{891BA1FE-06D8-49FF-81C7-9BCC3E4ECF2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C69D4107-1EB5-4262-90CA-B8F0A5D75947}"/>
    <cellStyle name="20% - Accent4 2 6 2 2 3" xfId="24811" xr:uid="{F875AAD5-EFFC-4075-9BE5-F705F0E9D573}"/>
    <cellStyle name="20% - Accent4 2 6 2 3" xfId="12146" xr:uid="{51542A70-B3BB-4B15-9132-2D144C444D29}"/>
    <cellStyle name="20% - Accent4 2 6 2 4" xfId="20594" xr:uid="{89A7941B-D91F-4429-8157-A5D0E2DCDE51}"/>
    <cellStyle name="20% - Accent4 2 6 3" xfId="5769" xr:uid="{00000000-0005-0000-0000-00002A020000}"/>
    <cellStyle name="20% - Accent4 2 6 3 2" xfId="14219" xr:uid="{6EE8B3FB-FEC8-40D2-9FE8-5695A75A2942}"/>
    <cellStyle name="20% - Accent4 2 6 3 3" xfId="22666" xr:uid="{1DE8E9CE-8F23-4E97-970C-730267C2826E}"/>
    <cellStyle name="20% - Accent4 2 6 4" xfId="10001" xr:uid="{243927CD-AC76-4710-81D4-D0C9BFB2BD36}"/>
    <cellStyle name="20% - Accent4 2 6 5" xfId="18449" xr:uid="{669F0B89-F381-4BE0-9132-03BBB7B015E8}"/>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DDA0E286-4CA4-44F5-8BB6-D64D352D436F}"/>
    <cellStyle name="20% - Accent4 2 7 2 2 3" xfId="25224" xr:uid="{F6226586-DF44-46D4-830D-71AC72085B98}"/>
    <cellStyle name="20% - Accent4 2 7 2 3" xfId="12559" xr:uid="{6600C94C-2000-4EF5-A7F3-02C01380A7B2}"/>
    <cellStyle name="20% - Accent4 2 7 2 4" xfId="21007" xr:uid="{4725B234-91FC-49FF-9844-D0D4B260F850}"/>
    <cellStyle name="20% - Accent4 2 7 3" xfId="6182" xr:uid="{00000000-0005-0000-0000-00002E020000}"/>
    <cellStyle name="20% - Accent4 2 7 3 2" xfId="14632" xr:uid="{C4E6B697-D8F8-431C-8A24-426A20F2DA45}"/>
    <cellStyle name="20% - Accent4 2 7 3 3" xfId="23079" xr:uid="{7912E3B8-2C3B-461E-A1E9-526BAC8DE249}"/>
    <cellStyle name="20% - Accent4 2 7 4" xfId="10414" xr:uid="{DF27C661-388D-4285-AF2D-4FE9ECB0154A}"/>
    <cellStyle name="20% - Accent4 2 7 5" xfId="18862" xr:uid="{E4850FBF-85F6-4F37-A144-3257FD46472E}"/>
    <cellStyle name="20% - Accent4 2 8" xfId="2289" xr:uid="{00000000-0005-0000-0000-00002F020000}"/>
    <cellStyle name="20% - Accent4 2 8 2" xfId="6595" xr:uid="{00000000-0005-0000-0000-000030020000}"/>
    <cellStyle name="20% - Accent4 2 8 2 2" xfId="15045" xr:uid="{08860A40-A009-4B62-A80B-49EAF7879BF2}"/>
    <cellStyle name="20% - Accent4 2 8 2 3" xfId="23492" xr:uid="{DA517541-3525-4293-AC9B-D1366ECF1EE4}"/>
    <cellStyle name="20% - Accent4 2 8 3" xfId="10827" xr:uid="{F3699456-D572-4466-8EFD-7A0BAA10BC1E}"/>
    <cellStyle name="20% - Accent4 2 8 4" xfId="19275" xr:uid="{2F1F7FB4-D259-47F6-8BCE-B7F2BCAED0D0}"/>
    <cellStyle name="20% - Accent4 2 9" xfId="4529" xr:uid="{00000000-0005-0000-0000-000031020000}"/>
    <cellStyle name="20% - Accent4 2 9 2" xfId="12979" xr:uid="{DB600C77-CFF0-4A62-B7E1-E96EE3C75D7E}"/>
    <cellStyle name="20% - Accent4 2 9 3" xfId="21426" xr:uid="{38D3C608-4EA4-4F80-B274-79F07A75790B}"/>
    <cellStyle name="20% - Accent4 3" xfId="30" xr:uid="{00000000-0005-0000-0000-000032020000}"/>
    <cellStyle name="20% - Accent4 3 10" xfId="17213" xr:uid="{88FA1EEB-FA86-4EC6-8717-984BF909C99F}"/>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7779C8CF-9A35-4959-8FB1-BB547DE9CAC0}"/>
    <cellStyle name="20% - Accent4 3 2 2 2 2 3" xfId="23990" xr:uid="{3D633054-2CF2-4014-AB55-55BBAF6CF706}"/>
    <cellStyle name="20% - Accent4 3 2 2 2 3" xfId="11325" xr:uid="{33A93160-83E3-4AF3-B774-FCE70514408E}"/>
    <cellStyle name="20% - Accent4 3 2 2 2 4" xfId="19773" xr:uid="{D26459DD-C1C4-4574-BCB3-A99CD70B731C}"/>
    <cellStyle name="20% - Accent4 3 2 2 3" xfId="4948" xr:uid="{00000000-0005-0000-0000-000037020000}"/>
    <cellStyle name="20% - Accent4 3 2 2 3 2" xfId="13398" xr:uid="{5AFBBD2D-F20D-44F0-B97A-C5716045D978}"/>
    <cellStyle name="20% - Accent4 3 2 2 3 3" xfId="21845" xr:uid="{4A175621-0357-4F46-B2C5-542328AD6028}"/>
    <cellStyle name="20% - Accent4 3 2 2 4" xfId="9180" xr:uid="{6EB89568-6E62-4652-B2B2-F4ED6C86CDF5}"/>
    <cellStyle name="20% - Accent4 3 2 2 5" xfId="17628" xr:uid="{34262125-778B-494D-A885-63E6B3C1495C}"/>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0505BA7D-CE08-44FD-93F9-CFACEDA13685}"/>
    <cellStyle name="20% - Accent4 3 2 3 2 2 3" xfId="24403" xr:uid="{E12B5443-28EC-4BDF-BD71-DDCEA94EDAEF}"/>
    <cellStyle name="20% - Accent4 3 2 3 2 3" xfId="11738" xr:uid="{C2C7E80D-B013-474F-9484-34B75F6EB4C3}"/>
    <cellStyle name="20% - Accent4 3 2 3 2 4" xfId="20186" xr:uid="{4E9AD787-8374-4095-B48A-1202F12AB4EB}"/>
    <cellStyle name="20% - Accent4 3 2 3 3" xfId="5361" xr:uid="{00000000-0005-0000-0000-00003B020000}"/>
    <cellStyle name="20% - Accent4 3 2 3 3 2" xfId="13811" xr:uid="{E2AE2AE8-B232-4B3C-B32D-21254CFB40AC}"/>
    <cellStyle name="20% - Accent4 3 2 3 3 3" xfId="22258" xr:uid="{8484AEF0-A0DA-4889-B3DC-F82BC569D965}"/>
    <cellStyle name="20% - Accent4 3 2 3 4" xfId="9593" xr:uid="{AC6F121B-FCA6-458F-A4E7-84AE27F41817}"/>
    <cellStyle name="20% - Accent4 3 2 3 5" xfId="18041" xr:uid="{4F4F1500-7D7A-4921-BA44-FDE17182398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7EEF7646-94E9-410B-BF98-8EF68D61BFC4}"/>
    <cellStyle name="20% - Accent4 3 2 4 2 2 3" xfId="24816" xr:uid="{CB6E0135-2F6C-4104-9AE6-F3F0636D4304}"/>
    <cellStyle name="20% - Accent4 3 2 4 2 3" xfId="12151" xr:uid="{128670A5-711F-4013-84FF-A4450F6337D6}"/>
    <cellStyle name="20% - Accent4 3 2 4 2 4" xfId="20599" xr:uid="{8A10FC8C-5BD0-4C53-B6DB-21DD36F2B31C}"/>
    <cellStyle name="20% - Accent4 3 2 4 3" xfId="5774" xr:uid="{00000000-0005-0000-0000-00003F020000}"/>
    <cellStyle name="20% - Accent4 3 2 4 3 2" xfId="14224" xr:uid="{2F5B44D7-D38E-478B-BA78-AA821564A7EA}"/>
    <cellStyle name="20% - Accent4 3 2 4 3 3" xfId="22671" xr:uid="{3C240A9A-DC43-40A6-9415-1460240E52CF}"/>
    <cellStyle name="20% - Accent4 3 2 4 4" xfId="10006" xr:uid="{F32F46CF-F8FA-4F6D-8006-9DA9A2CB5C77}"/>
    <cellStyle name="20% - Accent4 3 2 4 5" xfId="18454" xr:uid="{8A22E01F-CB2A-4204-B76F-574080770102}"/>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F82EDD7B-4335-45E9-B4D5-C8E53BBE7FE3}"/>
    <cellStyle name="20% - Accent4 3 2 5 2 2 3" xfId="25229" xr:uid="{ED2372AF-C0BB-4689-BDDC-7087242D7BB4}"/>
    <cellStyle name="20% - Accent4 3 2 5 2 3" xfId="12564" xr:uid="{65138431-C3F8-4A55-B5CA-4DE6B373C9E3}"/>
    <cellStyle name="20% - Accent4 3 2 5 2 4" xfId="21012" xr:uid="{604695A3-14A7-4EC8-8C60-07D0DD926291}"/>
    <cellStyle name="20% - Accent4 3 2 5 3" xfId="6187" xr:uid="{00000000-0005-0000-0000-000043020000}"/>
    <cellStyle name="20% - Accent4 3 2 5 3 2" xfId="14637" xr:uid="{7E281B23-48F0-4018-8026-9271A65AEAA9}"/>
    <cellStyle name="20% - Accent4 3 2 5 3 3" xfId="23084" xr:uid="{E72123E2-0FD3-4468-B110-3D3E82A321A6}"/>
    <cellStyle name="20% - Accent4 3 2 5 4" xfId="10419" xr:uid="{172EC38D-B659-49DE-BBA1-8DD6CFD06297}"/>
    <cellStyle name="20% - Accent4 3 2 5 5" xfId="18867" xr:uid="{224EFB13-62B9-48D6-9117-33596488EA2E}"/>
    <cellStyle name="20% - Accent4 3 2 6" xfId="2294" xr:uid="{00000000-0005-0000-0000-000044020000}"/>
    <cellStyle name="20% - Accent4 3 2 6 2" xfId="6600" xr:uid="{00000000-0005-0000-0000-000045020000}"/>
    <cellStyle name="20% - Accent4 3 2 6 2 2" xfId="15050" xr:uid="{03AB67A5-0C2C-445F-8AB1-780BFE2DBF85}"/>
    <cellStyle name="20% - Accent4 3 2 6 2 3" xfId="23497" xr:uid="{3B55640D-59EB-4128-80A7-974E5BE9AC5F}"/>
    <cellStyle name="20% - Accent4 3 2 6 3" xfId="10832" xr:uid="{5B991012-7B6A-408B-943B-779C7D12111A}"/>
    <cellStyle name="20% - Accent4 3 2 6 4" xfId="19280" xr:uid="{E9F97665-90D5-4470-9597-7361779FA1FE}"/>
    <cellStyle name="20% - Accent4 3 2 7" xfId="4534" xr:uid="{00000000-0005-0000-0000-000046020000}"/>
    <cellStyle name="20% - Accent4 3 2 7 2" xfId="12984" xr:uid="{27DEB004-FDE0-4B5F-B893-2F491A1DB3CF}"/>
    <cellStyle name="20% - Accent4 3 2 7 3" xfId="21431" xr:uid="{46C13950-4EF9-451C-8D0C-71341B91EAE1}"/>
    <cellStyle name="20% - Accent4 3 2 8" xfId="8766" xr:uid="{A2BF24F6-D181-4EFA-9472-AF76CE20698A}"/>
    <cellStyle name="20% - Accent4 3 2 9" xfId="17214" xr:uid="{013A8D8C-63FB-49E2-B13F-FF37D1B2F779}"/>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164F8A9F-383F-487E-8AAF-64853EB56E2C}"/>
    <cellStyle name="20% - Accent4 3 3 2 2 3" xfId="23989" xr:uid="{1778415B-EF74-4790-885D-B31224462310}"/>
    <cellStyle name="20% - Accent4 3 3 2 3" xfId="11324" xr:uid="{64611E9B-5495-484D-8D6D-8DF6124F6802}"/>
    <cellStyle name="20% - Accent4 3 3 2 4" xfId="19772" xr:uid="{B22B7583-B34C-40AE-9AAD-5E0560A22AEC}"/>
    <cellStyle name="20% - Accent4 3 3 3" xfId="4947" xr:uid="{00000000-0005-0000-0000-00004A020000}"/>
    <cellStyle name="20% - Accent4 3 3 3 2" xfId="13397" xr:uid="{CF56E031-2DE2-4575-A6BF-3E439C12E9D2}"/>
    <cellStyle name="20% - Accent4 3 3 3 3" xfId="21844" xr:uid="{25E560EB-6BB4-4419-A3AA-F8790DAD43BC}"/>
    <cellStyle name="20% - Accent4 3 3 4" xfId="9179" xr:uid="{F156CDD4-8E4E-4556-B39E-F97A5D6681C4}"/>
    <cellStyle name="20% - Accent4 3 3 5" xfId="17627" xr:uid="{185E544D-5CAA-4DCE-A464-E5A2CAAA354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53FABBD6-9903-4D17-A7A6-47DCA9462CF0}"/>
    <cellStyle name="20% - Accent4 3 4 2 2 3" xfId="24402" xr:uid="{0D61FA94-C7C7-4BC4-B3CA-52FF20231511}"/>
    <cellStyle name="20% - Accent4 3 4 2 3" xfId="11737" xr:uid="{38F82763-7462-4B25-9466-672568CABC7D}"/>
    <cellStyle name="20% - Accent4 3 4 2 4" xfId="20185" xr:uid="{061BC8CA-D280-4E7D-94D4-474BA81E929F}"/>
    <cellStyle name="20% - Accent4 3 4 3" xfId="5360" xr:uid="{00000000-0005-0000-0000-00004E020000}"/>
    <cellStyle name="20% - Accent4 3 4 3 2" xfId="13810" xr:uid="{C385A7BC-E91D-4AB9-9148-70125911326A}"/>
    <cellStyle name="20% - Accent4 3 4 3 3" xfId="22257" xr:uid="{5A93C0BB-2A98-4882-AB23-FA09AD504A24}"/>
    <cellStyle name="20% - Accent4 3 4 4" xfId="9592" xr:uid="{E3F6110D-0E81-4895-B267-5584A7D1E93B}"/>
    <cellStyle name="20% - Accent4 3 4 5" xfId="18040" xr:uid="{0F007209-5286-444C-8E68-5B113635B499}"/>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442B3031-8921-49BA-AD4B-D03CD156A351}"/>
    <cellStyle name="20% - Accent4 3 5 2 2 3" xfId="24815" xr:uid="{67D2B7A4-102C-43F0-BAED-0540A776EC07}"/>
    <cellStyle name="20% - Accent4 3 5 2 3" xfId="12150" xr:uid="{8D25CF95-C6B4-496F-A16A-C3809E603C77}"/>
    <cellStyle name="20% - Accent4 3 5 2 4" xfId="20598" xr:uid="{8599FC82-CF2B-4F48-9AB1-A22E5AEAD556}"/>
    <cellStyle name="20% - Accent4 3 5 3" xfId="5773" xr:uid="{00000000-0005-0000-0000-000052020000}"/>
    <cellStyle name="20% - Accent4 3 5 3 2" xfId="14223" xr:uid="{3C1A2956-08F3-4F0B-A913-B06D8BE71CA2}"/>
    <cellStyle name="20% - Accent4 3 5 3 3" xfId="22670" xr:uid="{BAC52885-E6B0-4A43-A17E-CDD28A47D8F8}"/>
    <cellStyle name="20% - Accent4 3 5 4" xfId="10005" xr:uid="{FDFB60B5-3750-4DDA-BF0D-60916B80A729}"/>
    <cellStyle name="20% - Accent4 3 5 5" xfId="18453" xr:uid="{7DE7FF1E-DBD4-411D-B5D2-2F54DE818578}"/>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82B7F1B0-62EF-438E-AC3B-CB54A655FB5B}"/>
    <cellStyle name="20% - Accent4 3 6 2 2 3" xfId="25228" xr:uid="{585A4F1F-D0F1-454C-AD9C-7FFDC2093A8C}"/>
    <cellStyle name="20% - Accent4 3 6 2 3" xfId="12563" xr:uid="{650A4923-76FE-4BE8-8E87-B75F61EBF19B}"/>
    <cellStyle name="20% - Accent4 3 6 2 4" xfId="21011" xr:uid="{19C185FA-81E4-4B8A-89CD-0A130ED9C048}"/>
    <cellStyle name="20% - Accent4 3 6 3" xfId="6186" xr:uid="{00000000-0005-0000-0000-000056020000}"/>
    <cellStyle name="20% - Accent4 3 6 3 2" xfId="14636" xr:uid="{0A74668D-2F2C-42E3-9007-27E7D05F27CB}"/>
    <cellStyle name="20% - Accent4 3 6 3 3" xfId="23083" xr:uid="{8D988DC7-B10A-4837-B3D6-85C1591BE5EA}"/>
    <cellStyle name="20% - Accent4 3 6 4" xfId="10418" xr:uid="{8560486F-292E-4E15-8028-F94644DB044F}"/>
    <cellStyle name="20% - Accent4 3 6 5" xfId="18866" xr:uid="{869B9D46-50D2-4267-AED0-D2F0F58DDCE2}"/>
    <cellStyle name="20% - Accent4 3 7" xfId="2293" xr:uid="{00000000-0005-0000-0000-000057020000}"/>
    <cellStyle name="20% - Accent4 3 7 2" xfId="6599" xr:uid="{00000000-0005-0000-0000-000058020000}"/>
    <cellStyle name="20% - Accent4 3 7 2 2" xfId="15049" xr:uid="{1E65E455-DA33-43A5-80CA-D45E229867E0}"/>
    <cellStyle name="20% - Accent4 3 7 2 3" xfId="23496" xr:uid="{FB1B4137-66EB-4D41-8AAE-7C7D1AEE27B9}"/>
    <cellStyle name="20% - Accent4 3 7 3" xfId="10831" xr:uid="{E94C427C-85A2-41A5-A888-E6FC14A2F662}"/>
    <cellStyle name="20% - Accent4 3 7 4" xfId="19279" xr:uid="{0CE2CE29-C842-4F51-B472-F76A8B3291F8}"/>
    <cellStyle name="20% - Accent4 3 8" xfId="4533" xr:uid="{00000000-0005-0000-0000-000059020000}"/>
    <cellStyle name="20% - Accent4 3 8 2" xfId="12983" xr:uid="{DDBBEC04-6607-43C6-B868-5DC985755FDC}"/>
    <cellStyle name="20% - Accent4 3 8 3" xfId="21430" xr:uid="{5DB361FC-3774-40EC-90D2-5B4049379803}"/>
    <cellStyle name="20% - Accent4 3 9" xfId="8765" xr:uid="{EBC20A8D-C15D-4D30-8030-EC47CBD2B09D}"/>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EDD4CF0B-D9C3-4BD6-98AB-78C9AF218F2D}"/>
    <cellStyle name="20% - Accent4 4 2 2 2 3" xfId="23991" xr:uid="{3656F332-D73E-4A33-814E-E1AEE7143C0F}"/>
    <cellStyle name="20% - Accent4 4 2 2 3" xfId="11326" xr:uid="{A86CAC69-4BE8-4F30-9221-A78B13B7382A}"/>
    <cellStyle name="20% - Accent4 4 2 2 4" xfId="19774" xr:uid="{C7A58631-B3F6-4F9E-BAF4-7126518D172A}"/>
    <cellStyle name="20% - Accent4 4 2 3" xfId="4949" xr:uid="{00000000-0005-0000-0000-00005E020000}"/>
    <cellStyle name="20% - Accent4 4 2 3 2" xfId="13399" xr:uid="{6FCC9E4B-86D2-45B0-AA82-0FFB3E5D1825}"/>
    <cellStyle name="20% - Accent4 4 2 3 3" xfId="21846" xr:uid="{979A283A-3F52-4615-8C5C-022FC029E212}"/>
    <cellStyle name="20% - Accent4 4 2 4" xfId="9181" xr:uid="{7815AA26-628B-41DE-B4DD-169981D02C8E}"/>
    <cellStyle name="20% - Accent4 4 2 5" xfId="17629" xr:uid="{4BE39BE4-F6EA-4603-BBFD-0A0EBD00A4BB}"/>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73899F4C-87D5-4D73-B359-A14CBE088937}"/>
    <cellStyle name="20% - Accent4 4 3 2 2 3" xfId="24404" xr:uid="{A04D6E9B-2F69-476D-857C-666B3C3404D0}"/>
    <cellStyle name="20% - Accent4 4 3 2 3" xfId="11739" xr:uid="{110B4E27-C19C-46A0-ACAF-E4CD307DC9FB}"/>
    <cellStyle name="20% - Accent4 4 3 2 4" xfId="20187" xr:uid="{2C3D8A9B-7F32-481E-A9B1-786543904E5B}"/>
    <cellStyle name="20% - Accent4 4 3 3" xfId="5362" xr:uid="{00000000-0005-0000-0000-000062020000}"/>
    <cellStyle name="20% - Accent4 4 3 3 2" xfId="13812" xr:uid="{85511275-B18D-499E-A666-3B86E2248258}"/>
    <cellStyle name="20% - Accent4 4 3 3 3" xfId="22259" xr:uid="{F77D9D32-0619-4117-BE33-8D76BDB6AF85}"/>
    <cellStyle name="20% - Accent4 4 3 4" xfId="9594" xr:uid="{D069878E-484F-46E6-B8F6-CE227B73B135}"/>
    <cellStyle name="20% - Accent4 4 3 5" xfId="18042" xr:uid="{B854F8DD-7480-4AFE-9015-9EF15E51E11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2671E066-89A9-4613-888D-7A67884E9119}"/>
    <cellStyle name="20% - Accent4 4 4 2 2 3" xfId="24817" xr:uid="{4C00C275-9EA6-4FD9-9F2E-6A89859964BD}"/>
    <cellStyle name="20% - Accent4 4 4 2 3" xfId="12152" xr:uid="{F67F02F5-EEC2-459E-8A15-18C814AB247A}"/>
    <cellStyle name="20% - Accent4 4 4 2 4" xfId="20600" xr:uid="{0F10A392-DB61-4103-8978-149CA1995292}"/>
    <cellStyle name="20% - Accent4 4 4 3" xfId="5775" xr:uid="{00000000-0005-0000-0000-000066020000}"/>
    <cellStyle name="20% - Accent4 4 4 3 2" xfId="14225" xr:uid="{CD087BC0-0F6F-44A8-B51C-02771E47E018}"/>
    <cellStyle name="20% - Accent4 4 4 3 3" xfId="22672" xr:uid="{3AF78877-1C56-4CBA-9DC4-8B8BAEEA23AE}"/>
    <cellStyle name="20% - Accent4 4 4 4" xfId="10007" xr:uid="{6310B4CE-D3B0-4F58-8359-9BADC12D6FB3}"/>
    <cellStyle name="20% - Accent4 4 4 5" xfId="18455" xr:uid="{D44AB33A-CD3A-4660-AF2C-96EAF553DB62}"/>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030814EE-9C3D-4670-AFE5-61DFBB9EF162}"/>
    <cellStyle name="20% - Accent4 4 5 2 2 3" xfId="25230" xr:uid="{42EEA507-B3EB-493E-ABE0-2F4D6FAC176A}"/>
    <cellStyle name="20% - Accent4 4 5 2 3" xfId="12565" xr:uid="{80AC8CD8-B7DB-4224-B715-1F5BD86FD217}"/>
    <cellStyle name="20% - Accent4 4 5 2 4" xfId="21013" xr:uid="{C42FF2EF-75E6-4982-AABD-6FA153D98E7A}"/>
    <cellStyle name="20% - Accent4 4 5 3" xfId="6188" xr:uid="{00000000-0005-0000-0000-00006A020000}"/>
    <cellStyle name="20% - Accent4 4 5 3 2" xfId="14638" xr:uid="{3BA568A0-CEA2-48EC-924E-9BC0819A32BD}"/>
    <cellStyle name="20% - Accent4 4 5 3 3" xfId="23085" xr:uid="{7C77566C-1B3D-4B68-9C10-461512FCD7A1}"/>
    <cellStyle name="20% - Accent4 4 5 4" xfId="10420" xr:uid="{92E932D1-1535-4DD4-9758-5C453F503652}"/>
    <cellStyle name="20% - Accent4 4 5 5" xfId="18868" xr:uid="{6C710FED-DA43-44B7-BB88-10012B82C435}"/>
    <cellStyle name="20% - Accent4 4 6" xfId="2295" xr:uid="{00000000-0005-0000-0000-00006B020000}"/>
    <cellStyle name="20% - Accent4 4 6 2" xfId="6601" xr:uid="{00000000-0005-0000-0000-00006C020000}"/>
    <cellStyle name="20% - Accent4 4 6 2 2" xfId="15051" xr:uid="{5B034945-C5A9-40DE-B237-C3B79D947C38}"/>
    <cellStyle name="20% - Accent4 4 6 2 3" xfId="23498" xr:uid="{9E1FE7D4-BCA1-4365-A021-ADE3C83F6D64}"/>
    <cellStyle name="20% - Accent4 4 6 3" xfId="10833" xr:uid="{72875AAF-1675-4DCF-A6ED-EDCAD16E59AE}"/>
    <cellStyle name="20% - Accent4 4 6 4" xfId="19281" xr:uid="{94437038-6603-497F-BD5D-963BB077EAF8}"/>
    <cellStyle name="20% - Accent4 4 7" xfId="4535" xr:uid="{00000000-0005-0000-0000-00006D020000}"/>
    <cellStyle name="20% - Accent4 4 7 2" xfId="12985" xr:uid="{84207846-9748-4C40-AC43-BE874FDB740D}"/>
    <cellStyle name="20% - Accent4 4 7 3" xfId="21432" xr:uid="{2F43D944-BD82-4C70-BE5F-60E9C669B0DD}"/>
    <cellStyle name="20% - Accent4 4 8" xfId="8767" xr:uid="{7C241D70-AB34-46DA-B75A-D42539FA7FB3}"/>
    <cellStyle name="20% - Accent4 4 9" xfId="17215" xr:uid="{A80E7271-C955-4EFA-BF54-56DCBACECCF7}"/>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22353F6B-F48A-40E9-86C2-EFE724EB4BA3}"/>
    <cellStyle name="20% - Accent4 5 2 2 3" xfId="23984" xr:uid="{55047862-8702-49FC-8047-D07E5C1B421C}"/>
    <cellStyle name="20% - Accent4 5 2 3" xfId="11319" xr:uid="{C102DA46-E2B2-4161-A19D-F580569C2A6E}"/>
    <cellStyle name="20% - Accent4 5 2 4" xfId="19767" xr:uid="{365A2276-1506-44FD-BB4A-7776BBDD6FEE}"/>
    <cellStyle name="20% - Accent4 5 3" xfId="4942" xr:uid="{00000000-0005-0000-0000-000071020000}"/>
    <cellStyle name="20% - Accent4 5 3 2" xfId="13392" xr:uid="{74483E39-5FEB-4FA3-B46E-B896A2A329B6}"/>
    <cellStyle name="20% - Accent4 5 3 3" xfId="21839" xr:uid="{35A73CAB-DE16-4043-9E3C-895377880098}"/>
    <cellStyle name="20% - Accent4 5 4" xfId="9174" xr:uid="{892BEB83-3C00-434B-B2C3-0C4983ECA1D7}"/>
    <cellStyle name="20% - Accent4 5 5" xfId="17622" xr:uid="{1819BA4F-4E68-43C0-80FC-F938A0EBDFAF}"/>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0B41F14C-5F63-4738-9691-B7B9830A0431}"/>
    <cellStyle name="20% - Accent4 6 2 2 3" xfId="24397" xr:uid="{97048CD5-9DB7-491C-AE7F-3FA6C680128C}"/>
    <cellStyle name="20% - Accent4 6 2 3" xfId="11732" xr:uid="{04444C34-2586-4AD0-9DCC-629570D58E3A}"/>
    <cellStyle name="20% - Accent4 6 2 4" xfId="20180" xr:uid="{247729A2-8EA1-421D-BA38-C18F61232CF6}"/>
    <cellStyle name="20% - Accent4 6 3" xfId="5355" xr:uid="{00000000-0005-0000-0000-000075020000}"/>
    <cellStyle name="20% - Accent4 6 3 2" xfId="13805" xr:uid="{8D4EB425-9D02-48AA-9F68-BAA632339EB1}"/>
    <cellStyle name="20% - Accent4 6 3 3" xfId="22252" xr:uid="{BD7E4089-36F6-42BF-9067-6D0C2C53761C}"/>
    <cellStyle name="20% - Accent4 6 4" xfId="9587" xr:uid="{E03CBBF9-459D-4233-96D7-8CE5CA18B49D}"/>
    <cellStyle name="20% - Accent4 6 5" xfId="18035" xr:uid="{E6AABE5D-2269-4C50-8669-706360AC9B54}"/>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9D9FFA69-41E5-4B34-A0FF-00029D5F96CC}"/>
    <cellStyle name="20% - Accent4 7 2 2 3" xfId="24810" xr:uid="{D305F7AE-6902-4EC1-94B8-BFC9A346729D}"/>
    <cellStyle name="20% - Accent4 7 2 3" xfId="12145" xr:uid="{68DBD6B8-EAFB-4023-BBD1-1662EFA276C9}"/>
    <cellStyle name="20% - Accent4 7 2 4" xfId="20593" xr:uid="{75EADF58-AF08-436F-A8AB-70C6E3E4D042}"/>
    <cellStyle name="20% - Accent4 7 3" xfId="5768" xr:uid="{00000000-0005-0000-0000-000079020000}"/>
    <cellStyle name="20% - Accent4 7 3 2" xfId="14218" xr:uid="{839C1A4B-9090-4057-8D72-1A081E4C3FB0}"/>
    <cellStyle name="20% - Accent4 7 3 3" xfId="22665" xr:uid="{BE40DB4E-1F07-44CF-9078-1769C4E9197B}"/>
    <cellStyle name="20% - Accent4 7 4" xfId="10000" xr:uid="{CF8D80D3-324B-44F6-8939-45A000B29878}"/>
    <cellStyle name="20% - Accent4 7 5" xfId="18448" xr:uid="{796B72DC-1D0B-4B87-BEAC-19FCEA2EEE27}"/>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E8FE6746-49C4-4963-8779-AD6839ECEE49}"/>
    <cellStyle name="20% - Accent4 8 2 2 3" xfId="25223" xr:uid="{72626BCB-3747-4F69-90BE-0D4942158183}"/>
    <cellStyle name="20% - Accent4 8 2 3" xfId="12558" xr:uid="{9FA0F188-7EB2-42B9-AADA-A2860E222D36}"/>
    <cellStyle name="20% - Accent4 8 2 4" xfId="21006" xr:uid="{54D0BD1B-BDE7-4761-88FC-DA98606319DB}"/>
    <cellStyle name="20% - Accent4 8 3" xfId="6181" xr:uid="{00000000-0005-0000-0000-00007D020000}"/>
    <cellStyle name="20% - Accent4 8 3 2" xfId="14631" xr:uid="{11B3FEE8-08C6-4744-8857-8A3E62180521}"/>
    <cellStyle name="20% - Accent4 8 3 3" xfId="23078" xr:uid="{FD8DDEC2-670A-4DD9-B993-785E36964B19}"/>
    <cellStyle name="20% - Accent4 8 4" xfId="10413" xr:uid="{D5FC302F-48A5-47AA-8152-A02FBE5A40E5}"/>
    <cellStyle name="20% - Accent4 8 5" xfId="18861" xr:uid="{96374D0C-FC56-48D2-9244-7943A6D54656}"/>
    <cellStyle name="20% - Accent4 9" xfId="2288" xr:uid="{00000000-0005-0000-0000-00007E020000}"/>
    <cellStyle name="20% - Accent4 9 2" xfId="6594" xr:uid="{00000000-0005-0000-0000-00007F020000}"/>
    <cellStyle name="20% - Accent4 9 2 2" xfId="15044" xr:uid="{7076E045-CEAB-4E1E-AB90-8AD5F9E00164}"/>
    <cellStyle name="20% - Accent4 9 2 3" xfId="23491" xr:uid="{5595A72B-30E9-49C0-B42E-93BEA2F5A1FE}"/>
    <cellStyle name="20% - Accent4 9 3" xfId="10826" xr:uid="{AFF37899-A0EC-42ED-BD1B-09F59187900E}"/>
    <cellStyle name="20% - Accent4 9 4" xfId="19274" xr:uid="{5C57A42D-0623-48D0-9451-D1F40F965C91}"/>
    <cellStyle name="20% - Accent5" xfId="33" builtinId="46" customBuiltin="1"/>
    <cellStyle name="20% - Accent5 10" xfId="4536" xr:uid="{00000000-0005-0000-0000-000081020000}"/>
    <cellStyle name="20% - Accent5 10 2" xfId="12986" xr:uid="{18F91C7A-9EDF-4598-9576-85608D30E9BE}"/>
    <cellStyle name="20% - Accent5 10 3" xfId="21433" xr:uid="{8FE01DFD-93B4-4B3A-A4B5-057D97E10B32}"/>
    <cellStyle name="20% - Accent5 11" xfId="8768" xr:uid="{37C2F40A-A8C3-492B-9710-C248D97F189F}"/>
    <cellStyle name="20% - Accent5 12" xfId="17216" xr:uid="{D21B0429-CA2F-4B96-ABCC-302FA5D0F908}"/>
    <cellStyle name="20% - Accent5 2" xfId="34" xr:uid="{00000000-0005-0000-0000-000082020000}"/>
    <cellStyle name="20% - Accent5 2 10" xfId="8769" xr:uid="{05503794-4FF0-4B5C-AC4F-CCD6A97850B4}"/>
    <cellStyle name="20% - Accent5 2 11" xfId="17217" xr:uid="{D935B3EF-9C8B-4A99-BE90-408114336AB7}"/>
    <cellStyle name="20% - Accent5 2 2" xfId="35" xr:uid="{00000000-0005-0000-0000-000083020000}"/>
    <cellStyle name="20% - Accent5 2 2 10" xfId="17218" xr:uid="{9E55DA18-0DCA-4FE3-A8A5-97192546D8AE}"/>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41DF00E6-BFAA-420C-85BE-5EBF80388DF2}"/>
    <cellStyle name="20% - Accent5 2 2 2 2 2 2 3" xfId="23995" xr:uid="{490B2546-984B-428A-A891-614F58B51040}"/>
    <cellStyle name="20% - Accent5 2 2 2 2 2 3" xfId="11330" xr:uid="{AEFCDDB3-9D6C-4235-A6B0-259CF63B2A9E}"/>
    <cellStyle name="20% - Accent5 2 2 2 2 2 4" xfId="19778" xr:uid="{7253F373-A5CF-4834-A45C-A43B3637234C}"/>
    <cellStyle name="20% - Accent5 2 2 2 2 3" xfId="4953" xr:uid="{00000000-0005-0000-0000-000088020000}"/>
    <cellStyle name="20% - Accent5 2 2 2 2 3 2" xfId="13403" xr:uid="{B367D84A-952E-4CAF-A6F2-2DB70EDBD24C}"/>
    <cellStyle name="20% - Accent5 2 2 2 2 3 3" xfId="21850" xr:uid="{0F32AFFD-F035-4D2A-987A-8E53B3118914}"/>
    <cellStyle name="20% - Accent5 2 2 2 2 4" xfId="9185" xr:uid="{20C08060-291A-42AE-9BA6-9C831A32367D}"/>
    <cellStyle name="20% - Accent5 2 2 2 2 5" xfId="17633" xr:uid="{FE67BD8D-75D9-4D51-8895-C8A178C7D03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6B760736-129B-4120-80EF-D4846059DE58}"/>
    <cellStyle name="20% - Accent5 2 2 2 3 2 2 3" xfId="24408" xr:uid="{3BA5C00C-F14E-41DB-88E9-6680CCD9FB79}"/>
    <cellStyle name="20% - Accent5 2 2 2 3 2 3" xfId="11743" xr:uid="{C9117104-2ED1-41C7-ABDB-F4CB5218EBC0}"/>
    <cellStyle name="20% - Accent5 2 2 2 3 2 4" xfId="20191" xr:uid="{E3C7B99F-E20D-4E77-97CE-4FFF911B93DE}"/>
    <cellStyle name="20% - Accent5 2 2 2 3 3" xfId="5366" xr:uid="{00000000-0005-0000-0000-00008C020000}"/>
    <cellStyle name="20% - Accent5 2 2 2 3 3 2" xfId="13816" xr:uid="{BCC614D0-2DCE-4BB2-B25F-F6B9881CDE5C}"/>
    <cellStyle name="20% - Accent5 2 2 2 3 3 3" xfId="22263" xr:uid="{FE7D3554-EE7D-474A-89CE-04DBB6BB8225}"/>
    <cellStyle name="20% - Accent5 2 2 2 3 4" xfId="9598" xr:uid="{7FA66E5A-95E5-491A-9A60-DAECD0BDBD70}"/>
    <cellStyle name="20% - Accent5 2 2 2 3 5" xfId="18046" xr:uid="{7664CF74-E257-4659-860F-0B7E8EF7237B}"/>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5B883A1D-68A8-4AAA-A09B-3233F82B925F}"/>
    <cellStyle name="20% - Accent5 2 2 2 4 2 2 3" xfId="24821" xr:uid="{D50FB2B7-4BF7-4073-8BC9-D298A00EA4CC}"/>
    <cellStyle name="20% - Accent5 2 2 2 4 2 3" xfId="12156" xr:uid="{BBD3CC70-50E8-489E-BF1A-4EF08F10B3A9}"/>
    <cellStyle name="20% - Accent5 2 2 2 4 2 4" xfId="20604" xr:uid="{F01F14CD-E7E7-44C6-A699-74D37B0425D2}"/>
    <cellStyle name="20% - Accent5 2 2 2 4 3" xfId="5779" xr:uid="{00000000-0005-0000-0000-000090020000}"/>
    <cellStyle name="20% - Accent5 2 2 2 4 3 2" xfId="14229" xr:uid="{AFC09F0F-17DC-4C93-85C3-4FA1D8D7E83D}"/>
    <cellStyle name="20% - Accent5 2 2 2 4 3 3" xfId="22676" xr:uid="{198C64E2-0715-4D9B-A06C-287DBE4D8F67}"/>
    <cellStyle name="20% - Accent5 2 2 2 4 4" xfId="10011" xr:uid="{A794F9BB-5DB7-46F8-9555-3EDE93D81EEB}"/>
    <cellStyle name="20% - Accent5 2 2 2 4 5" xfId="18459" xr:uid="{031383D2-E3CF-4F68-95AE-46A57FABFE8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3D81556-F713-421D-9659-72CEEDE0D32F}"/>
    <cellStyle name="20% - Accent5 2 2 2 5 2 2 3" xfId="25234" xr:uid="{219CD69E-C70C-4CCE-BF44-75478C2E8D31}"/>
    <cellStyle name="20% - Accent5 2 2 2 5 2 3" xfId="12569" xr:uid="{E626C5CC-8E1D-4E7B-A673-95736577731E}"/>
    <cellStyle name="20% - Accent5 2 2 2 5 2 4" xfId="21017" xr:uid="{A3B1DF2E-B222-4022-8710-DA95B6711BDF}"/>
    <cellStyle name="20% - Accent5 2 2 2 5 3" xfId="6192" xr:uid="{00000000-0005-0000-0000-000094020000}"/>
    <cellStyle name="20% - Accent5 2 2 2 5 3 2" xfId="14642" xr:uid="{10CA704C-3231-4168-A6E6-150891D6E8FF}"/>
    <cellStyle name="20% - Accent5 2 2 2 5 3 3" xfId="23089" xr:uid="{C98A54D0-7ADF-4BE0-BAE0-2B8706893D79}"/>
    <cellStyle name="20% - Accent5 2 2 2 5 4" xfId="10424" xr:uid="{453F26D4-91E0-400E-B9C2-ED688F286FE2}"/>
    <cellStyle name="20% - Accent5 2 2 2 5 5" xfId="18872" xr:uid="{25EF1A7C-07DA-493E-87A2-14B2A2573BBC}"/>
    <cellStyle name="20% - Accent5 2 2 2 6" xfId="2299" xr:uid="{00000000-0005-0000-0000-000095020000}"/>
    <cellStyle name="20% - Accent5 2 2 2 6 2" xfId="6605" xr:uid="{00000000-0005-0000-0000-000096020000}"/>
    <cellStyle name="20% - Accent5 2 2 2 6 2 2" xfId="15055" xr:uid="{FA39367D-BC70-4F46-B1F9-0B20F6E1ADB5}"/>
    <cellStyle name="20% - Accent5 2 2 2 6 2 3" xfId="23502" xr:uid="{A5935946-A2EA-4016-B077-84239295FBD5}"/>
    <cellStyle name="20% - Accent5 2 2 2 6 3" xfId="10837" xr:uid="{722FDAD3-DFDE-4AF9-8FDC-FC3A3CD65C7B}"/>
    <cellStyle name="20% - Accent5 2 2 2 6 4" xfId="19285" xr:uid="{134A7A5F-8695-4B37-A726-C220EF059F6C}"/>
    <cellStyle name="20% - Accent5 2 2 2 7" xfId="4539" xr:uid="{00000000-0005-0000-0000-000097020000}"/>
    <cellStyle name="20% - Accent5 2 2 2 7 2" xfId="12989" xr:uid="{D4FC3204-F087-4446-9880-D2E590B1FC6A}"/>
    <cellStyle name="20% - Accent5 2 2 2 7 3" xfId="21436" xr:uid="{754BAC60-C87B-4027-A67C-20FB63009EBA}"/>
    <cellStyle name="20% - Accent5 2 2 2 8" xfId="8771" xr:uid="{738604CD-E670-43FA-BC6A-AFFFF06D457D}"/>
    <cellStyle name="20% - Accent5 2 2 2 9" xfId="17219" xr:uid="{7A0C9AF9-C149-4C96-8890-B8B4BDAAE7B0}"/>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4ADCBA3D-080F-415C-B2D5-A972630B53D2}"/>
    <cellStyle name="20% - Accent5 2 2 3 2 2 3" xfId="23994" xr:uid="{11DF5CA9-91EA-4F18-B42F-A74E4F1B65A5}"/>
    <cellStyle name="20% - Accent5 2 2 3 2 3" xfId="11329" xr:uid="{836DE62C-E505-4074-B59E-B0381FCE7809}"/>
    <cellStyle name="20% - Accent5 2 2 3 2 4" xfId="19777" xr:uid="{613C0777-CDF8-48F9-B78B-7126888A13E1}"/>
    <cellStyle name="20% - Accent5 2 2 3 3" xfId="4952" xr:uid="{00000000-0005-0000-0000-00009B020000}"/>
    <cellStyle name="20% - Accent5 2 2 3 3 2" xfId="13402" xr:uid="{505252B9-3A1B-4798-AB40-678A658B1D6E}"/>
    <cellStyle name="20% - Accent5 2 2 3 3 3" xfId="21849" xr:uid="{5B18A81F-8388-4673-889E-718452294CEB}"/>
    <cellStyle name="20% - Accent5 2 2 3 4" xfId="9184" xr:uid="{3D78A0CC-0FEC-4FCD-A4A5-348D2B6FCBC5}"/>
    <cellStyle name="20% - Accent5 2 2 3 5" xfId="17632" xr:uid="{F2F15B26-0390-4707-B044-F44313A89F4B}"/>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0437E932-4AC0-40A8-B60D-DBD03440BEFA}"/>
    <cellStyle name="20% - Accent5 2 2 4 2 2 3" xfId="24407" xr:uid="{0310FF4D-6BB4-4BBC-B200-394D8F51F699}"/>
    <cellStyle name="20% - Accent5 2 2 4 2 3" xfId="11742" xr:uid="{F9E8304A-8AC7-48C1-B78F-6F10538D417C}"/>
    <cellStyle name="20% - Accent5 2 2 4 2 4" xfId="20190" xr:uid="{DEA02B91-BEA1-4CA6-82D8-3F55DF17ED5E}"/>
    <cellStyle name="20% - Accent5 2 2 4 3" xfId="5365" xr:uid="{00000000-0005-0000-0000-00009F020000}"/>
    <cellStyle name="20% - Accent5 2 2 4 3 2" xfId="13815" xr:uid="{B29B6F61-8316-4B8F-A5F2-709F3384390B}"/>
    <cellStyle name="20% - Accent5 2 2 4 3 3" xfId="22262" xr:uid="{22A9701F-2B1C-4870-9362-ACF937AE0A04}"/>
    <cellStyle name="20% - Accent5 2 2 4 4" xfId="9597" xr:uid="{C64515F1-9D8F-4C8B-9690-F8041775C56B}"/>
    <cellStyle name="20% - Accent5 2 2 4 5" xfId="18045" xr:uid="{DB141F21-2852-4400-8772-96B4FB490D76}"/>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9869A9CB-DDD2-433F-9B86-71D6B82EEACA}"/>
    <cellStyle name="20% - Accent5 2 2 5 2 2 3" xfId="24820" xr:uid="{E345979C-B816-4042-9CBA-B415E11F14E3}"/>
    <cellStyle name="20% - Accent5 2 2 5 2 3" xfId="12155" xr:uid="{66957D7F-15EF-4460-8264-7919F73F7AF8}"/>
    <cellStyle name="20% - Accent5 2 2 5 2 4" xfId="20603" xr:uid="{9046A2DE-6D51-4887-8261-CCD99A81CA0C}"/>
    <cellStyle name="20% - Accent5 2 2 5 3" xfId="5778" xr:uid="{00000000-0005-0000-0000-0000A3020000}"/>
    <cellStyle name="20% - Accent5 2 2 5 3 2" xfId="14228" xr:uid="{F3B08D68-24A3-4C08-A95D-5D50EE3115DF}"/>
    <cellStyle name="20% - Accent5 2 2 5 3 3" xfId="22675" xr:uid="{755250D7-4FE5-495C-8667-706D34CA64D3}"/>
    <cellStyle name="20% - Accent5 2 2 5 4" xfId="10010" xr:uid="{79A68286-15F2-4CFD-8ADF-87E342564A5D}"/>
    <cellStyle name="20% - Accent5 2 2 5 5" xfId="18458" xr:uid="{E62D81D9-903C-4DE6-AA72-6A17DE18718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FAE9965C-A714-4611-B8A1-1EFBDD50C7D8}"/>
    <cellStyle name="20% - Accent5 2 2 6 2 2 3" xfId="25233" xr:uid="{C91AFCEC-3156-445E-A79C-41259D14A6F8}"/>
    <cellStyle name="20% - Accent5 2 2 6 2 3" xfId="12568" xr:uid="{F5E23B17-6A9A-40D1-A1F0-5CCC1CDB9F02}"/>
    <cellStyle name="20% - Accent5 2 2 6 2 4" xfId="21016" xr:uid="{88337444-8687-4D0A-9E17-8F2F3790CDDE}"/>
    <cellStyle name="20% - Accent5 2 2 6 3" xfId="6191" xr:uid="{00000000-0005-0000-0000-0000A7020000}"/>
    <cellStyle name="20% - Accent5 2 2 6 3 2" xfId="14641" xr:uid="{D7AF65EE-0964-41BA-B1C6-E739537BEE87}"/>
    <cellStyle name="20% - Accent5 2 2 6 3 3" xfId="23088" xr:uid="{939DA82C-4144-4836-859A-76CFCE7F26CD}"/>
    <cellStyle name="20% - Accent5 2 2 6 4" xfId="10423" xr:uid="{6F1C07CF-DB2C-45E2-889F-6526622ACACB}"/>
    <cellStyle name="20% - Accent5 2 2 6 5" xfId="18871" xr:uid="{38B2F127-5B38-4DCE-9040-4BF1F8E7D986}"/>
    <cellStyle name="20% - Accent5 2 2 7" xfId="2298" xr:uid="{00000000-0005-0000-0000-0000A8020000}"/>
    <cellStyle name="20% - Accent5 2 2 7 2" xfId="6604" xr:uid="{00000000-0005-0000-0000-0000A9020000}"/>
    <cellStyle name="20% - Accent5 2 2 7 2 2" xfId="15054" xr:uid="{98CC1278-DD8C-4E2A-8902-69DFF5BA3BF9}"/>
    <cellStyle name="20% - Accent5 2 2 7 2 3" xfId="23501" xr:uid="{F6333556-06C5-4D1E-97F7-26030F2A936B}"/>
    <cellStyle name="20% - Accent5 2 2 7 3" xfId="10836" xr:uid="{FBDBCE19-4C77-4E6F-92A2-5E7202A884B7}"/>
    <cellStyle name="20% - Accent5 2 2 7 4" xfId="19284" xr:uid="{06F48744-FF1B-4F9C-BFAD-EB87680B7449}"/>
    <cellStyle name="20% - Accent5 2 2 8" xfId="4538" xr:uid="{00000000-0005-0000-0000-0000AA020000}"/>
    <cellStyle name="20% - Accent5 2 2 8 2" xfId="12988" xr:uid="{4F6E6DB9-B65D-448F-AD57-C7B3D8A5EDFA}"/>
    <cellStyle name="20% - Accent5 2 2 8 3" xfId="21435" xr:uid="{BBC4FBE5-C49C-46EF-B360-1DD280F97D88}"/>
    <cellStyle name="20% - Accent5 2 2 9" xfId="8770" xr:uid="{5CFF991F-059D-4FC7-B007-9D89BB2EC626}"/>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468271D4-7727-4B38-A4D4-1AFE414C39C6}"/>
    <cellStyle name="20% - Accent5 2 3 2 2 2 3" xfId="23996" xr:uid="{EC97CF02-8938-4D24-8A08-A6DA46860D7B}"/>
    <cellStyle name="20% - Accent5 2 3 2 2 3" xfId="11331" xr:uid="{856F667E-D625-4380-B78D-111A6CEC4BF3}"/>
    <cellStyle name="20% - Accent5 2 3 2 2 4" xfId="19779" xr:uid="{A603B02F-550B-4429-BB1B-E2E2978C4C47}"/>
    <cellStyle name="20% - Accent5 2 3 2 3" xfId="4954" xr:uid="{00000000-0005-0000-0000-0000AF020000}"/>
    <cellStyle name="20% - Accent5 2 3 2 3 2" xfId="13404" xr:uid="{3DBE9A71-D4A8-4D0C-AFAA-4DF8F0B96BDE}"/>
    <cellStyle name="20% - Accent5 2 3 2 3 3" xfId="21851" xr:uid="{3A9A2A2E-213B-4F38-BAF0-735AE963E31C}"/>
    <cellStyle name="20% - Accent5 2 3 2 4" xfId="9186" xr:uid="{708DE96F-553A-4C0F-9D07-A762F362284E}"/>
    <cellStyle name="20% - Accent5 2 3 2 5" xfId="17634" xr:uid="{D1C979E1-76D5-47AC-9288-24A1ED77F0B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8992D4C4-A1BC-433D-BC33-C2FF05ECE18E}"/>
    <cellStyle name="20% - Accent5 2 3 3 2 2 3" xfId="24409" xr:uid="{592A366B-605E-4229-8AB7-EAFECAFC0DD4}"/>
    <cellStyle name="20% - Accent5 2 3 3 2 3" xfId="11744" xr:uid="{EB6EE7FC-8DA2-4F3E-A035-BC5F9D2BCB2E}"/>
    <cellStyle name="20% - Accent5 2 3 3 2 4" xfId="20192" xr:uid="{5B921441-2093-4CD8-A598-81F6CFFC580C}"/>
    <cellStyle name="20% - Accent5 2 3 3 3" xfId="5367" xr:uid="{00000000-0005-0000-0000-0000B3020000}"/>
    <cellStyle name="20% - Accent5 2 3 3 3 2" xfId="13817" xr:uid="{CFD6826D-8738-412C-894D-A7F7F629E100}"/>
    <cellStyle name="20% - Accent5 2 3 3 3 3" xfId="22264" xr:uid="{CFB12247-488A-463F-A84F-09360795F612}"/>
    <cellStyle name="20% - Accent5 2 3 3 4" xfId="9599" xr:uid="{80EFFF8B-538B-4A0F-BCDF-D5A582535539}"/>
    <cellStyle name="20% - Accent5 2 3 3 5" xfId="18047" xr:uid="{C7EFD9ED-4EFC-4061-8E17-07AA1B0E7BAC}"/>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3B67677A-646E-4446-A3AF-6E34E3A338EF}"/>
    <cellStyle name="20% - Accent5 2 3 4 2 2 3" xfId="24822" xr:uid="{BB4D93E8-0032-440E-AC4E-DAFD1D6FB4A5}"/>
    <cellStyle name="20% - Accent5 2 3 4 2 3" xfId="12157" xr:uid="{74A08DE2-12B9-4C33-9920-103980B88528}"/>
    <cellStyle name="20% - Accent5 2 3 4 2 4" xfId="20605" xr:uid="{1AE15376-1C41-45CC-B9F9-5B54E2F335A5}"/>
    <cellStyle name="20% - Accent5 2 3 4 3" xfId="5780" xr:uid="{00000000-0005-0000-0000-0000B7020000}"/>
    <cellStyle name="20% - Accent5 2 3 4 3 2" xfId="14230" xr:uid="{1EC41285-7741-452F-9B8E-8C51C4EE03D2}"/>
    <cellStyle name="20% - Accent5 2 3 4 3 3" xfId="22677" xr:uid="{3F72A783-05DF-4CB1-9AAA-A874031D494A}"/>
    <cellStyle name="20% - Accent5 2 3 4 4" xfId="10012" xr:uid="{AC70842A-8C9A-44A0-B0E8-A5FFC9F19D8E}"/>
    <cellStyle name="20% - Accent5 2 3 4 5" xfId="18460" xr:uid="{74D4DA58-F671-437D-9580-B5696676E601}"/>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6A2E96D3-BEE9-4D62-9981-B64301164093}"/>
    <cellStyle name="20% - Accent5 2 3 5 2 2 3" xfId="25235" xr:uid="{2C79E7FB-6119-46D3-A65B-0EAB95701030}"/>
    <cellStyle name="20% - Accent5 2 3 5 2 3" xfId="12570" xr:uid="{CB49F608-23FF-495A-B90A-9DA12AC787E3}"/>
    <cellStyle name="20% - Accent5 2 3 5 2 4" xfId="21018" xr:uid="{0AF1ADB8-6668-4981-8F82-E65524A6DE57}"/>
    <cellStyle name="20% - Accent5 2 3 5 3" xfId="6193" xr:uid="{00000000-0005-0000-0000-0000BB020000}"/>
    <cellStyle name="20% - Accent5 2 3 5 3 2" xfId="14643" xr:uid="{8288A9D6-F461-426C-8EDA-DDC1D0BA7B58}"/>
    <cellStyle name="20% - Accent5 2 3 5 3 3" xfId="23090" xr:uid="{126E68FA-540C-4F7C-9AF1-39DBBD75406C}"/>
    <cellStyle name="20% - Accent5 2 3 5 4" xfId="10425" xr:uid="{086C20E9-08C0-475A-B09C-BF45C44EE01F}"/>
    <cellStyle name="20% - Accent5 2 3 5 5" xfId="18873" xr:uid="{3F2D9AA1-65BC-41E1-8612-EA3A6C35AFA9}"/>
    <cellStyle name="20% - Accent5 2 3 6" xfId="2300" xr:uid="{00000000-0005-0000-0000-0000BC020000}"/>
    <cellStyle name="20% - Accent5 2 3 6 2" xfId="6606" xr:uid="{00000000-0005-0000-0000-0000BD020000}"/>
    <cellStyle name="20% - Accent5 2 3 6 2 2" xfId="15056" xr:uid="{1FC37280-E4A7-4B98-B039-132D0F2BEF6D}"/>
    <cellStyle name="20% - Accent5 2 3 6 2 3" xfId="23503" xr:uid="{A5402823-F48A-4473-B259-64CBC798F536}"/>
    <cellStyle name="20% - Accent5 2 3 6 3" xfId="10838" xr:uid="{75E85082-8872-42C5-96B8-CCBEE8463B89}"/>
    <cellStyle name="20% - Accent5 2 3 6 4" xfId="19286" xr:uid="{5C393301-DB61-4DFF-AB8E-2D8F46AC1A43}"/>
    <cellStyle name="20% - Accent5 2 3 7" xfId="4540" xr:uid="{00000000-0005-0000-0000-0000BE020000}"/>
    <cellStyle name="20% - Accent5 2 3 7 2" xfId="12990" xr:uid="{5ED191F8-09F0-480B-B437-E3D1B3F4CE60}"/>
    <cellStyle name="20% - Accent5 2 3 7 3" xfId="21437" xr:uid="{C43ED0C7-9DAD-40AD-9D2D-F29DD5252689}"/>
    <cellStyle name="20% - Accent5 2 3 8" xfId="8772" xr:uid="{9AB5F36D-B809-43D5-8F53-A4C52CAC3F85}"/>
    <cellStyle name="20% - Accent5 2 3 9" xfId="17220" xr:uid="{37754735-F682-479D-AB39-98B702456F9C}"/>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F43011B2-E160-46F7-8E01-3C65A204BA23}"/>
    <cellStyle name="20% - Accent5 2 4 2 2 3" xfId="23993" xr:uid="{EDFD1370-6C40-43EC-BCBC-5FC0319F8411}"/>
    <cellStyle name="20% - Accent5 2 4 2 3" xfId="11328" xr:uid="{596C3743-16E1-49CB-9B85-D93AD8DB0D00}"/>
    <cellStyle name="20% - Accent5 2 4 2 4" xfId="19776" xr:uid="{4510F3BE-712F-4FEE-B3A2-F4B02E565FC9}"/>
    <cellStyle name="20% - Accent5 2 4 3" xfId="4951" xr:uid="{00000000-0005-0000-0000-0000C2020000}"/>
    <cellStyle name="20% - Accent5 2 4 3 2" xfId="13401" xr:uid="{0BA77A5B-B9D0-492F-8245-8C4F637C3BE0}"/>
    <cellStyle name="20% - Accent5 2 4 3 3" xfId="21848" xr:uid="{81C15AF6-F18B-444A-B1AB-2851CEAD7C52}"/>
    <cellStyle name="20% - Accent5 2 4 4" xfId="9183" xr:uid="{C6B22C68-621E-4AE4-AEB7-FE4311035498}"/>
    <cellStyle name="20% - Accent5 2 4 5" xfId="17631" xr:uid="{E1635794-02F8-4B4D-8AD6-9018FC3A21DC}"/>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5FAB10A3-7F45-4BD7-AA9E-59B7CA20790B}"/>
    <cellStyle name="20% - Accent5 2 5 2 2 3" xfId="24406" xr:uid="{9B280320-D351-4A8D-8690-09898EB71B31}"/>
    <cellStyle name="20% - Accent5 2 5 2 3" xfId="11741" xr:uid="{B1BFA329-101E-46DC-B632-0974306DB7CC}"/>
    <cellStyle name="20% - Accent5 2 5 2 4" xfId="20189" xr:uid="{00E8F583-EFB8-4B51-9D62-E1B90F80C42C}"/>
    <cellStyle name="20% - Accent5 2 5 3" xfId="5364" xr:uid="{00000000-0005-0000-0000-0000C6020000}"/>
    <cellStyle name="20% - Accent5 2 5 3 2" xfId="13814" xr:uid="{5C0F7C4C-32EF-4D9A-ACDA-B79A580AACFE}"/>
    <cellStyle name="20% - Accent5 2 5 3 3" xfId="22261" xr:uid="{58882F0D-AC86-4468-9D2D-2530CC6C8B10}"/>
    <cellStyle name="20% - Accent5 2 5 4" xfId="9596" xr:uid="{B5B5C7C6-0DE3-4702-BF54-EE84C213F37E}"/>
    <cellStyle name="20% - Accent5 2 5 5" xfId="18044" xr:uid="{24605701-5795-4B58-9D01-6A288DA2D17C}"/>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C5FFA6C8-6DC1-4FF0-88E9-2948F3CF529F}"/>
    <cellStyle name="20% - Accent5 2 6 2 2 3" xfId="24819" xr:uid="{556F4691-F9BD-40D8-82CF-883E9E66BD9A}"/>
    <cellStyle name="20% - Accent5 2 6 2 3" xfId="12154" xr:uid="{FA2D53AF-F7AA-448F-BDF0-43845B7F1B02}"/>
    <cellStyle name="20% - Accent5 2 6 2 4" xfId="20602" xr:uid="{FB7955EC-453B-4BC7-A2E2-112679C215F5}"/>
    <cellStyle name="20% - Accent5 2 6 3" xfId="5777" xr:uid="{00000000-0005-0000-0000-0000CA020000}"/>
    <cellStyle name="20% - Accent5 2 6 3 2" xfId="14227" xr:uid="{B2DEA7C1-6F65-4515-9042-5B45A5D793A4}"/>
    <cellStyle name="20% - Accent5 2 6 3 3" xfId="22674" xr:uid="{D5DCBE7E-78BB-44D9-B487-E7B4A974AA31}"/>
    <cellStyle name="20% - Accent5 2 6 4" xfId="10009" xr:uid="{7C92B9E3-3E21-496A-97A6-3E727C284523}"/>
    <cellStyle name="20% - Accent5 2 6 5" xfId="18457" xr:uid="{752D2B07-168E-497C-81EF-F464BC3C1DAC}"/>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5ED80E31-CC48-416E-A05A-1597033F8738}"/>
    <cellStyle name="20% - Accent5 2 7 2 2 3" xfId="25232" xr:uid="{C2FFA606-C5DE-4F25-8F6C-8078C945F75C}"/>
    <cellStyle name="20% - Accent5 2 7 2 3" xfId="12567" xr:uid="{4717FAF7-B9CA-4059-AFFB-00B94E20B4A2}"/>
    <cellStyle name="20% - Accent5 2 7 2 4" xfId="21015" xr:uid="{7AB0A5CB-FE61-4B50-B47C-099E9BA42749}"/>
    <cellStyle name="20% - Accent5 2 7 3" xfId="6190" xr:uid="{00000000-0005-0000-0000-0000CE020000}"/>
    <cellStyle name="20% - Accent5 2 7 3 2" xfId="14640" xr:uid="{B157E5F7-F632-4314-AEFF-E4F224B3EB2F}"/>
    <cellStyle name="20% - Accent5 2 7 3 3" xfId="23087" xr:uid="{2458BF7D-6DB1-46AC-880D-6445F0F5F479}"/>
    <cellStyle name="20% - Accent5 2 7 4" xfId="10422" xr:uid="{8B849239-16C2-474B-8415-BC75435B8483}"/>
    <cellStyle name="20% - Accent5 2 7 5" xfId="18870" xr:uid="{48FB3423-D3B0-4095-A5E0-00FC1B415352}"/>
    <cellStyle name="20% - Accent5 2 8" xfId="2297" xr:uid="{00000000-0005-0000-0000-0000CF020000}"/>
    <cellStyle name="20% - Accent5 2 8 2" xfId="6603" xr:uid="{00000000-0005-0000-0000-0000D0020000}"/>
    <cellStyle name="20% - Accent5 2 8 2 2" xfId="15053" xr:uid="{E07E81E0-C458-4ADE-ADCE-0DAD45F0D72E}"/>
    <cellStyle name="20% - Accent5 2 8 2 3" xfId="23500" xr:uid="{8416CE49-2163-4466-B071-74AD3366450D}"/>
    <cellStyle name="20% - Accent5 2 8 3" xfId="10835" xr:uid="{3FAC7F62-9448-4D4B-B090-9715666E6E73}"/>
    <cellStyle name="20% - Accent5 2 8 4" xfId="19283" xr:uid="{AD7BC8A7-09EC-4C4B-B347-5AB0883D4972}"/>
    <cellStyle name="20% - Accent5 2 9" xfId="4537" xr:uid="{00000000-0005-0000-0000-0000D1020000}"/>
    <cellStyle name="20% - Accent5 2 9 2" xfId="12987" xr:uid="{73C06659-CACE-4B7C-A0E6-62BCE3CBDD79}"/>
    <cellStyle name="20% - Accent5 2 9 3" xfId="21434" xr:uid="{831605EF-117B-4269-B491-DCF33BAF503B}"/>
    <cellStyle name="20% - Accent5 3" xfId="38" xr:uid="{00000000-0005-0000-0000-0000D2020000}"/>
    <cellStyle name="20% - Accent5 3 10" xfId="17221" xr:uid="{4D8ADBA4-C9C1-405A-A64E-54BD5D347937}"/>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771F9987-AAFB-4531-AEF5-0876662C51D6}"/>
    <cellStyle name="20% - Accent5 3 2 2 2 2 3" xfId="23998" xr:uid="{C466D90A-BF47-48D2-859E-94AB7FC8D9B1}"/>
    <cellStyle name="20% - Accent5 3 2 2 2 3" xfId="11333" xr:uid="{E4855AE8-48C0-43F6-904D-ACD4D0182534}"/>
    <cellStyle name="20% - Accent5 3 2 2 2 4" xfId="19781" xr:uid="{2B3CF4AF-61D7-4B21-BAFD-6285668B7B38}"/>
    <cellStyle name="20% - Accent5 3 2 2 3" xfId="4956" xr:uid="{00000000-0005-0000-0000-0000D7020000}"/>
    <cellStyle name="20% - Accent5 3 2 2 3 2" xfId="13406" xr:uid="{22132593-114B-46F9-AEF8-F367954C69A6}"/>
    <cellStyle name="20% - Accent5 3 2 2 3 3" xfId="21853" xr:uid="{3FEC4ABC-B45A-4AF8-833C-6A0C85565D49}"/>
    <cellStyle name="20% - Accent5 3 2 2 4" xfId="9188" xr:uid="{3E853652-27DF-45F2-97FA-1D29CABC5299}"/>
    <cellStyle name="20% - Accent5 3 2 2 5" xfId="17636" xr:uid="{7C00C94E-A1C9-42B4-BA2A-A69D442C9C9D}"/>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228D4DE4-079E-487F-9432-F61B25C464BE}"/>
    <cellStyle name="20% - Accent5 3 2 3 2 2 3" xfId="24411" xr:uid="{C61E0113-F942-46F2-B442-F936D48161D3}"/>
    <cellStyle name="20% - Accent5 3 2 3 2 3" xfId="11746" xr:uid="{5B69EC4B-2F3F-4962-B9FD-2E34C428A498}"/>
    <cellStyle name="20% - Accent5 3 2 3 2 4" xfId="20194" xr:uid="{3115D889-AA94-46AD-87C1-66C5BFDFA775}"/>
    <cellStyle name="20% - Accent5 3 2 3 3" xfId="5369" xr:uid="{00000000-0005-0000-0000-0000DB020000}"/>
    <cellStyle name="20% - Accent5 3 2 3 3 2" xfId="13819" xr:uid="{67DEB451-3BCC-4C73-9275-CFE421A1114C}"/>
    <cellStyle name="20% - Accent5 3 2 3 3 3" xfId="22266" xr:uid="{949148AC-4775-493F-AB88-EA1F053D02EB}"/>
    <cellStyle name="20% - Accent5 3 2 3 4" xfId="9601" xr:uid="{24B154C7-DF65-41EB-943B-ACEAC34E9E7A}"/>
    <cellStyle name="20% - Accent5 3 2 3 5" xfId="18049" xr:uid="{32B7EBA8-9187-49CA-B8DD-88CEC27F0736}"/>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B6AA4AED-6044-41B1-B74C-D304AB92A3B9}"/>
    <cellStyle name="20% - Accent5 3 2 4 2 2 3" xfId="24824" xr:uid="{5993B9E9-4FF7-4762-8084-AA5F7BF50DD7}"/>
    <cellStyle name="20% - Accent5 3 2 4 2 3" xfId="12159" xr:uid="{9EFC2D84-7E75-4FE4-9024-ABB5646BD62F}"/>
    <cellStyle name="20% - Accent5 3 2 4 2 4" xfId="20607" xr:uid="{B4B2BFF6-7394-4046-8B32-BEE476D42CED}"/>
    <cellStyle name="20% - Accent5 3 2 4 3" xfId="5782" xr:uid="{00000000-0005-0000-0000-0000DF020000}"/>
    <cellStyle name="20% - Accent5 3 2 4 3 2" xfId="14232" xr:uid="{CAF00F4A-C914-4E52-A695-8A1FE2EDEA81}"/>
    <cellStyle name="20% - Accent5 3 2 4 3 3" xfId="22679" xr:uid="{3F99197D-B8EB-41AB-9316-4E315B0CA3EA}"/>
    <cellStyle name="20% - Accent5 3 2 4 4" xfId="10014" xr:uid="{6455C7BB-A772-40EE-B212-AE63469FF621}"/>
    <cellStyle name="20% - Accent5 3 2 4 5" xfId="18462" xr:uid="{1741741A-5CEA-41F5-BC06-E18452DCC300}"/>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9ED1CBCD-7FAD-484D-BAD0-B9BF93F85A26}"/>
    <cellStyle name="20% - Accent5 3 2 5 2 2 3" xfId="25237" xr:uid="{639CD99D-F809-4615-B4CE-9717DAAB56B5}"/>
    <cellStyle name="20% - Accent5 3 2 5 2 3" xfId="12572" xr:uid="{38A1AE4C-04CC-4547-AE04-40B7FEEF4FAA}"/>
    <cellStyle name="20% - Accent5 3 2 5 2 4" xfId="21020" xr:uid="{C27B5E68-B58D-434D-BCF3-0FF2CB8267C9}"/>
    <cellStyle name="20% - Accent5 3 2 5 3" xfId="6195" xr:uid="{00000000-0005-0000-0000-0000E3020000}"/>
    <cellStyle name="20% - Accent5 3 2 5 3 2" xfId="14645" xr:uid="{01F6E7C5-150E-4ED1-AA7E-72FDCFD7627C}"/>
    <cellStyle name="20% - Accent5 3 2 5 3 3" xfId="23092" xr:uid="{954ACCB2-6CDC-4A0C-B9E9-7DE46D91494F}"/>
    <cellStyle name="20% - Accent5 3 2 5 4" xfId="10427" xr:uid="{E3A90518-C41A-423C-B4EE-33B3D92C5BBD}"/>
    <cellStyle name="20% - Accent5 3 2 5 5" xfId="18875" xr:uid="{E5888A6F-4A87-4AF7-BA90-6A94282FE868}"/>
    <cellStyle name="20% - Accent5 3 2 6" xfId="2302" xr:uid="{00000000-0005-0000-0000-0000E4020000}"/>
    <cellStyle name="20% - Accent5 3 2 6 2" xfId="6608" xr:uid="{00000000-0005-0000-0000-0000E5020000}"/>
    <cellStyle name="20% - Accent5 3 2 6 2 2" xfId="15058" xr:uid="{EF09D954-A164-439D-A9EB-E7A43BB0A2F0}"/>
    <cellStyle name="20% - Accent5 3 2 6 2 3" xfId="23505" xr:uid="{58E11504-4795-423E-ADEE-24C51BE207E3}"/>
    <cellStyle name="20% - Accent5 3 2 6 3" xfId="10840" xr:uid="{01B38CB6-300A-4E8F-9679-763DC99FBDEE}"/>
    <cellStyle name="20% - Accent5 3 2 6 4" xfId="19288" xr:uid="{93760F2A-F383-4D7C-805C-561FE865B409}"/>
    <cellStyle name="20% - Accent5 3 2 7" xfId="4542" xr:uid="{00000000-0005-0000-0000-0000E6020000}"/>
    <cellStyle name="20% - Accent5 3 2 7 2" xfId="12992" xr:uid="{14441A42-681F-442B-BE9A-94E9B0E21D20}"/>
    <cellStyle name="20% - Accent5 3 2 7 3" xfId="21439" xr:uid="{18F3000C-71A3-4F58-99F1-AE61848E5B47}"/>
    <cellStyle name="20% - Accent5 3 2 8" xfId="8774" xr:uid="{F7D7E23D-9246-407C-BEBB-F8DD838E3DE8}"/>
    <cellStyle name="20% - Accent5 3 2 9" xfId="17222" xr:uid="{E2B74249-E10D-4D1A-8975-33BB5D79EAFC}"/>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1E1216B0-9015-4EB6-8FFB-505D09C18D7A}"/>
    <cellStyle name="20% - Accent5 3 3 2 2 3" xfId="23997" xr:uid="{C716A542-81DA-42F8-8600-7E301557999E}"/>
    <cellStyle name="20% - Accent5 3 3 2 3" xfId="11332" xr:uid="{5975AD4E-E7F2-4F97-B376-2EEAB387E39C}"/>
    <cellStyle name="20% - Accent5 3 3 2 4" xfId="19780" xr:uid="{BF91A073-61A6-4C9E-B487-6DDE2E5BEE18}"/>
    <cellStyle name="20% - Accent5 3 3 3" xfId="4955" xr:uid="{00000000-0005-0000-0000-0000EA020000}"/>
    <cellStyle name="20% - Accent5 3 3 3 2" xfId="13405" xr:uid="{4C7BFB5C-5FF8-49B2-8DB8-B32D25388096}"/>
    <cellStyle name="20% - Accent5 3 3 3 3" xfId="21852" xr:uid="{6B30B33C-AF22-4574-8026-549A1FFC9CA9}"/>
    <cellStyle name="20% - Accent5 3 3 4" xfId="9187" xr:uid="{87010A1C-A9F2-49D5-9701-208BD6A15DE6}"/>
    <cellStyle name="20% - Accent5 3 3 5" xfId="17635" xr:uid="{318A92E2-A05A-44DA-A4C3-5F7B1D1836BC}"/>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FC07B27C-46C4-463F-9B6A-84850637DAD1}"/>
    <cellStyle name="20% - Accent5 3 4 2 2 3" xfId="24410" xr:uid="{D3F93A5A-C426-413D-928B-AE1C82006E55}"/>
    <cellStyle name="20% - Accent5 3 4 2 3" xfId="11745" xr:uid="{06AAB500-C998-4628-BB28-3760B0B08506}"/>
    <cellStyle name="20% - Accent5 3 4 2 4" xfId="20193" xr:uid="{AB731148-22A4-4FBD-B694-E30D832E3946}"/>
    <cellStyle name="20% - Accent5 3 4 3" xfId="5368" xr:uid="{00000000-0005-0000-0000-0000EE020000}"/>
    <cellStyle name="20% - Accent5 3 4 3 2" xfId="13818" xr:uid="{63770150-21E7-4291-8424-63E16C20DDB9}"/>
    <cellStyle name="20% - Accent5 3 4 3 3" xfId="22265" xr:uid="{5B2D20D0-7EF7-4877-924A-9D2C9259FE7A}"/>
    <cellStyle name="20% - Accent5 3 4 4" xfId="9600" xr:uid="{8885E713-9790-416D-91F4-C563AC378FF8}"/>
    <cellStyle name="20% - Accent5 3 4 5" xfId="18048" xr:uid="{6FC1E15A-9300-4B85-98DF-54C66DC60C98}"/>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D12B9C60-90F1-4507-B44C-555A97C9F324}"/>
    <cellStyle name="20% - Accent5 3 5 2 2 3" xfId="24823" xr:uid="{CF18CE61-0A86-49A3-B4A0-C25530BE1BB9}"/>
    <cellStyle name="20% - Accent5 3 5 2 3" xfId="12158" xr:uid="{209861C8-F383-4033-B6C4-BAA085A74314}"/>
    <cellStyle name="20% - Accent5 3 5 2 4" xfId="20606" xr:uid="{5C218AFB-AFD4-4B7C-A15F-71C2CC359DBC}"/>
    <cellStyle name="20% - Accent5 3 5 3" xfId="5781" xr:uid="{00000000-0005-0000-0000-0000F2020000}"/>
    <cellStyle name="20% - Accent5 3 5 3 2" xfId="14231" xr:uid="{01F5F706-F5CF-4751-B163-88218DBD26B8}"/>
    <cellStyle name="20% - Accent5 3 5 3 3" xfId="22678" xr:uid="{01120947-D886-4E2B-BBC0-E30CD400620F}"/>
    <cellStyle name="20% - Accent5 3 5 4" xfId="10013" xr:uid="{D08DE999-CD5F-47DB-8353-FF18D66B520F}"/>
    <cellStyle name="20% - Accent5 3 5 5" xfId="18461" xr:uid="{6D2D7FB8-4595-463C-8085-A6DA8DD58C10}"/>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8E5497C8-7ED1-4146-87D4-B038A3605CDB}"/>
    <cellStyle name="20% - Accent5 3 6 2 2 3" xfId="25236" xr:uid="{A20B27E5-88EA-4EBA-9431-CD969B27DB02}"/>
    <cellStyle name="20% - Accent5 3 6 2 3" xfId="12571" xr:uid="{EBAF2E4C-50B9-47C1-9B08-B0A819D06BED}"/>
    <cellStyle name="20% - Accent5 3 6 2 4" xfId="21019" xr:uid="{3CE59996-F180-4B2D-A2DA-96EC8D673C92}"/>
    <cellStyle name="20% - Accent5 3 6 3" xfId="6194" xr:uid="{00000000-0005-0000-0000-0000F6020000}"/>
    <cellStyle name="20% - Accent5 3 6 3 2" xfId="14644" xr:uid="{A1CDBE8E-4418-4645-9019-15B20A00E8ED}"/>
    <cellStyle name="20% - Accent5 3 6 3 3" xfId="23091" xr:uid="{6F8D3D6A-1AA1-47BB-882A-0BF916335E54}"/>
    <cellStyle name="20% - Accent5 3 6 4" xfId="10426" xr:uid="{8786B5B7-92B5-43AC-A6FA-6920ACC1E30A}"/>
    <cellStyle name="20% - Accent5 3 6 5" xfId="18874" xr:uid="{BDFBD52E-DA1B-4A47-8DB4-6DB483076F6C}"/>
    <cellStyle name="20% - Accent5 3 7" xfId="2301" xr:uid="{00000000-0005-0000-0000-0000F7020000}"/>
    <cellStyle name="20% - Accent5 3 7 2" xfId="6607" xr:uid="{00000000-0005-0000-0000-0000F8020000}"/>
    <cellStyle name="20% - Accent5 3 7 2 2" xfId="15057" xr:uid="{3ED2A64E-6F1E-44FD-99E3-D735C7880084}"/>
    <cellStyle name="20% - Accent5 3 7 2 3" xfId="23504" xr:uid="{1014907D-AFEB-41BE-AADD-088F8EA54AFE}"/>
    <cellStyle name="20% - Accent5 3 7 3" xfId="10839" xr:uid="{3EF76323-56E6-4D2D-9DA4-58A3D59A67B4}"/>
    <cellStyle name="20% - Accent5 3 7 4" xfId="19287" xr:uid="{10A2BCFA-70F0-4D6D-8EB9-7E3ABB3BECB0}"/>
    <cellStyle name="20% - Accent5 3 8" xfId="4541" xr:uid="{00000000-0005-0000-0000-0000F9020000}"/>
    <cellStyle name="20% - Accent5 3 8 2" xfId="12991" xr:uid="{9BBF2907-64DA-4246-886A-1CBB6A4C15B7}"/>
    <cellStyle name="20% - Accent5 3 8 3" xfId="21438" xr:uid="{D4022BA4-8E32-4888-A945-ABE8BC5EF5DB}"/>
    <cellStyle name="20% - Accent5 3 9" xfId="8773" xr:uid="{CA803145-9198-49BC-B95E-68D6DDF10B3E}"/>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35320B5C-020A-4E70-A77E-3C27E75205E3}"/>
    <cellStyle name="20% - Accent5 4 2 2 2 3" xfId="23999" xr:uid="{2224985E-FC2B-4FF0-B1F3-4BAD37D20798}"/>
    <cellStyle name="20% - Accent5 4 2 2 3" xfId="11334" xr:uid="{D18226FA-C8B0-4964-8C97-3FF201FC4C1B}"/>
    <cellStyle name="20% - Accent5 4 2 2 4" xfId="19782" xr:uid="{D5C4FC4F-266B-4E4E-94B8-8C972C316344}"/>
    <cellStyle name="20% - Accent5 4 2 3" xfId="4957" xr:uid="{00000000-0005-0000-0000-0000FE020000}"/>
    <cellStyle name="20% - Accent5 4 2 3 2" xfId="13407" xr:uid="{FF554D56-5B0E-4DDA-9F83-B56D88B678A1}"/>
    <cellStyle name="20% - Accent5 4 2 3 3" xfId="21854" xr:uid="{274932C5-D880-405C-9FC3-02C8589031F6}"/>
    <cellStyle name="20% - Accent5 4 2 4" xfId="9189" xr:uid="{05320B0B-4CFF-488B-ACE6-6993883FD063}"/>
    <cellStyle name="20% - Accent5 4 2 5" xfId="17637" xr:uid="{EBE3EF69-BB60-4A91-BF88-FE5A262BBE6D}"/>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E05E422D-21D1-48CF-A227-01ED1DB35A21}"/>
    <cellStyle name="20% - Accent5 4 3 2 2 3" xfId="24412" xr:uid="{F04CB516-F263-442F-A712-B66C65CFB5A9}"/>
    <cellStyle name="20% - Accent5 4 3 2 3" xfId="11747" xr:uid="{FFDF5269-8754-4875-96F9-7AFFB9BE7C6B}"/>
    <cellStyle name="20% - Accent5 4 3 2 4" xfId="20195" xr:uid="{FAFDBFB5-F196-47A6-9E6E-C8C083BEBFB6}"/>
    <cellStyle name="20% - Accent5 4 3 3" xfId="5370" xr:uid="{00000000-0005-0000-0000-000002030000}"/>
    <cellStyle name="20% - Accent5 4 3 3 2" xfId="13820" xr:uid="{017DC83C-A55C-42C2-8B84-4FAD528FC7C8}"/>
    <cellStyle name="20% - Accent5 4 3 3 3" xfId="22267" xr:uid="{2D138494-130F-4D75-ADE7-B4599256FDB1}"/>
    <cellStyle name="20% - Accent5 4 3 4" xfId="9602" xr:uid="{91C6DD88-4814-42CB-9B1B-4EEF3E5932C9}"/>
    <cellStyle name="20% - Accent5 4 3 5" xfId="18050" xr:uid="{308A613A-7F8D-40C9-9D87-2BB997B418C9}"/>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65559654-E1E6-4449-838C-D2C2BB78A724}"/>
    <cellStyle name="20% - Accent5 4 4 2 2 3" xfId="24825" xr:uid="{48C72A94-D973-4D6B-8077-97F7488FB110}"/>
    <cellStyle name="20% - Accent5 4 4 2 3" xfId="12160" xr:uid="{C0378C68-F5D4-485A-9D0E-402E65DFD975}"/>
    <cellStyle name="20% - Accent5 4 4 2 4" xfId="20608" xr:uid="{B34B4E5D-D443-4A45-9AA3-E365D41258F9}"/>
    <cellStyle name="20% - Accent5 4 4 3" xfId="5783" xr:uid="{00000000-0005-0000-0000-000006030000}"/>
    <cellStyle name="20% - Accent5 4 4 3 2" xfId="14233" xr:uid="{694086F8-E7CF-4566-8680-0903EF3C7575}"/>
    <cellStyle name="20% - Accent5 4 4 3 3" xfId="22680" xr:uid="{AFD2D547-ABAF-41B8-8778-A8900BA9D8FA}"/>
    <cellStyle name="20% - Accent5 4 4 4" xfId="10015" xr:uid="{0C2D5A2A-387F-487A-9D57-2F30E5B21FD0}"/>
    <cellStyle name="20% - Accent5 4 4 5" xfId="18463" xr:uid="{8C8B574C-2360-4BAF-811F-1CB87FC2AF8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ECD4345C-3BA6-48AD-9A27-4A12F8BB377C}"/>
    <cellStyle name="20% - Accent5 4 5 2 2 3" xfId="25238" xr:uid="{63EDE8CD-F5B4-48F9-93CC-37B6BC7BB098}"/>
    <cellStyle name="20% - Accent5 4 5 2 3" xfId="12573" xr:uid="{A4606FEC-7BBF-4DF6-B4AA-A1D394188534}"/>
    <cellStyle name="20% - Accent5 4 5 2 4" xfId="21021" xr:uid="{6375839F-43E7-459D-A2A8-398754E058C8}"/>
    <cellStyle name="20% - Accent5 4 5 3" xfId="6196" xr:uid="{00000000-0005-0000-0000-00000A030000}"/>
    <cellStyle name="20% - Accent5 4 5 3 2" xfId="14646" xr:uid="{25F1DBFB-44BA-4E82-B47E-1798A11F7B4F}"/>
    <cellStyle name="20% - Accent5 4 5 3 3" xfId="23093" xr:uid="{1BEFD6AA-F79E-4C7E-B96A-8C4E4119F678}"/>
    <cellStyle name="20% - Accent5 4 5 4" xfId="10428" xr:uid="{5FEBAEC5-F8CB-4A37-AC1D-D1FAF37167D1}"/>
    <cellStyle name="20% - Accent5 4 5 5" xfId="18876" xr:uid="{3A9881AE-9840-4D1A-BB07-8F5754D4C7F8}"/>
    <cellStyle name="20% - Accent5 4 6" xfId="2303" xr:uid="{00000000-0005-0000-0000-00000B030000}"/>
    <cellStyle name="20% - Accent5 4 6 2" xfId="6609" xr:uid="{00000000-0005-0000-0000-00000C030000}"/>
    <cellStyle name="20% - Accent5 4 6 2 2" xfId="15059" xr:uid="{CDF08DBE-24DA-499C-A068-D395A4951B24}"/>
    <cellStyle name="20% - Accent5 4 6 2 3" xfId="23506" xr:uid="{AE4067C6-931D-4722-AE32-67FAD334B935}"/>
    <cellStyle name="20% - Accent5 4 6 3" xfId="10841" xr:uid="{469C5990-DB10-40D2-A9A2-A8AA8B498668}"/>
    <cellStyle name="20% - Accent5 4 6 4" xfId="19289" xr:uid="{470A0FC8-0760-4DCF-9C73-BBAF66660731}"/>
    <cellStyle name="20% - Accent5 4 7" xfId="4543" xr:uid="{00000000-0005-0000-0000-00000D030000}"/>
    <cellStyle name="20% - Accent5 4 7 2" xfId="12993" xr:uid="{55A9A04A-F49F-48D5-8084-1231FDFB121D}"/>
    <cellStyle name="20% - Accent5 4 7 3" xfId="21440" xr:uid="{F098C040-503B-40E7-9D12-B2654CB5C370}"/>
    <cellStyle name="20% - Accent5 4 8" xfId="8775" xr:uid="{84ACA45D-2AB3-4B9E-A0A0-0B2AB1E76656}"/>
    <cellStyle name="20% - Accent5 4 9" xfId="17223" xr:uid="{E3936C4F-8865-4CED-B9C9-326028C1DB8B}"/>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E54C901D-4785-4781-AD9D-33FC263B28FD}"/>
    <cellStyle name="20% - Accent5 5 2 2 3" xfId="23992" xr:uid="{B86F14C5-EEB5-4758-A36D-FAC94C4B6C40}"/>
    <cellStyle name="20% - Accent5 5 2 3" xfId="11327" xr:uid="{CBA3D876-F8A8-4ED7-926D-A85641796680}"/>
    <cellStyle name="20% - Accent5 5 2 4" xfId="19775" xr:uid="{AAA75C31-C149-4A69-9629-093924155845}"/>
    <cellStyle name="20% - Accent5 5 3" xfId="4950" xr:uid="{00000000-0005-0000-0000-000011030000}"/>
    <cellStyle name="20% - Accent5 5 3 2" xfId="13400" xr:uid="{3790C2C6-F94E-45A7-B784-D4638AB5E213}"/>
    <cellStyle name="20% - Accent5 5 3 3" xfId="21847" xr:uid="{CE84EE89-7C6A-4C4E-A8BA-6693CD884E65}"/>
    <cellStyle name="20% - Accent5 5 4" xfId="9182" xr:uid="{DBA60CDE-78B6-4D8D-971C-775DEEC5CC04}"/>
    <cellStyle name="20% - Accent5 5 5" xfId="17630" xr:uid="{428DDD03-2F96-414B-BF38-4EF4EDA5C5CA}"/>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FD9CC91E-6CB8-4649-99AD-54EF0CB53083}"/>
    <cellStyle name="20% - Accent5 6 2 2 3" xfId="24405" xr:uid="{E17FD592-55A8-4C9E-926A-3D8CB1C61E54}"/>
    <cellStyle name="20% - Accent5 6 2 3" xfId="11740" xr:uid="{DD3DDE2D-CF90-493F-9E3F-6AA69619DECF}"/>
    <cellStyle name="20% - Accent5 6 2 4" xfId="20188" xr:uid="{61B1110B-7691-4610-B041-B177B6947213}"/>
    <cellStyle name="20% - Accent5 6 3" xfId="5363" xr:uid="{00000000-0005-0000-0000-000015030000}"/>
    <cellStyle name="20% - Accent5 6 3 2" xfId="13813" xr:uid="{F30CF179-510C-4180-B78C-5A7787D40855}"/>
    <cellStyle name="20% - Accent5 6 3 3" xfId="22260" xr:uid="{5D078623-C22F-46A4-929E-408B8D77EF8A}"/>
    <cellStyle name="20% - Accent5 6 4" xfId="9595" xr:uid="{6EDEBC2F-B3C3-4F06-9032-6A73C963F589}"/>
    <cellStyle name="20% - Accent5 6 5" xfId="18043" xr:uid="{F1327E44-00B3-4E64-9002-A7B5B954C988}"/>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344FCA65-0AFF-4D27-9D2E-6DD6E0BFC2E4}"/>
    <cellStyle name="20% - Accent5 7 2 2 3" xfId="24818" xr:uid="{50CC9B8D-B56C-475D-8CC2-5E5C3FE9AC4C}"/>
    <cellStyle name="20% - Accent5 7 2 3" xfId="12153" xr:uid="{4CE40059-7C9C-433E-BC46-267E7342469B}"/>
    <cellStyle name="20% - Accent5 7 2 4" xfId="20601" xr:uid="{D4E4A99F-C5BC-41B2-BACA-93DA9BC78FC6}"/>
    <cellStyle name="20% - Accent5 7 3" xfId="5776" xr:uid="{00000000-0005-0000-0000-000019030000}"/>
    <cellStyle name="20% - Accent5 7 3 2" xfId="14226" xr:uid="{9F53CCC2-9A0E-488F-B91D-9E0B972C6240}"/>
    <cellStyle name="20% - Accent5 7 3 3" xfId="22673" xr:uid="{61E53514-E589-4F5B-8B2E-AFA0E85DDF67}"/>
    <cellStyle name="20% - Accent5 7 4" xfId="10008" xr:uid="{8F69E81F-C167-4DD4-AC4B-86067E4D51D1}"/>
    <cellStyle name="20% - Accent5 7 5" xfId="18456" xr:uid="{64F3312D-047D-416F-9439-541EF4FECE6A}"/>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69FEECCD-FB66-4B9C-B055-721F383308F7}"/>
    <cellStyle name="20% - Accent5 8 2 2 3" xfId="25231" xr:uid="{BE3F27FC-9E20-4B07-BD01-313FC18F9811}"/>
    <cellStyle name="20% - Accent5 8 2 3" xfId="12566" xr:uid="{35A32F5C-B5C3-423E-9B66-3FF99998D05E}"/>
    <cellStyle name="20% - Accent5 8 2 4" xfId="21014" xr:uid="{80613984-B2A8-41B3-A518-22C4233D3C3D}"/>
    <cellStyle name="20% - Accent5 8 3" xfId="6189" xr:uid="{00000000-0005-0000-0000-00001D030000}"/>
    <cellStyle name="20% - Accent5 8 3 2" xfId="14639" xr:uid="{1284C66D-009E-45A8-A901-CF8A338FC633}"/>
    <cellStyle name="20% - Accent5 8 3 3" xfId="23086" xr:uid="{6BF38E9E-87EA-4FDB-821C-C3420996B003}"/>
    <cellStyle name="20% - Accent5 8 4" xfId="10421" xr:uid="{D76FFE36-2412-4CDE-93F0-7248CB871F17}"/>
    <cellStyle name="20% - Accent5 8 5" xfId="18869" xr:uid="{B856B689-6364-48BD-9D9D-EB4DC0D3D434}"/>
    <cellStyle name="20% - Accent5 9" xfId="2296" xr:uid="{00000000-0005-0000-0000-00001E030000}"/>
    <cellStyle name="20% - Accent5 9 2" xfId="6602" xr:uid="{00000000-0005-0000-0000-00001F030000}"/>
    <cellStyle name="20% - Accent5 9 2 2" xfId="15052" xr:uid="{EB9544D0-E36C-4354-8A87-5BE635809074}"/>
    <cellStyle name="20% - Accent5 9 2 3" xfId="23499" xr:uid="{11DFBF73-E75B-4EBB-A7C9-89C34A6D6602}"/>
    <cellStyle name="20% - Accent5 9 3" xfId="10834" xr:uid="{55E0AF8C-D3F8-42FA-B493-A9F1D46184F6}"/>
    <cellStyle name="20% - Accent5 9 4" xfId="19282" xr:uid="{6F6A6EB2-E6F3-4B16-9EAF-EE54E28EAEAE}"/>
    <cellStyle name="20% - Accent6" xfId="41" builtinId="50" customBuiltin="1"/>
    <cellStyle name="20% - Accent6 10" xfId="4544" xr:uid="{00000000-0005-0000-0000-000021030000}"/>
    <cellStyle name="20% - Accent6 10 2" xfId="12994" xr:uid="{B34A9F5C-6A00-4904-A216-533918D9C58A}"/>
    <cellStyle name="20% - Accent6 10 3" xfId="21441" xr:uid="{464ABC7F-F500-4994-BC1B-8B303D1E702A}"/>
    <cellStyle name="20% - Accent6 11" xfId="8776" xr:uid="{C581B6D0-17B8-40A9-ABF2-88E79D9F416A}"/>
    <cellStyle name="20% - Accent6 12" xfId="17224" xr:uid="{17AFA3B4-083F-4749-A872-7ADBB4EAB530}"/>
    <cellStyle name="20% - Accent6 2" xfId="42" xr:uid="{00000000-0005-0000-0000-000022030000}"/>
    <cellStyle name="20% - Accent6 2 10" xfId="8777" xr:uid="{5CFC4788-C928-49A1-81C4-F07A45A7FF3D}"/>
    <cellStyle name="20% - Accent6 2 11" xfId="17225" xr:uid="{995939CC-21DC-46DC-B95B-203581D211A7}"/>
    <cellStyle name="20% - Accent6 2 2" xfId="43" xr:uid="{00000000-0005-0000-0000-000023030000}"/>
    <cellStyle name="20% - Accent6 2 2 10" xfId="17226" xr:uid="{FCB95619-BB1C-4359-A9E0-7BA40638E9C2}"/>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BED372DA-B622-4BB1-9C03-3266B10E293A}"/>
    <cellStyle name="20% - Accent6 2 2 2 2 2 2 3" xfId="24003" xr:uid="{D9B829A2-EC4B-4EC0-8D2D-DAECE4C22E43}"/>
    <cellStyle name="20% - Accent6 2 2 2 2 2 3" xfId="11338" xr:uid="{5F8CB4F6-A9EA-4437-9CF4-3ED5EFA69C57}"/>
    <cellStyle name="20% - Accent6 2 2 2 2 2 4" xfId="19786" xr:uid="{E0906B98-F09B-493C-9339-B1DBB284BCA5}"/>
    <cellStyle name="20% - Accent6 2 2 2 2 3" xfId="4961" xr:uid="{00000000-0005-0000-0000-000028030000}"/>
    <cellStyle name="20% - Accent6 2 2 2 2 3 2" xfId="13411" xr:uid="{2954F413-C842-43B7-8C26-47F6EF5C0AF5}"/>
    <cellStyle name="20% - Accent6 2 2 2 2 3 3" xfId="21858" xr:uid="{C7C96701-8DEE-4CD0-B748-566242E1D81C}"/>
    <cellStyle name="20% - Accent6 2 2 2 2 4" xfId="9193" xr:uid="{8920A751-47A9-4C6F-955A-787CE2154364}"/>
    <cellStyle name="20% - Accent6 2 2 2 2 5" xfId="17641" xr:uid="{43A10682-8871-4E10-A54E-39E37F342F1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B5384745-2050-4918-822C-B511D6AC277F}"/>
    <cellStyle name="20% - Accent6 2 2 2 3 2 2 3" xfId="24416" xr:uid="{7A30DAC0-8E7C-4C8C-8183-C67AC49CD18E}"/>
    <cellStyle name="20% - Accent6 2 2 2 3 2 3" xfId="11751" xr:uid="{EBF6BCF7-DA82-4E9A-81D5-4C52F2CAE288}"/>
    <cellStyle name="20% - Accent6 2 2 2 3 2 4" xfId="20199" xr:uid="{F3A993EA-F733-4544-98C5-748EC011C5F1}"/>
    <cellStyle name="20% - Accent6 2 2 2 3 3" xfId="5374" xr:uid="{00000000-0005-0000-0000-00002C030000}"/>
    <cellStyle name="20% - Accent6 2 2 2 3 3 2" xfId="13824" xr:uid="{9D7001CB-6E48-42E7-BFB2-61BFB862C691}"/>
    <cellStyle name="20% - Accent6 2 2 2 3 3 3" xfId="22271" xr:uid="{B5BBE59D-F5D6-4E95-980D-1B5476B3BB9A}"/>
    <cellStyle name="20% - Accent6 2 2 2 3 4" xfId="9606" xr:uid="{25035E32-930E-4912-8A28-6014EF44E168}"/>
    <cellStyle name="20% - Accent6 2 2 2 3 5" xfId="18054" xr:uid="{C0274744-1BAC-4B91-B32A-616795182DD7}"/>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479D7CBC-7AB9-4453-A069-F4FF9F89514D}"/>
    <cellStyle name="20% - Accent6 2 2 2 4 2 2 3" xfId="24829" xr:uid="{C91D555A-B8E4-46D6-B795-4BD8D84F8AE9}"/>
    <cellStyle name="20% - Accent6 2 2 2 4 2 3" xfId="12164" xr:uid="{DE35AC76-3B99-4F95-909F-A450B1C6CDA6}"/>
    <cellStyle name="20% - Accent6 2 2 2 4 2 4" xfId="20612" xr:uid="{89BF00A7-5280-4C1C-9BC3-BAAC0AC2FBA6}"/>
    <cellStyle name="20% - Accent6 2 2 2 4 3" xfId="5787" xr:uid="{00000000-0005-0000-0000-000030030000}"/>
    <cellStyle name="20% - Accent6 2 2 2 4 3 2" xfId="14237" xr:uid="{62E79439-240C-4C34-80AF-4D51195CD9E2}"/>
    <cellStyle name="20% - Accent6 2 2 2 4 3 3" xfId="22684" xr:uid="{423B3789-C1B4-4B87-B279-25483866DF42}"/>
    <cellStyle name="20% - Accent6 2 2 2 4 4" xfId="10019" xr:uid="{5D9D61F4-A634-4EF0-A22E-6B09D1B31B20}"/>
    <cellStyle name="20% - Accent6 2 2 2 4 5" xfId="18467" xr:uid="{254E4058-CDEF-4F3F-8170-215B19993673}"/>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591D5B07-0345-49D8-B2BC-1AFC8C7A1332}"/>
    <cellStyle name="20% - Accent6 2 2 2 5 2 2 3" xfId="25242" xr:uid="{FF13709C-DC42-45F9-A09A-70F51349D715}"/>
    <cellStyle name="20% - Accent6 2 2 2 5 2 3" xfId="12577" xr:uid="{6C016760-A831-46DA-9988-9DBA75976093}"/>
    <cellStyle name="20% - Accent6 2 2 2 5 2 4" xfId="21025" xr:uid="{5C21E171-CA38-4CDD-AB86-2BACCDD08254}"/>
    <cellStyle name="20% - Accent6 2 2 2 5 3" xfId="6200" xr:uid="{00000000-0005-0000-0000-000034030000}"/>
    <cellStyle name="20% - Accent6 2 2 2 5 3 2" xfId="14650" xr:uid="{84297345-50A0-4D03-8C44-D6533C480643}"/>
    <cellStyle name="20% - Accent6 2 2 2 5 3 3" xfId="23097" xr:uid="{E0F69AE8-8C46-4BEC-A07E-7758611B78AF}"/>
    <cellStyle name="20% - Accent6 2 2 2 5 4" xfId="10432" xr:uid="{CC79AADC-FE8F-41F6-B72F-CFB60337592D}"/>
    <cellStyle name="20% - Accent6 2 2 2 5 5" xfId="18880" xr:uid="{45F54ACD-7B9B-46BD-A379-3E2268E55A8C}"/>
    <cellStyle name="20% - Accent6 2 2 2 6" xfId="2307" xr:uid="{00000000-0005-0000-0000-000035030000}"/>
    <cellStyle name="20% - Accent6 2 2 2 6 2" xfId="6613" xr:uid="{00000000-0005-0000-0000-000036030000}"/>
    <cellStyle name="20% - Accent6 2 2 2 6 2 2" xfId="15063" xr:uid="{F2CF34AD-0C79-417E-9BF1-125412A4A61C}"/>
    <cellStyle name="20% - Accent6 2 2 2 6 2 3" xfId="23510" xr:uid="{796667EB-84F8-413D-9816-DD77441A5E8B}"/>
    <cellStyle name="20% - Accent6 2 2 2 6 3" xfId="10845" xr:uid="{2805430C-1700-49A9-98E1-95023AC8C9D6}"/>
    <cellStyle name="20% - Accent6 2 2 2 6 4" xfId="19293" xr:uid="{2D384582-BD5B-496C-B7CB-FDDC9B863365}"/>
    <cellStyle name="20% - Accent6 2 2 2 7" xfId="4547" xr:uid="{00000000-0005-0000-0000-000037030000}"/>
    <cellStyle name="20% - Accent6 2 2 2 7 2" xfId="12997" xr:uid="{88A66300-DB36-4B22-9274-8E2A60F4F8A2}"/>
    <cellStyle name="20% - Accent6 2 2 2 7 3" xfId="21444" xr:uid="{4B960CEA-4A27-4483-B06D-DC44D8C342F1}"/>
    <cellStyle name="20% - Accent6 2 2 2 8" xfId="8779" xr:uid="{F6E083A7-CC92-4675-A315-C44AB8F79C8A}"/>
    <cellStyle name="20% - Accent6 2 2 2 9" xfId="17227" xr:uid="{5A182958-F193-411E-AF0E-EA13D2AE62A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F22E6A26-E88C-469C-809B-8A88513193F9}"/>
    <cellStyle name="20% - Accent6 2 2 3 2 2 3" xfId="24002" xr:uid="{B34B92F2-B389-46A8-BAD5-F32DFB78D590}"/>
    <cellStyle name="20% - Accent6 2 2 3 2 3" xfId="11337" xr:uid="{760108C8-34CE-4676-8DB4-CDDCE5E5FD8D}"/>
    <cellStyle name="20% - Accent6 2 2 3 2 4" xfId="19785" xr:uid="{0159A817-D364-4DFB-8E82-D6205A402E38}"/>
    <cellStyle name="20% - Accent6 2 2 3 3" xfId="4960" xr:uid="{00000000-0005-0000-0000-00003B030000}"/>
    <cellStyle name="20% - Accent6 2 2 3 3 2" xfId="13410" xr:uid="{309B69F6-8B18-4A77-B58A-169ADC24295A}"/>
    <cellStyle name="20% - Accent6 2 2 3 3 3" xfId="21857" xr:uid="{EECCFE1F-FCF1-4F7E-8531-6A7E82BE0664}"/>
    <cellStyle name="20% - Accent6 2 2 3 4" xfId="9192" xr:uid="{84072D3B-97C0-4807-AE64-9719D1A1243A}"/>
    <cellStyle name="20% - Accent6 2 2 3 5" xfId="17640" xr:uid="{CF9CE122-5CDA-463A-B872-AAFEC10DB383}"/>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98FD97C9-6858-4D34-A925-5B5497AAC9F6}"/>
    <cellStyle name="20% - Accent6 2 2 4 2 2 3" xfId="24415" xr:uid="{3DC90878-4C20-447E-B5F9-578BB565C60E}"/>
    <cellStyle name="20% - Accent6 2 2 4 2 3" xfId="11750" xr:uid="{76607E51-667B-4D2B-9C10-7E3819E87ABC}"/>
    <cellStyle name="20% - Accent6 2 2 4 2 4" xfId="20198" xr:uid="{43F67382-5ED0-4242-8DA7-1DD5DF977C42}"/>
    <cellStyle name="20% - Accent6 2 2 4 3" xfId="5373" xr:uid="{00000000-0005-0000-0000-00003F030000}"/>
    <cellStyle name="20% - Accent6 2 2 4 3 2" xfId="13823" xr:uid="{9B6AC84E-67E5-4D3F-ACB9-0A68F07C046D}"/>
    <cellStyle name="20% - Accent6 2 2 4 3 3" xfId="22270" xr:uid="{B087B044-8A04-42BC-B384-2AEDA0311BF5}"/>
    <cellStyle name="20% - Accent6 2 2 4 4" xfId="9605" xr:uid="{377A7E27-D4BB-44E1-B0B7-8C0B9EC08B37}"/>
    <cellStyle name="20% - Accent6 2 2 4 5" xfId="18053" xr:uid="{FAA8ABE4-1516-401E-8B46-958A4DD77CF3}"/>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E842B58F-7495-4397-ACEF-AA70F281A4E2}"/>
    <cellStyle name="20% - Accent6 2 2 5 2 2 3" xfId="24828" xr:uid="{E793246E-EBD7-454C-A930-D5226F63513F}"/>
    <cellStyle name="20% - Accent6 2 2 5 2 3" xfId="12163" xr:uid="{05336D62-B911-4B99-A3B6-53024BBB635A}"/>
    <cellStyle name="20% - Accent6 2 2 5 2 4" xfId="20611" xr:uid="{55E4FF3F-1580-4605-B2DD-1B024EDDE838}"/>
    <cellStyle name="20% - Accent6 2 2 5 3" xfId="5786" xr:uid="{00000000-0005-0000-0000-000043030000}"/>
    <cellStyle name="20% - Accent6 2 2 5 3 2" xfId="14236" xr:uid="{31AE3EDB-DA0E-49B7-AD94-3EC038B12599}"/>
    <cellStyle name="20% - Accent6 2 2 5 3 3" xfId="22683" xr:uid="{0D6AAC08-AC74-42FF-92E9-CED70CC2A8CF}"/>
    <cellStyle name="20% - Accent6 2 2 5 4" xfId="10018" xr:uid="{72C065F7-8CFC-4864-BD7E-D32C2686B4D8}"/>
    <cellStyle name="20% - Accent6 2 2 5 5" xfId="18466" xr:uid="{754CE849-C9BB-421A-A205-F43409585AA4}"/>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5F2CE5E7-BE19-4845-B845-69FEA036907F}"/>
    <cellStyle name="20% - Accent6 2 2 6 2 2 3" xfId="25241" xr:uid="{977A6D33-260F-489E-8748-791F29846F53}"/>
    <cellStyle name="20% - Accent6 2 2 6 2 3" xfId="12576" xr:uid="{AF9DCFA4-5157-4C81-B1E8-C35E8963F82D}"/>
    <cellStyle name="20% - Accent6 2 2 6 2 4" xfId="21024" xr:uid="{6140CCAA-3846-4C43-9EEC-E5E26F31F431}"/>
    <cellStyle name="20% - Accent6 2 2 6 3" xfId="6199" xr:uid="{00000000-0005-0000-0000-000047030000}"/>
    <cellStyle name="20% - Accent6 2 2 6 3 2" xfId="14649" xr:uid="{BB8EB20B-F23C-42F4-A81F-DBD5687347D1}"/>
    <cellStyle name="20% - Accent6 2 2 6 3 3" xfId="23096" xr:uid="{DDEB152B-8F79-4781-B38E-B4BE85D3CEC1}"/>
    <cellStyle name="20% - Accent6 2 2 6 4" xfId="10431" xr:uid="{043A3722-572F-4F37-969D-CBD1FF72A00E}"/>
    <cellStyle name="20% - Accent6 2 2 6 5" xfId="18879" xr:uid="{39F65BC5-29EC-4FD8-A3CC-73504AD06898}"/>
    <cellStyle name="20% - Accent6 2 2 7" xfId="2306" xr:uid="{00000000-0005-0000-0000-000048030000}"/>
    <cellStyle name="20% - Accent6 2 2 7 2" xfId="6612" xr:uid="{00000000-0005-0000-0000-000049030000}"/>
    <cellStyle name="20% - Accent6 2 2 7 2 2" xfId="15062" xr:uid="{0202BA4C-712F-4EFD-A9B8-523C47F8347C}"/>
    <cellStyle name="20% - Accent6 2 2 7 2 3" xfId="23509" xr:uid="{C3BE7361-4F79-4660-B7A5-959BEC104637}"/>
    <cellStyle name="20% - Accent6 2 2 7 3" xfId="10844" xr:uid="{465BBB10-53BF-4E79-8FF1-B9C01194D2F3}"/>
    <cellStyle name="20% - Accent6 2 2 7 4" xfId="19292" xr:uid="{5ED4BCB9-860E-4B8D-A416-CF39C0B5C4EC}"/>
    <cellStyle name="20% - Accent6 2 2 8" xfId="4546" xr:uid="{00000000-0005-0000-0000-00004A030000}"/>
    <cellStyle name="20% - Accent6 2 2 8 2" xfId="12996" xr:uid="{D31A2E62-311F-45EF-81A5-BB4187FC8AD7}"/>
    <cellStyle name="20% - Accent6 2 2 8 3" xfId="21443" xr:uid="{76439F66-8489-46C5-AD79-AE2EE5D3F5F1}"/>
    <cellStyle name="20% - Accent6 2 2 9" xfId="8778" xr:uid="{01825E0A-A2FC-42ED-BDC5-E13909B03DFE}"/>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62BEF5D4-4773-42D8-80BF-54DEA5D54E5A}"/>
    <cellStyle name="20% - Accent6 2 3 2 2 2 3" xfId="24004" xr:uid="{1D180863-120F-4F0F-8926-B3AEC587EFAE}"/>
    <cellStyle name="20% - Accent6 2 3 2 2 3" xfId="11339" xr:uid="{BAC1CF37-F92E-44BC-8804-87A7DC0F3FE9}"/>
    <cellStyle name="20% - Accent6 2 3 2 2 4" xfId="19787" xr:uid="{E40EE67A-B496-447A-B963-5F1E44F953C5}"/>
    <cellStyle name="20% - Accent6 2 3 2 3" xfId="4962" xr:uid="{00000000-0005-0000-0000-00004F030000}"/>
    <cellStyle name="20% - Accent6 2 3 2 3 2" xfId="13412" xr:uid="{77E196D4-0FB4-4F5B-95BF-B1D749099502}"/>
    <cellStyle name="20% - Accent6 2 3 2 3 3" xfId="21859" xr:uid="{B65DBF27-21DF-40A8-B332-16DE17807AD4}"/>
    <cellStyle name="20% - Accent6 2 3 2 4" xfId="9194" xr:uid="{0D35C8C0-B7EA-42E6-BED2-047FE5AB526D}"/>
    <cellStyle name="20% - Accent6 2 3 2 5" xfId="17642" xr:uid="{7AC7B714-929C-4420-96D3-E52C58593A62}"/>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08664C3C-0EBD-4D75-AFF2-BE09B8446CAE}"/>
    <cellStyle name="20% - Accent6 2 3 3 2 2 3" xfId="24417" xr:uid="{C75CB0E6-516D-4436-B8AF-D91FB2A3CE79}"/>
    <cellStyle name="20% - Accent6 2 3 3 2 3" xfId="11752" xr:uid="{286A4514-030B-4E60-B808-40120022FEC1}"/>
    <cellStyle name="20% - Accent6 2 3 3 2 4" xfId="20200" xr:uid="{5F5BAA5A-C91D-4B51-8E2E-EF93D83E1CCE}"/>
    <cellStyle name="20% - Accent6 2 3 3 3" xfId="5375" xr:uid="{00000000-0005-0000-0000-000053030000}"/>
    <cellStyle name="20% - Accent6 2 3 3 3 2" xfId="13825" xr:uid="{1D3BBC11-DC0D-48EC-B1A8-3B1C5EFBC5F2}"/>
    <cellStyle name="20% - Accent6 2 3 3 3 3" xfId="22272" xr:uid="{7166F172-9C85-4A05-AABE-85E0CFEA1119}"/>
    <cellStyle name="20% - Accent6 2 3 3 4" xfId="9607" xr:uid="{5878F0E8-C4A4-4D41-8646-B6A52CAFBD26}"/>
    <cellStyle name="20% - Accent6 2 3 3 5" xfId="18055" xr:uid="{316CF7DD-AA62-4B38-847E-3C3FBE24E24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2683F089-E6EB-47EE-9F2F-8F3EB2C6F57B}"/>
    <cellStyle name="20% - Accent6 2 3 4 2 2 3" xfId="24830" xr:uid="{994E7B7B-6385-4FA0-A496-0EE879736404}"/>
    <cellStyle name="20% - Accent6 2 3 4 2 3" xfId="12165" xr:uid="{900FDDF2-11D2-4245-8B08-373EDDA8A742}"/>
    <cellStyle name="20% - Accent6 2 3 4 2 4" xfId="20613" xr:uid="{D9AACBAA-F004-4F8E-B2C2-566B5778F4BD}"/>
    <cellStyle name="20% - Accent6 2 3 4 3" xfId="5788" xr:uid="{00000000-0005-0000-0000-000057030000}"/>
    <cellStyle name="20% - Accent6 2 3 4 3 2" xfId="14238" xr:uid="{0C36E2B3-6592-473D-86D3-E75C09E2B091}"/>
    <cellStyle name="20% - Accent6 2 3 4 3 3" xfId="22685" xr:uid="{6AE46712-3CFC-4157-9BE5-12A1CE67676E}"/>
    <cellStyle name="20% - Accent6 2 3 4 4" xfId="10020" xr:uid="{200FA770-668E-43FC-A6E4-2D8C04F5DA2A}"/>
    <cellStyle name="20% - Accent6 2 3 4 5" xfId="18468" xr:uid="{5605B25B-D1D2-4901-B845-B31504321ED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C4571C7B-DC8F-4E13-9CBE-F57782D6AFF8}"/>
    <cellStyle name="20% - Accent6 2 3 5 2 2 3" xfId="25243" xr:uid="{6BB6A850-DD47-4471-A5B7-C1F369A3176F}"/>
    <cellStyle name="20% - Accent6 2 3 5 2 3" xfId="12578" xr:uid="{BFBEE2F4-45A0-4BC4-B57A-2DD3E76F98B6}"/>
    <cellStyle name="20% - Accent6 2 3 5 2 4" xfId="21026" xr:uid="{E0E5670E-34B9-4485-BD18-83D071F14824}"/>
    <cellStyle name="20% - Accent6 2 3 5 3" xfId="6201" xr:uid="{00000000-0005-0000-0000-00005B030000}"/>
    <cellStyle name="20% - Accent6 2 3 5 3 2" xfId="14651" xr:uid="{956EA00B-4B49-4811-B60F-224671C47B5A}"/>
    <cellStyle name="20% - Accent6 2 3 5 3 3" xfId="23098" xr:uid="{E5FCAF47-3B97-4723-B18D-7D2AA9C85BAA}"/>
    <cellStyle name="20% - Accent6 2 3 5 4" xfId="10433" xr:uid="{A51BC618-FF74-44E8-A8CD-AB92940D0E19}"/>
    <cellStyle name="20% - Accent6 2 3 5 5" xfId="18881" xr:uid="{8A1E1AB3-B781-4449-8BB9-E2E8A3EDD9F0}"/>
    <cellStyle name="20% - Accent6 2 3 6" xfId="2308" xr:uid="{00000000-0005-0000-0000-00005C030000}"/>
    <cellStyle name="20% - Accent6 2 3 6 2" xfId="6614" xr:uid="{00000000-0005-0000-0000-00005D030000}"/>
    <cellStyle name="20% - Accent6 2 3 6 2 2" xfId="15064" xr:uid="{1084B2DD-C839-4D62-8CF0-A89FE9C29390}"/>
    <cellStyle name="20% - Accent6 2 3 6 2 3" xfId="23511" xr:uid="{172104C7-ADFA-440D-BCE1-ACA395703D23}"/>
    <cellStyle name="20% - Accent6 2 3 6 3" xfId="10846" xr:uid="{2017D59C-2356-411D-B167-39EAA51B3A0B}"/>
    <cellStyle name="20% - Accent6 2 3 6 4" xfId="19294" xr:uid="{348EB4B4-CEA6-4E32-BBF8-F5B59D7BCBA1}"/>
    <cellStyle name="20% - Accent6 2 3 7" xfId="4548" xr:uid="{00000000-0005-0000-0000-00005E030000}"/>
    <cellStyle name="20% - Accent6 2 3 7 2" xfId="12998" xr:uid="{F219A927-88F6-47FB-990B-E9582C65B7DC}"/>
    <cellStyle name="20% - Accent6 2 3 7 3" xfId="21445" xr:uid="{F3AD60D7-781B-492B-ADA5-C7B2A0CB0375}"/>
    <cellStyle name="20% - Accent6 2 3 8" xfId="8780" xr:uid="{9981C8FC-4AF7-4F83-97C2-FDE3CDF2E1A0}"/>
    <cellStyle name="20% - Accent6 2 3 9" xfId="17228" xr:uid="{DF188E1C-9634-4978-835C-EC85231B4523}"/>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D83A9EF3-A86D-4D3F-AFF7-3CBD400D8A25}"/>
    <cellStyle name="20% - Accent6 2 4 2 2 3" xfId="24001" xr:uid="{F136911E-68CD-438A-B888-C55224F3EF6B}"/>
    <cellStyle name="20% - Accent6 2 4 2 3" xfId="11336" xr:uid="{096B1064-1A24-4ABC-9CB1-D52BEE1F9A5B}"/>
    <cellStyle name="20% - Accent6 2 4 2 4" xfId="19784" xr:uid="{343AFE60-B04A-40BC-A5D9-BCBBAEF02429}"/>
    <cellStyle name="20% - Accent6 2 4 3" xfId="4959" xr:uid="{00000000-0005-0000-0000-000062030000}"/>
    <cellStyle name="20% - Accent6 2 4 3 2" xfId="13409" xr:uid="{EC4B6923-5F5C-4670-B9E5-FCF197002E21}"/>
    <cellStyle name="20% - Accent6 2 4 3 3" xfId="21856" xr:uid="{A58C8AC2-5E80-4CDD-A9C8-4D999D01C8FF}"/>
    <cellStyle name="20% - Accent6 2 4 4" xfId="9191" xr:uid="{3FA0AF78-DDBA-4183-A239-367CC0148333}"/>
    <cellStyle name="20% - Accent6 2 4 5" xfId="17639" xr:uid="{1718EB1F-5575-49DB-9221-87A06959D1D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69C58214-4185-4153-9ACC-C8A36A154B30}"/>
    <cellStyle name="20% - Accent6 2 5 2 2 3" xfId="24414" xr:uid="{4F771E5A-2E6A-4B57-A98D-F0CBCEDE5F20}"/>
    <cellStyle name="20% - Accent6 2 5 2 3" xfId="11749" xr:uid="{966FDF46-A2AE-4CD8-9B58-51A522AE63F8}"/>
    <cellStyle name="20% - Accent6 2 5 2 4" xfId="20197" xr:uid="{051F22E5-B192-4B0E-BEDC-C1C9727443C7}"/>
    <cellStyle name="20% - Accent6 2 5 3" xfId="5372" xr:uid="{00000000-0005-0000-0000-000066030000}"/>
    <cellStyle name="20% - Accent6 2 5 3 2" xfId="13822" xr:uid="{A85B498E-4352-4286-B254-C582AA9FE283}"/>
    <cellStyle name="20% - Accent6 2 5 3 3" xfId="22269" xr:uid="{C9585C1F-9E51-483D-B636-44DF69CBE8B4}"/>
    <cellStyle name="20% - Accent6 2 5 4" xfId="9604" xr:uid="{A23ED2EC-4BD0-4642-9407-EE40B8430A13}"/>
    <cellStyle name="20% - Accent6 2 5 5" xfId="18052" xr:uid="{C93D24AF-5039-4D45-B1FB-9F5BD9A09309}"/>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013DD74F-90BE-4C83-BE28-168CF17EE624}"/>
    <cellStyle name="20% - Accent6 2 6 2 2 3" xfId="24827" xr:uid="{7DC8E827-E501-46D8-8686-BE3CDE03884B}"/>
    <cellStyle name="20% - Accent6 2 6 2 3" xfId="12162" xr:uid="{2171CA00-338A-4E1F-9271-E6B87BD69BA4}"/>
    <cellStyle name="20% - Accent6 2 6 2 4" xfId="20610" xr:uid="{4D9EBB52-8CD6-4F7D-9CED-BC13CE9F6968}"/>
    <cellStyle name="20% - Accent6 2 6 3" xfId="5785" xr:uid="{00000000-0005-0000-0000-00006A030000}"/>
    <cellStyle name="20% - Accent6 2 6 3 2" xfId="14235" xr:uid="{FD4380A5-6DC6-40DD-980A-59BC2CD75A99}"/>
    <cellStyle name="20% - Accent6 2 6 3 3" xfId="22682" xr:uid="{6E0910E1-9565-470A-A1D4-F171253C0F46}"/>
    <cellStyle name="20% - Accent6 2 6 4" xfId="10017" xr:uid="{425ED44A-C4A5-41B4-9899-D567B6CD4F4D}"/>
    <cellStyle name="20% - Accent6 2 6 5" xfId="18465" xr:uid="{A2E529A8-22A2-48D0-BE87-7B2C82693BB6}"/>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49834509-2E90-46F2-9363-3AB58ED61F77}"/>
    <cellStyle name="20% - Accent6 2 7 2 2 3" xfId="25240" xr:uid="{2F34AEA7-4B73-4382-893B-85C7BBF37E8A}"/>
    <cellStyle name="20% - Accent6 2 7 2 3" xfId="12575" xr:uid="{2399A271-8944-46FC-ABD1-3E909D528643}"/>
    <cellStyle name="20% - Accent6 2 7 2 4" xfId="21023" xr:uid="{FBB92C3D-7606-4C07-B5A1-C38AED3BCAA7}"/>
    <cellStyle name="20% - Accent6 2 7 3" xfId="6198" xr:uid="{00000000-0005-0000-0000-00006E030000}"/>
    <cellStyle name="20% - Accent6 2 7 3 2" xfId="14648" xr:uid="{305AE571-9C38-4AE0-8D4F-2B09E752DF00}"/>
    <cellStyle name="20% - Accent6 2 7 3 3" xfId="23095" xr:uid="{18268B20-B7F2-47F7-92A5-EBFE99B510FA}"/>
    <cellStyle name="20% - Accent6 2 7 4" xfId="10430" xr:uid="{0BC437BF-45CF-412D-A6BD-152125F9D330}"/>
    <cellStyle name="20% - Accent6 2 7 5" xfId="18878" xr:uid="{24B5795E-AFCB-4554-8699-A68B03A54E57}"/>
    <cellStyle name="20% - Accent6 2 8" xfId="2305" xr:uid="{00000000-0005-0000-0000-00006F030000}"/>
    <cellStyle name="20% - Accent6 2 8 2" xfId="6611" xr:uid="{00000000-0005-0000-0000-000070030000}"/>
    <cellStyle name="20% - Accent6 2 8 2 2" xfId="15061" xr:uid="{CDBC40D7-C380-4606-B512-D57A9A12571D}"/>
    <cellStyle name="20% - Accent6 2 8 2 3" xfId="23508" xr:uid="{9741D519-2D98-43CA-A71B-82B5A76150BE}"/>
    <cellStyle name="20% - Accent6 2 8 3" xfId="10843" xr:uid="{3368A385-1760-4157-81AB-49381F6E6F25}"/>
    <cellStyle name="20% - Accent6 2 8 4" xfId="19291" xr:uid="{E02F91A8-BB72-43E8-A4B8-0851C29157F5}"/>
    <cellStyle name="20% - Accent6 2 9" xfId="4545" xr:uid="{00000000-0005-0000-0000-000071030000}"/>
    <cellStyle name="20% - Accent6 2 9 2" xfId="12995" xr:uid="{39D0F8A6-5EC3-4D5F-9FE0-9CA8A4D33B89}"/>
    <cellStyle name="20% - Accent6 2 9 3" xfId="21442" xr:uid="{4AA0018A-1E7E-48A9-8B6E-94EA3B7C83F1}"/>
    <cellStyle name="20% - Accent6 3" xfId="46" xr:uid="{00000000-0005-0000-0000-000072030000}"/>
    <cellStyle name="20% - Accent6 3 10" xfId="17229" xr:uid="{A638F871-A182-4CA5-8615-C4E95DC3052D}"/>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F4499B1B-B064-4834-B3D4-3F5758DA9B55}"/>
    <cellStyle name="20% - Accent6 3 2 2 2 2 3" xfId="24006" xr:uid="{18657BE5-EF63-47E4-A749-D214EF00EE1D}"/>
    <cellStyle name="20% - Accent6 3 2 2 2 3" xfId="11341" xr:uid="{2ACE7F4B-2D3D-4BCD-A7CC-3C8CADCCF4AA}"/>
    <cellStyle name="20% - Accent6 3 2 2 2 4" xfId="19789" xr:uid="{F025DA1C-109B-4333-8A38-5BD5317EA0ED}"/>
    <cellStyle name="20% - Accent6 3 2 2 3" xfId="4964" xr:uid="{00000000-0005-0000-0000-000077030000}"/>
    <cellStyle name="20% - Accent6 3 2 2 3 2" xfId="13414" xr:uid="{6B57B667-D67A-44A7-BE51-4EB10330B9B1}"/>
    <cellStyle name="20% - Accent6 3 2 2 3 3" xfId="21861" xr:uid="{23F8E199-9C4D-4507-BDF8-7EA1BBD0DA8E}"/>
    <cellStyle name="20% - Accent6 3 2 2 4" xfId="9196" xr:uid="{8A96DB2F-FC49-4E0F-A01B-E1098543DEB4}"/>
    <cellStyle name="20% - Accent6 3 2 2 5" xfId="17644" xr:uid="{B6296857-4C72-4A8C-8FD4-FD275A269027}"/>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7A34D43C-6FCA-4F22-9C81-F64B2617CFD9}"/>
    <cellStyle name="20% - Accent6 3 2 3 2 2 3" xfId="24419" xr:uid="{E2D015E7-444A-4D34-BA5D-7DFA66ABB780}"/>
    <cellStyle name="20% - Accent6 3 2 3 2 3" xfId="11754" xr:uid="{008826FE-A76C-4B9A-BFD5-630432E0F083}"/>
    <cellStyle name="20% - Accent6 3 2 3 2 4" xfId="20202" xr:uid="{330B090A-AC71-4B2B-9466-41F7034CB58E}"/>
    <cellStyle name="20% - Accent6 3 2 3 3" xfId="5377" xr:uid="{00000000-0005-0000-0000-00007B030000}"/>
    <cellStyle name="20% - Accent6 3 2 3 3 2" xfId="13827" xr:uid="{9D4468A8-3999-47D1-A33F-66AA22458B5B}"/>
    <cellStyle name="20% - Accent6 3 2 3 3 3" xfId="22274" xr:uid="{2A2B6A95-76DA-4444-A7DF-CEB643AD8448}"/>
    <cellStyle name="20% - Accent6 3 2 3 4" xfId="9609" xr:uid="{194CD1CD-6666-4CD1-8518-E650B519880C}"/>
    <cellStyle name="20% - Accent6 3 2 3 5" xfId="18057" xr:uid="{DD79B5C3-F462-4884-8E05-3A963E967F07}"/>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C6CC4B3E-B7BA-47E4-86FD-65DA83B8BB7D}"/>
    <cellStyle name="20% - Accent6 3 2 4 2 2 3" xfId="24832" xr:uid="{298B154E-C7CC-462F-9742-D1773F6E9769}"/>
    <cellStyle name="20% - Accent6 3 2 4 2 3" xfId="12167" xr:uid="{A9F5999F-F35D-4317-8BE3-C5B919BFE896}"/>
    <cellStyle name="20% - Accent6 3 2 4 2 4" xfId="20615" xr:uid="{1C136E2A-C6F2-47F1-8B21-937DC8A3B622}"/>
    <cellStyle name="20% - Accent6 3 2 4 3" xfId="5790" xr:uid="{00000000-0005-0000-0000-00007F030000}"/>
    <cellStyle name="20% - Accent6 3 2 4 3 2" xfId="14240" xr:uid="{FC9C835F-4898-4710-8C60-FE622574FC05}"/>
    <cellStyle name="20% - Accent6 3 2 4 3 3" xfId="22687" xr:uid="{4EA310A8-EADB-4B4C-8A4C-8592076DBD6A}"/>
    <cellStyle name="20% - Accent6 3 2 4 4" xfId="10022" xr:uid="{9472C793-7BE2-4169-9106-B50E9DC07C8F}"/>
    <cellStyle name="20% - Accent6 3 2 4 5" xfId="18470" xr:uid="{5C837361-ECB0-4C35-8A3F-CAB770FFBDBA}"/>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A5A5745D-6D45-4224-90EF-B828391CE28C}"/>
    <cellStyle name="20% - Accent6 3 2 5 2 2 3" xfId="25245" xr:uid="{3982A4CC-54AA-4831-90C4-37E4A3828BE2}"/>
    <cellStyle name="20% - Accent6 3 2 5 2 3" xfId="12580" xr:uid="{4AC07B33-41E2-4B7A-9B92-AB91092F80E2}"/>
    <cellStyle name="20% - Accent6 3 2 5 2 4" xfId="21028" xr:uid="{438CB2BA-9B90-4AAF-8870-42E51AD28826}"/>
    <cellStyle name="20% - Accent6 3 2 5 3" xfId="6203" xr:uid="{00000000-0005-0000-0000-000083030000}"/>
    <cellStyle name="20% - Accent6 3 2 5 3 2" xfId="14653" xr:uid="{9EA93BFB-A079-42E5-BB98-836FB7E5D65B}"/>
    <cellStyle name="20% - Accent6 3 2 5 3 3" xfId="23100" xr:uid="{26BF8013-FC4F-45D6-83CF-2E5840C31129}"/>
    <cellStyle name="20% - Accent6 3 2 5 4" xfId="10435" xr:uid="{ABB80ED7-13F1-44FB-81A7-2A83570D22AA}"/>
    <cellStyle name="20% - Accent6 3 2 5 5" xfId="18883" xr:uid="{DFFB4AEF-1D9F-488B-B850-C1E8BC8E244F}"/>
    <cellStyle name="20% - Accent6 3 2 6" xfId="2310" xr:uid="{00000000-0005-0000-0000-000084030000}"/>
    <cellStyle name="20% - Accent6 3 2 6 2" xfId="6616" xr:uid="{00000000-0005-0000-0000-000085030000}"/>
    <cellStyle name="20% - Accent6 3 2 6 2 2" xfId="15066" xr:uid="{42E65599-4EF3-4C48-ABE5-CF9BCFB6A247}"/>
    <cellStyle name="20% - Accent6 3 2 6 2 3" xfId="23513" xr:uid="{6365D6CC-B009-45E9-89AE-D4F8171216E5}"/>
    <cellStyle name="20% - Accent6 3 2 6 3" xfId="10848" xr:uid="{359DC37D-64F4-44DA-8D1E-BD08EC3E8AB3}"/>
    <cellStyle name="20% - Accent6 3 2 6 4" xfId="19296" xr:uid="{711C9BF9-51D1-40CB-A19A-2F2AC95E8C71}"/>
    <cellStyle name="20% - Accent6 3 2 7" xfId="4550" xr:uid="{00000000-0005-0000-0000-000086030000}"/>
    <cellStyle name="20% - Accent6 3 2 7 2" xfId="13000" xr:uid="{64F85D43-3FBA-4172-8B0A-6C450606F69B}"/>
    <cellStyle name="20% - Accent6 3 2 7 3" xfId="21447" xr:uid="{53385984-4769-4E52-8A1D-A74119C9B4CB}"/>
    <cellStyle name="20% - Accent6 3 2 8" xfId="8782" xr:uid="{2CEBF4BF-80DE-4334-8752-BF311B87C7EA}"/>
    <cellStyle name="20% - Accent6 3 2 9" xfId="17230" xr:uid="{48B9D1AE-B4FA-4969-85EB-1F2119152883}"/>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DBF42D03-15F3-44DD-B29B-8AB5343A325D}"/>
    <cellStyle name="20% - Accent6 3 3 2 2 3" xfId="24005" xr:uid="{EDD7C609-E3E3-4D2C-AFA0-CF9263D6D832}"/>
    <cellStyle name="20% - Accent6 3 3 2 3" xfId="11340" xr:uid="{FE0B0BA0-9B42-4E78-83BB-49F963FCE9CB}"/>
    <cellStyle name="20% - Accent6 3 3 2 4" xfId="19788" xr:uid="{B8D08853-F052-4318-8D99-5F9D69B0D2A1}"/>
    <cellStyle name="20% - Accent6 3 3 3" xfId="4963" xr:uid="{00000000-0005-0000-0000-00008A030000}"/>
    <cellStyle name="20% - Accent6 3 3 3 2" xfId="13413" xr:uid="{AF5B9B75-2E5B-4E7E-9EEE-A4E3A137ADDB}"/>
    <cellStyle name="20% - Accent6 3 3 3 3" xfId="21860" xr:uid="{9C2DFA0F-BDF3-41A9-98FA-7ABC3768AB92}"/>
    <cellStyle name="20% - Accent6 3 3 4" xfId="9195" xr:uid="{F22DC154-AD90-4423-8664-3DF2AE46DDD2}"/>
    <cellStyle name="20% - Accent6 3 3 5" xfId="17643" xr:uid="{4CD3AE0D-66BB-4224-AA01-D6156025FB79}"/>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47767FA4-F974-449E-B735-E62E91C45CBE}"/>
    <cellStyle name="20% - Accent6 3 4 2 2 3" xfId="24418" xr:uid="{1D136450-ADBB-497B-860B-B0C3268768A9}"/>
    <cellStyle name="20% - Accent6 3 4 2 3" xfId="11753" xr:uid="{FFB52AF1-F169-4D6C-8EE1-75BCE5E258BA}"/>
    <cellStyle name="20% - Accent6 3 4 2 4" xfId="20201" xr:uid="{F9F0D8B4-5227-4D69-B356-F8D4DA31A7DA}"/>
    <cellStyle name="20% - Accent6 3 4 3" xfId="5376" xr:uid="{00000000-0005-0000-0000-00008E030000}"/>
    <cellStyle name="20% - Accent6 3 4 3 2" xfId="13826" xr:uid="{8300A04B-0236-4DE5-B1AF-53181F8098B9}"/>
    <cellStyle name="20% - Accent6 3 4 3 3" xfId="22273" xr:uid="{2BBA9F46-7798-4016-B4AC-D466F2060322}"/>
    <cellStyle name="20% - Accent6 3 4 4" xfId="9608" xr:uid="{F98E2E3D-D04E-4C48-9E9B-1DBCDC760866}"/>
    <cellStyle name="20% - Accent6 3 4 5" xfId="18056" xr:uid="{B4738D9B-9F04-49E5-AFF6-ECD180E1B0BB}"/>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86956BD3-4D41-4EEE-81B1-C9DA32263CAC}"/>
    <cellStyle name="20% - Accent6 3 5 2 2 3" xfId="24831" xr:uid="{B29214E3-E10B-4541-9A05-75AFB76945A7}"/>
    <cellStyle name="20% - Accent6 3 5 2 3" xfId="12166" xr:uid="{200D994F-60BE-470B-90A8-A4469236A341}"/>
    <cellStyle name="20% - Accent6 3 5 2 4" xfId="20614" xr:uid="{314DBAF9-65BA-473D-8623-9DA230750A4D}"/>
    <cellStyle name="20% - Accent6 3 5 3" xfId="5789" xr:uid="{00000000-0005-0000-0000-000092030000}"/>
    <cellStyle name="20% - Accent6 3 5 3 2" xfId="14239" xr:uid="{4F38B060-4A05-4F9D-B8CA-220451884B29}"/>
    <cellStyle name="20% - Accent6 3 5 3 3" xfId="22686" xr:uid="{244854A4-6EF1-405D-BF93-E55E7C96E7A8}"/>
    <cellStyle name="20% - Accent6 3 5 4" xfId="10021" xr:uid="{99C813C8-5398-4955-8DAD-B91D89B9D374}"/>
    <cellStyle name="20% - Accent6 3 5 5" xfId="18469" xr:uid="{C10925A8-A4C1-45EB-9F70-B30B2418AA41}"/>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3B5A5253-CB2D-4AE7-9218-0C47EF013B27}"/>
    <cellStyle name="20% - Accent6 3 6 2 2 3" xfId="25244" xr:uid="{8E33287D-D0CF-4DDE-A308-BADAF411B31C}"/>
    <cellStyle name="20% - Accent6 3 6 2 3" xfId="12579" xr:uid="{DD63F25F-01E3-457B-A07D-C55DCF4BD5F1}"/>
    <cellStyle name="20% - Accent6 3 6 2 4" xfId="21027" xr:uid="{1FDA3C56-18C9-4BAF-BA5B-0244CFA9F5EE}"/>
    <cellStyle name="20% - Accent6 3 6 3" xfId="6202" xr:uid="{00000000-0005-0000-0000-000096030000}"/>
    <cellStyle name="20% - Accent6 3 6 3 2" xfId="14652" xr:uid="{5D07AE9C-D64F-4358-8702-A70785264AA7}"/>
    <cellStyle name="20% - Accent6 3 6 3 3" xfId="23099" xr:uid="{FEC63B7C-C93C-44E6-BEF7-A425C43605EA}"/>
    <cellStyle name="20% - Accent6 3 6 4" xfId="10434" xr:uid="{58406794-8C1D-419F-87BA-D93B0951FF77}"/>
    <cellStyle name="20% - Accent6 3 6 5" xfId="18882" xr:uid="{33157F20-CA33-4AB9-828E-3BF6FC3475BF}"/>
    <cellStyle name="20% - Accent6 3 7" xfId="2309" xr:uid="{00000000-0005-0000-0000-000097030000}"/>
    <cellStyle name="20% - Accent6 3 7 2" xfId="6615" xr:uid="{00000000-0005-0000-0000-000098030000}"/>
    <cellStyle name="20% - Accent6 3 7 2 2" xfId="15065" xr:uid="{2B908B4D-3B1E-4CBB-A532-4A09DEFD0EAF}"/>
    <cellStyle name="20% - Accent6 3 7 2 3" xfId="23512" xr:uid="{76DC33CA-E685-4516-B837-CD927D3C5745}"/>
    <cellStyle name="20% - Accent6 3 7 3" xfId="10847" xr:uid="{58DA3650-E326-4BA7-B91D-D8BE373E903F}"/>
    <cellStyle name="20% - Accent6 3 7 4" xfId="19295" xr:uid="{1802126F-A6D8-4783-9567-8A29B68C9D69}"/>
    <cellStyle name="20% - Accent6 3 8" xfId="4549" xr:uid="{00000000-0005-0000-0000-000099030000}"/>
    <cellStyle name="20% - Accent6 3 8 2" xfId="12999" xr:uid="{248D3803-B8E1-41B4-B1DE-227E29D65AFF}"/>
    <cellStyle name="20% - Accent6 3 8 3" xfId="21446" xr:uid="{804BC9AB-D9EC-4CF8-8B90-5E77EFFFF416}"/>
    <cellStyle name="20% - Accent6 3 9" xfId="8781" xr:uid="{4DE6709A-00D9-4A09-AAB0-B26471C1A1E5}"/>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AC2C5577-DC06-410D-BD2D-2C767FB4F8F1}"/>
    <cellStyle name="20% - Accent6 4 2 2 2 3" xfId="24007" xr:uid="{E7BAF692-7269-4D0B-ABF1-93BEEBEBB151}"/>
    <cellStyle name="20% - Accent6 4 2 2 3" xfId="11342" xr:uid="{6328D391-2C6E-4C7B-A479-486A3A5B1215}"/>
    <cellStyle name="20% - Accent6 4 2 2 4" xfId="19790" xr:uid="{438B1184-B3CD-4B57-A56C-52737668894A}"/>
    <cellStyle name="20% - Accent6 4 2 3" xfId="4965" xr:uid="{00000000-0005-0000-0000-00009E030000}"/>
    <cellStyle name="20% - Accent6 4 2 3 2" xfId="13415" xr:uid="{85BB4B45-A8F0-4F9B-8E93-3029473BBF6A}"/>
    <cellStyle name="20% - Accent6 4 2 3 3" xfId="21862" xr:uid="{9C675199-7018-4609-90F1-FBDC1A19A439}"/>
    <cellStyle name="20% - Accent6 4 2 4" xfId="9197" xr:uid="{7C3C8CCF-CC7D-4674-BA19-8910F3CB9387}"/>
    <cellStyle name="20% - Accent6 4 2 5" xfId="17645" xr:uid="{2F948ACF-833E-4D61-BA37-C0B53EF0DBD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5C53935F-2D63-4050-81B6-D7AE67AA36AE}"/>
    <cellStyle name="20% - Accent6 4 3 2 2 3" xfId="24420" xr:uid="{2049324E-44B9-4339-A574-A191E81B304A}"/>
    <cellStyle name="20% - Accent6 4 3 2 3" xfId="11755" xr:uid="{03FEF062-79DC-45FE-9A6C-2D7ADA7029F8}"/>
    <cellStyle name="20% - Accent6 4 3 2 4" xfId="20203" xr:uid="{B59B0FA0-6D5A-44E8-860A-BFCF65D17DCC}"/>
    <cellStyle name="20% - Accent6 4 3 3" xfId="5378" xr:uid="{00000000-0005-0000-0000-0000A2030000}"/>
    <cellStyle name="20% - Accent6 4 3 3 2" xfId="13828" xr:uid="{4923D885-39F6-4AA7-BED5-F17AC194EF2A}"/>
    <cellStyle name="20% - Accent6 4 3 3 3" xfId="22275" xr:uid="{0EA5CDC0-E1E0-46E8-8AEB-9E727E91DA68}"/>
    <cellStyle name="20% - Accent6 4 3 4" xfId="9610" xr:uid="{433C53D3-F263-4657-9922-61FCD998A704}"/>
    <cellStyle name="20% - Accent6 4 3 5" xfId="18058" xr:uid="{180763C9-ECC7-4DA9-8204-3334409A8C55}"/>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CC9A4402-4710-4C5E-9100-3B301544E67D}"/>
    <cellStyle name="20% - Accent6 4 4 2 2 3" xfId="24833" xr:uid="{905EF550-B3EC-4B38-A0AF-942CEE2C975B}"/>
    <cellStyle name="20% - Accent6 4 4 2 3" xfId="12168" xr:uid="{7E105AF2-0B63-4515-A0C3-79CBABC794D7}"/>
    <cellStyle name="20% - Accent6 4 4 2 4" xfId="20616" xr:uid="{47227F2D-1D6F-4DB5-9592-E43B2BF9BC57}"/>
    <cellStyle name="20% - Accent6 4 4 3" xfId="5791" xr:uid="{00000000-0005-0000-0000-0000A6030000}"/>
    <cellStyle name="20% - Accent6 4 4 3 2" xfId="14241" xr:uid="{1B980772-4CC9-4CA3-A896-AFD44A5F591D}"/>
    <cellStyle name="20% - Accent6 4 4 3 3" xfId="22688" xr:uid="{4E8B04E4-ADCF-49E2-B169-C5829974FACA}"/>
    <cellStyle name="20% - Accent6 4 4 4" xfId="10023" xr:uid="{638A24CA-D7D4-4858-9BD9-F696A117DFAD}"/>
    <cellStyle name="20% - Accent6 4 4 5" xfId="18471" xr:uid="{5F3834C4-BF2F-4013-955C-7D424070C5E6}"/>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DF8B5852-35F9-431B-9A2F-1E1BDA162FBC}"/>
    <cellStyle name="20% - Accent6 4 5 2 2 3" xfId="25246" xr:uid="{E8340B06-1904-4EA8-A857-50E9E7FCBFD9}"/>
    <cellStyle name="20% - Accent6 4 5 2 3" xfId="12581" xr:uid="{53214072-C5D7-4D0A-88B9-317754CE44E1}"/>
    <cellStyle name="20% - Accent6 4 5 2 4" xfId="21029" xr:uid="{46B2EFA1-4A91-438E-BAA5-2CAFD8455D3D}"/>
    <cellStyle name="20% - Accent6 4 5 3" xfId="6204" xr:uid="{00000000-0005-0000-0000-0000AA030000}"/>
    <cellStyle name="20% - Accent6 4 5 3 2" xfId="14654" xr:uid="{66DAAEC5-9050-47D4-AB80-69E98CC3132D}"/>
    <cellStyle name="20% - Accent6 4 5 3 3" xfId="23101" xr:uid="{7A086A50-1BC4-4B2E-8567-6EC4424DCEA5}"/>
    <cellStyle name="20% - Accent6 4 5 4" xfId="10436" xr:uid="{6131A116-6CF3-43E6-AFCC-FD82E519BED8}"/>
    <cellStyle name="20% - Accent6 4 5 5" xfId="18884" xr:uid="{B44F9BE5-4D7D-497A-83AA-A60E8202C78C}"/>
    <cellStyle name="20% - Accent6 4 6" xfId="2311" xr:uid="{00000000-0005-0000-0000-0000AB030000}"/>
    <cellStyle name="20% - Accent6 4 6 2" xfId="6617" xr:uid="{00000000-0005-0000-0000-0000AC030000}"/>
    <cellStyle name="20% - Accent6 4 6 2 2" xfId="15067" xr:uid="{71D31FAC-C468-45B5-B65B-62E81C5B1937}"/>
    <cellStyle name="20% - Accent6 4 6 2 3" xfId="23514" xr:uid="{35626CFD-5A0A-4FCC-96D8-58B569964336}"/>
    <cellStyle name="20% - Accent6 4 6 3" xfId="10849" xr:uid="{0BBB9C0D-654D-4D69-A49E-F38FC62B8818}"/>
    <cellStyle name="20% - Accent6 4 6 4" xfId="19297" xr:uid="{03EE9CBF-32F4-4197-A1B6-0E29C25CFA70}"/>
    <cellStyle name="20% - Accent6 4 7" xfId="4551" xr:uid="{00000000-0005-0000-0000-0000AD030000}"/>
    <cellStyle name="20% - Accent6 4 7 2" xfId="13001" xr:uid="{271FB05C-D297-4EB8-B879-4B63DF42E300}"/>
    <cellStyle name="20% - Accent6 4 7 3" xfId="21448" xr:uid="{49D127EC-F336-41C2-9D41-3177E7FD7E27}"/>
    <cellStyle name="20% - Accent6 4 8" xfId="8783" xr:uid="{EEADDB7E-A2E3-4472-86F0-CE104EFA84AA}"/>
    <cellStyle name="20% - Accent6 4 9" xfId="17231" xr:uid="{F89873A9-944B-45CC-AA14-0646F54DE03A}"/>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29BFD763-D092-4086-8D83-91F413A34F92}"/>
    <cellStyle name="20% - Accent6 5 2 2 3" xfId="24000" xr:uid="{5360EAAE-7DE2-49A3-876F-1227FD7E8F26}"/>
    <cellStyle name="20% - Accent6 5 2 3" xfId="11335" xr:uid="{FB11509F-D1E5-4E5D-B59C-36F15DC07E6F}"/>
    <cellStyle name="20% - Accent6 5 2 4" xfId="19783" xr:uid="{AB288FBE-AF1F-4540-856F-979FB7F6C005}"/>
    <cellStyle name="20% - Accent6 5 3" xfId="4958" xr:uid="{00000000-0005-0000-0000-0000B1030000}"/>
    <cellStyle name="20% - Accent6 5 3 2" xfId="13408" xr:uid="{D8EF6391-9566-4778-9672-1397473F0A15}"/>
    <cellStyle name="20% - Accent6 5 3 3" xfId="21855" xr:uid="{0366A820-C8FE-4549-BB16-7E716D865223}"/>
    <cellStyle name="20% - Accent6 5 4" xfId="9190" xr:uid="{A0B9E3C8-3EA8-4AC5-933D-A3A32C39A8EF}"/>
    <cellStyle name="20% - Accent6 5 5" xfId="17638" xr:uid="{A274353C-5072-4726-A2C8-FC9CCB352515}"/>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4B9B740D-406F-476F-8CA8-E872F1B1D1FE}"/>
    <cellStyle name="20% - Accent6 6 2 2 3" xfId="24413" xr:uid="{57BF2BAB-6D25-47D1-BBCC-E68D46E0A3B5}"/>
    <cellStyle name="20% - Accent6 6 2 3" xfId="11748" xr:uid="{A8348568-EA88-4162-BF25-95DE2EB1743B}"/>
    <cellStyle name="20% - Accent6 6 2 4" xfId="20196" xr:uid="{C96BF315-85BF-479F-BBF1-6F01EF7F4913}"/>
    <cellStyle name="20% - Accent6 6 3" xfId="5371" xr:uid="{00000000-0005-0000-0000-0000B5030000}"/>
    <cellStyle name="20% - Accent6 6 3 2" xfId="13821" xr:uid="{CC78747D-CB8B-415D-A8DA-59E7AC5A05F9}"/>
    <cellStyle name="20% - Accent6 6 3 3" xfId="22268" xr:uid="{699B841E-158F-43CD-BBEA-99D051B5AE15}"/>
    <cellStyle name="20% - Accent6 6 4" xfId="9603" xr:uid="{0CDB0147-D578-4677-8C98-BE564727F52C}"/>
    <cellStyle name="20% - Accent6 6 5" xfId="18051" xr:uid="{B7F7CF85-7239-4A3F-91B4-DC689B80D722}"/>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3E200D09-09BE-490D-A8BC-33CFBD540205}"/>
    <cellStyle name="20% - Accent6 7 2 2 3" xfId="24826" xr:uid="{08346FA3-C112-4C1C-8A91-97027E8CA5BC}"/>
    <cellStyle name="20% - Accent6 7 2 3" xfId="12161" xr:uid="{0BCE04A3-EDB2-4EAE-9C1C-BCEBF5EDEBB7}"/>
    <cellStyle name="20% - Accent6 7 2 4" xfId="20609" xr:uid="{5CE77952-922E-4A5D-8912-671AEA05A11E}"/>
    <cellStyle name="20% - Accent6 7 3" xfId="5784" xr:uid="{00000000-0005-0000-0000-0000B9030000}"/>
    <cellStyle name="20% - Accent6 7 3 2" xfId="14234" xr:uid="{660E7AE4-B7B4-4690-BBCF-1DD5A9EBC1FB}"/>
    <cellStyle name="20% - Accent6 7 3 3" xfId="22681" xr:uid="{2CC19375-182D-4B9E-A85B-2B36A83E8C24}"/>
    <cellStyle name="20% - Accent6 7 4" xfId="10016" xr:uid="{133AA16F-8640-4060-9CF6-831E898FFB06}"/>
    <cellStyle name="20% - Accent6 7 5" xfId="18464" xr:uid="{C1C4D8B0-E22D-47DC-9C0E-10939674ADC0}"/>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53462069-499E-48DD-A97C-9B7AA7FFE586}"/>
    <cellStyle name="20% - Accent6 8 2 2 3" xfId="25239" xr:uid="{FB600BFB-5976-4274-B1DB-C6DB5B678948}"/>
    <cellStyle name="20% - Accent6 8 2 3" xfId="12574" xr:uid="{8D17A52E-B944-4F62-8F14-E278892C5B90}"/>
    <cellStyle name="20% - Accent6 8 2 4" xfId="21022" xr:uid="{3FC02D14-CCB1-43FD-97E4-C88E21959308}"/>
    <cellStyle name="20% - Accent6 8 3" xfId="6197" xr:uid="{00000000-0005-0000-0000-0000BD030000}"/>
    <cellStyle name="20% - Accent6 8 3 2" xfId="14647" xr:uid="{37BAE758-60C8-40A3-A9A2-D8DF0C130D1A}"/>
    <cellStyle name="20% - Accent6 8 3 3" xfId="23094" xr:uid="{E34A1268-1C5A-461A-A3B9-D403FC1D05CC}"/>
    <cellStyle name="20% - Accent6 8 4" xfId="10429" xr:uid="{DFCDDCC3-2227-4087-80D7-749B267F8FD5}"/>
    <cellStyle name="20% - Accent6 8 5" xfId="18877" xr:uid="{5C7458C1-E343-45C5-A245-84D4FEF3CF61}"/>
    <cellStyle name="20% - Accent6 9" xfId="2304" xr:uid="{00000000-0005-0000-0000-0000BE030000}"/>
    <cellStyle name="20% - Accent6 9 2" xfId="6610" xr:uid="{00000000-0005-0000-0000-0000BF030000}"/>
    <cellStyle name="20% - Accent6 9 2 2" xfId="15060" xr:uid="{5EA8E1BF-50CF-4973-962F-0BFF01B473C5}"/>
    <cellStyle name="20% - Accent6 9 2 3" xfId="23507" xr:uid="{5F3542C2-FAFC-4E6A-94C9-360F9EEE4E5F}"/>
    <cellStyle name="20% - Accent6 9 3" xfId="10842" xr:uid="{A080D931-1383-48B5-8060-D6FE20423596}"/>
    <cellStyle name="20% - Accent6 9 4" xfId="19290" xr:uid="{9AC322B0-1867-4428-9223-E66097D6D162}"/>
    <cellStyle name="40% - Accent1" xfId="49" builtinId="31" customBuiltin="1"/>
    <cellStyle name="40% - Accent1 10" xfId="4552" xr:uid="{00000000-0005-0000-0000-0000C1030000}"/>
    <cellStyle name="40% - Accent1 10 2" xfId="13002" xr:uid="{3C72A155-EB42-45AC-9920-6D7CA0364AA6}"/>
    <cellStyle name="40% - Accent1 10 3" xfId="21449" xr:uid="{2C8D65CA-F861-4DD6-A00D-9028F982E09C}"/>
    <cellStyle name="40% - Accent1 11" xfId="8784" xr:uid="{2EACFB2C-BDAE-4E55-97F9-D644CBAC9366}"/>
    <cellStyle name="40% - Accent1 12" xfId="17232" xr:uid="{875884B7-D4DA-4666-BCCF-CAB9A1AA3215}"/>
    <cellStyle name="40% - Accent1 2" xfId="50" xr:uid="{00000000-0005-0000-0000-0000C2030000}"/>
    <cellStyle name="40% - Accent1 2 10" xfId="8785" xr:uid="{12F8B960-FD8A-4F2D-9C90-9324210E4077}"/>
    <cellStyle name="40% - Accent1 2 11" xfId="17233" xr:uid="{75656BE7-7717-466F-9BA5-9FC3363DDA01}"/>
    <cellStyle name="40% - Accent1 2 2" xfId="51" xr:uid="{00000000-0005-0000-0000-0000C3030000}"/>
    <cellStyle name="40% - Accent1 2 2 10" xfId="17234" xr:uid="{E80F7ACA-B19F-4EA9-92B9-896EC3B10084}"/>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A38327CE-515B-45DD-8E93-ABB30D2A7076}"/>
    <cellStyle name="40% - Accent1 2 2 2 2 2 2 3" xfId="24011" xr:uid="{EDC9E7FE-5143-4A12-A4AE-855145B9BF29}"/>
    <cellStyle name="40% - Accent1 2 2 2 2 2 3" xfId="11346" xr:uid="{C6C8762C-AE97-4AEB-B52C-B485E961729F}"/>
    <cellStyle name="40% - Accent1 2 2 2 2 2 4" xfId="19794" xr:uid="{85E36B50-693C-4781-8446-084447A96B2B}"/>
    <cellStyle name="40% - Accent1 2 2 2 2 3" xfId="4969" xr:uid="{00000000-0005-0000-0000-0000C8030000}"/>
    <cellStyle name="40% - Accent1 2 2 2 2 3 2" xfId="13419" xr:uid="{BCC0FA4B-9D26-48A3-AB3B-87F5CE83F6A8}"/>
    <cellStyle name="40% - Accent1 2 2 2 2 3 3" xfId="21866" xr:uid="{AC166300-8419-450D-B95D-64C85907746D}"/>
    <cellStyle name="40% - Accent1 2 2 2 2 4" xfId="9201" xr:uid="{4E65F017-A13E-411C-AFC7-334DE19C4678}"/>
    <cellStyle name="40% - Accent1 2 2 2 2 5" xfId="17649" xr:uid="{003E51B3-FBC3-403E-94C7-3FFA3F1DC53B}"/>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3EB6BFE2-8462-461D-AD34-0DC425C136D7}"/>
    <cellStyle name="40% - Accent1 2 2 2 3 2 2 3" xfId="24424" xr:uid="{0299AAE8-F94F-4795-BB1D-FBF065399565}"/>
    <cellStyle name="40% - Accent1 2 2 2 3 2 3" xfId="11759" xr:uid="{A6AAD5E7-FFDF-4BAE-9B35-26E366EB7121}"/>
    <cellStyle name="40% - Accent1 2 2 2 3 2 4" xfId="20207" xr:uid="{A7BD5AD1-E658-461A-9E85-E3563EC45C72}"/>
    <cellStyle name="40% - Accent1 2 2 2 3 3" xfId="5382" xr:uid="{00000000-0005-0000-0000-0000CC030000}"/>
    <cellStyle name="40% - Accent1 2 2 2 3 3 2" xfId="13832" xr:uid="{18A7B695-7BFE-4B33-8306-C2023DF9715F}"/>
    <cellStyle name="40% - Accent1 2 2 2 3 3 3" xfId="22279" xr:uid="{CE60A458-CB34-4AFA-A8EE-66260A56DA6D}"/>
    <cellStyle name="40% - Accent1 2 2 2 3 4" xfId="9614" xr:uid="{E2A28D40-1923-4190-99BF-F5027459EBA0}"/>
    <cellStyle name="40% - Accent1 2 2 2 3 5" xfId="18062" xr:uid="{0540DD2D-1412-4FA0-98DD-37081BC6F67D}"/>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32C6068F-7443-4BFA-9F58-7ECB89C1A6B0}"/>
    <cellStyle name="40% - Accent1 2 2 2 4 2 2 3" xfId="24837" xr:uid="{FC63E8C2-FEB8-46B3-8AB3-FD38A8057C33}"/>
    <cellStyle name="40% - Accent1 2 2 2 4 2 3" xfId="12172" xr:uid="{DC8C8EC9-5A4D-4185-BDD5-ED757F4FA846}"/>
    <cellStyle name="40% - Accent1 2 2 2 4 2 4" xfId="20620" xr:uid="{0F8B4B2B-904A-4C8D-BB0B-48BADB6AA28E}"/>
    <cellStyle name="40% - Accent1 2 2 2 4 3" xfId="5795" xr:uid="{00000000-0005-0000-0000-0000D0030000}"/>
    <cellStyle name="40% - Accent1 2 2 2 4 3 2" xfId="14245" xr:uid="{67EF6888-6AFE-4D9B-818F-8EB9E97852D5}"/>
    <cellStyle name="40% - Accent1 2 2 2 4 3 3" xfId="22692" xr:uid="{2CCA127D-565F-4A7D-A76B-41441F4ECD0B}"/>
    <cellStyle name="40% - Accent1 2 2 2 4 4" xfId="10027" xr:uid="{73114347-6AFC-424B-B7B1-6E10D40A5CAB}"/>
    <cellStyle name="40% - Accent1 2 2 2 4 5" xfId="18475" xr:uid="{FD9275DD-AB53-4F49-B1B7-106A25544F73}"/>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C4E0CB30-926F-4AF9-BC5B-DA0A71BE00C8}"/>
    <cellStyle name="40% - Accent1 2 2 2 5 2 2 3" xfId="25250" xr:uid="{BA71C525-DEBD-4B9C-B1CD-FED4A51BD0F6}"/>
    <cellStyle name="40% - Accent1 2 2 2 5 2 3" xfId="12585" xr:uid="{27C2F527-9FC8-42EC-8174-6BEE99C0B7E8}"/>
    <cellStyle name="40% - Accent1 2 2 2 5 2 4" xfId="21033" xr:uid="{54C272C1-71C5-4F3B-A425-1ECEA9A22B73}"/>
    <cellStyle name="40% - Accent1 2 2 2 5 3" xfId="6208" xr:uid="{00000000-0005-0000-0000-0000D4030000}"/>
    <cellStyle name="40% - Accent1 2 2 2 5 3 2" xfId="14658" xr:uid="{06A38679-63DE-48E2-A211-E27404CAF784}"/>
    <cellStyle name="40% - Accent1 2 2 2 5 3 3" xfId="23105" xr:uid="{E0DDD2C9-6C3F-40E9-8D83-28EA518906FF}"/>
    <cellStyle name="40% - Accent1 2 2 2 5 4" xfId="10440" xr:uid="{61D6439F-19E4-4A06-BB1F-DE875D4D21E1}"/>
    <cellStyle name="40% - Accent1 2 2 2 5 5" xfId="18888" xr:uid="{98B2E212-6128-411E-93C4-00191A81AE1C}"/>
    <cellStyle name="40% - Accent1 2 2 2 6" xfId="2315" xr:uid="{00000000-0005-0000-0000-0000D5030000}"/>
    <cellStyle name="40% - Accent1 2 2 2 6 2" xfId="6621" xr:uid="{00000000-0005-0000-0000-0000D6030000}"/>
    <cellStyle name="40% - Accent1 2 2 2 6 2 2" xfId="15071" xr:uid="{121210D5-8D78-4379-95BF-404AFD31DDD0}"/>
    <cellStyle name="40% - Accent1 2 2 2 6 2 3" xfId="23518" xr:uid="{22112598-EDE2-496E-81AE-9CA3D45D906D}"/>
    <cellStyle name="40% - Accent1 2 2 2 6 3" xfId="10853" xr:uid="{E034FF4A-E464-4D14-9273-9E7F4D6639D8}"/>
    <cellStyle name="40% - Accent1 2 2 2 6 4" xfId="19301" xr:uid="{8255D9C4-165B-49FC-892B-713B91755C89}"/>
    <cellStyle name="40% - Accent1 2 2 2 7" xfId="4555" xr:uid="{00000000-0005-0000-0000-0000D7030000}"/>
    <cellStyle name="40% - Accent1 2 2 2 7 2" xfId="13005" xr:uid="{0ABE3EAC-3277-4111-BA15-82E6C1081BBE}"/>
    <cellStyle name="40% - Accent1 2 2 2 7 3" xfId="21452" xr:uid="{8C3CAE7B-CA15-466A-BED9-4BBF45FA1768}"/>
    <cellStyle name="40% - Accent1 2 2 2 8" xfId="8787" xr:uid="{AD766DD9-5B9F-45CD-956B-E7A629527DBF}"/>
    <cellStyle name="40% - Accent1 2 2 2 9" xfId="17235" xr:uid="{1468444C-24FC-4050-B8D1-75C8DCC993C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FC50A02-D3FD-4969-BA06-A1A767E22DAA}"/>
    <cellStyle name="40% - Accent1 2 2 3 2 2 3" xfId="24010" xr:uid="{178C1255-E90A-4329-9BE5-396581867711}"/>
    <cellStyle name="40% - Accent1 2 2 3 2 3" xfId="11345" xr:uid="{9BC22967-CE6B-439C-A0F7-06E6DED2C2AF}"/>
    <cellStyle name="40% - Accent1 2 2 3 2 4" xfId="19793" xr:uid="{8F3B7C42-2CB8-4961-8B01-7E9A6DDD1D51}"/>
    <cellStyle name="40% - Accent1 2 2 3 3" xfId="4968" xr:uid="{00000000-0005-0000-0000-0000DB030000}"/>
    <cellStyle name="40% - Accent1 2 2 3 3 2" xfId="13418" xr:uid="{9A1EF409-2D39-4811-B965-8F102444F2DC}"/>
    <cellStyle name="40% - Accent1 2 2 3 3 3" xfId="21865" xr:uid="{F06F0A24-33BD-4E8F-BF05-4C149047592D}"/>
    <cellStyle name="40% - Accent1 2 2 3 4" xfId="9200" xr:uid="{0DCA9E9F-E90A-44B4-A9C1-0BCFEDFF6BAD}"/>
    <cellStyle name="40% - Accent1 2 2 3 5" xfId="17648" xr:uid="{81F03555-1A38-4171-9604-3E5FBB75232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A6DC157C-B699-4D4C-B3EA-7B99DAF15A7E}"/>
    <cellStyle name="40% - Accent1 2 2 4 2 2 3" xfId="24423" xr:uid="{A45CEE45-F494-4C5C-96D2-173A26FA82BE}"/>
    <cellStyle name="40% - Accent1 2 2 4 2 3" xfId="11758" xr:uid="{ACD749C7-FE0F-4F13-A127-24B9B59A7D50}"/>
    <cellStyle name="40% - Accent1 2 2 4 2 4" xfId="20206" xr:uid="{25B13D86-68AC-492D-A49E-5B9AF4303EE9}"/>
    <cellStyle name="40% - Accent1 2 2 4 3" xfId="5381" xr:uid="{00000000-0005-0000-0000-0000DF030000}"/>
    <cellStyle name="40% - Accent1 2 2 4 3 2" xfId="13831" xr:uid="{80153598-19B2-4AB8-B6FC-C6DE72A51EAD}"/>
    <cellStyle name="40% - Accent1 2 2 4 3 3" xfId="22278" xr:uid="{DA9246D6-1C15-41F3-AA5D-ECFF2552C2FB}"/>
    <cellStyle name="40% - Accent1 2 2 4 4" xfId="9613" xr:uid="{18BFEAFD-2BA0-4188-93BC-944D2EE82479}"/>
    <cellStyle name="40% - Accent1 2 2 4 5" xfId="18061" xr:uid="{FA98417B-F881-41CA-8C9C-8CB98B936030}"/>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6BDA3F53-73F9-4694-B4BC-5B7840E5E911}"/>
    <cellStyle name="40% - Accent1 2 2 5 2 2 3" xfId="24836" xr:uid="{25F2AB14-F445-421E-B4EF-C540712FC504}"/>
    <cellStyle name="40% - Accent1 2 2 5 2 3" xfId="12171" xr:uid="{02845807-F609-406E-9081-97B52486A385}"/>
    <cellStyle name="40% - Accent1 2 2 5 2 4" xfId="20619" xr:uid="{E808E1F6-92E3-471F-82A1-A577F7F3FF41}"/>
    <cellStyle name="40% - Accent1 2 2 5 3" xfId="5794" xr:uid="{00000000-0005-0000-0000-0000E3030000}"/>
    <cellStyle name="40% - Accent1 2 2 5 3 2" xfId="14244" xr:uid="{EBCA55C0-0E98-41BC-BCB7-607138DEBE29}"/>
    <cellStyle name="40% - Accent1 2 2 5 3 3" xfId="22691" xr:uid="{5BCA2B2C-19F3-45E0-A020-EFE78D1B7385}"/>
    <cellStyle name="40% - Accent1 2 2 5 4" xfId="10026" xr:uid="{F74AECCC-BE75-4B9E-B35E-476F6667EFB9}"/>
    <cellStyle name="40% - Accent1 2 2 5 5" xfId="18474" xr:uid="{0A23D299-71EC-4F76-AD2D-AF98521033B5}"/>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64059F4C-8E20-4F10-8AC8-320DF208B2A4}"/>
    <cellStyle name="40% - Accent1 2 2 6 2 2 3" xfId="25249" xr:uid="{11DF57DF-5C35-4BC5-9559-C4B4A1D1D2E7}"/>
    <cellStyle name="40% - Accent1 2 2 6 2 3" xfId="12584" xr:uid="{E5B10B47-5C30-4875-8715-1E658533D9AB}"/>
    <cellStyle name="40% - Accent1 2 2 6 2 4" xfId="21032" xr:uid="{721853C7-849F-4176-99C2-706BF461D6FE}"/>
    <cellStyle name="40% - Accent1 2 2 6 3" xfId="6207" xr:uid="{00000000-0005-0000-0000-0000E7030000}"/>
    <cellStyle name="40% - Accent1 2 2 6 3 2" xfId="14657" xr:uid="{0A109F41-2FE7-4A1D-AB09-A66044D56EC6}"/>
    <cellStyle name="40% - Accent1 2 2 6 3 3" xfId="23104" xr:uid="{AA11E1F4-AC7D-46E1-A880-AC388766984A}"/>
    <cellStyle name="40% - Accent1 2 2 6 4" xfId="10439" xr:uid="{A9EB08D0-649D-4F90-88BE-463CF82F4B12}"/>
    <cellStyle name="40% - Accent1 2 2 6 5" xfId="18887" xr:uid="{F4B08F07-A70D-4181-B571-8E5820C7A708}"/>
    <cellStyle name="40% - Accent1 2 2 7" xfId="2314" xr:uid="{00000000-0005-0000-0000-0000E8030000}"/>
    <cellStyle name="40% - Accent1 2 2 7 2" xfId="6620" xr:uid="{00000000-0005-0000-0000-0000E9030000}"/>
    <cellStyle name="40% - Accent1 2 2 7 2 2" xfId="15070" xr:uid="{71169ECE-CD5C-4136-9DDC-A958B7292D45}"/>
    <cellStyle name="40% - Accent1 2 2 7 2 3" xfId="23517" xr:uid="{F1975402-B6F3-4FC5-90EE-EF390E148C9F}"/>
    <cellStyle name="40% - Accent1 2 2 7 3" xfId="10852" xr:uid="{4F4F4DC0-F20B-46A6-AC92-EE95FB63B4DA}"/>
    <cellStyle name="40% - Accent1 2 2 7 4" xfId="19300" xr:uid="{2546C331-57C7-4144-930B-0F257E57570E}"/>
    <cellStyle name="40% - Accent1 2 2 8" xfId="4554" xr:uid="{00000000-0005-0000-0000-0000EA030000}"/>
    <cellStyle name="40% - Accent1 2 2 8 2" xfId="13004" xr:uid="{0E35BC5B-92B8-4012-A58C-6D26BA8F7AF5}"/>
    <cellStyle name="40% - Accent1 2 2 8 3" xfId="21451" xr:uid="{EB701F10-7DCB-49A8-B962-78930E6CBA7B}"/>
    <cellStyle name="40% - Accent1 2 2 9" xfId="8786" xr:uid="{AF47B53C-BC41-4037-9CAD-32B1ADA8DCCD}"/>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50801240-769C-4C69-AECE-B598D83E74CA}"/>
    <cellStyle name="40% - Accent1 2 3 2 2 2 3" xfId="24012" xr:uid="{707DCFB2-67B0-4BE8-8A95-76921FBCD625}"/>
    <cellStyle name="40% - Accent1 2 3 2 2 3" xfId="11347" xr:uid="{1AB013EF-524D-485A-95E3-78D6BE3D7ADC}"/>
    <cellStyle name="40% - Accent1 2 3 2 2 4" xfId="19795" xr:uid="{79168C10-C7C9-46A7-A0F1-6075512E1178}"/>
    <cellStyle name="40% - Accent1 2 3 2 3" xfId="4970" xr:uid="{00000000-0005-0000-0000-0000EF030000}"/>
    <cellStyle name="40% - Accent1 2 3 2 3 2" xfId="13420" xr:uid="{2138D828-0DBF-44B7-8CB3-08D877466C17}"/>
    <cellStyle name="40% - Accent1 2 3 2 3 3" xfId="21867" xr:uid="{C02600D1-E42F-4404-9F64-60D865F77081}"/>
    <cellStyle name="40% - Accent1 2 3 2 4" xfId="9202" xr:uid="{F8E9684D-C2A7-4D11-A043-75E072D5F21C}"/>
    <cellStyle name="40% - Accent1 2 3 2 5" xfId="17650" xr:uid="{FAC57CFA-2D09-42F8-96D6-F01B03FDE292}"/>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14F78663-4414-4509-961B-7BC745495A78}"/>
    <cellStyle name="40% - Accent1 2 3 3 2 2 3" xfId="24425" xr:uid="{9894BE19-ECD2-410F-922E-9B4175C760F7}"/>
    <cellStyle name="40% - Accent1 2 3 3 2 3" xfId="11760" xr:uid="{1C7E736B-6760-4ED1-8947-2BD0DDBBDC3F}"/>
    <cellStyle name="40% - Accent1 2 3 3 2 4" xfId="20208" xr:uid="{B0AF48E8-B8E9-4778-8DB3-2BD3685F9C71}"/>
    <cellStyle name="40% - Accent1 2 3 3 3" xfId="5383" xr:uid="{00000000-0005-0000-0000-0000F3030000}"/>
    <cellStyle name="40% - Accent1 2 3 3 3 2" xfId="13833" xr:uid="{10E5D6E5-CBD1-4CFD-BF51-F1FAB269C965}"/>
    <cellStyle name="40% - Accent1 2 3 3 3 3" xfId="22280" xr:uid="{7DAD0C56-7180-40FE-A592-307A40C217CE}"/>
    <cellStyle name="40% - Accent1 2 3 3 4" xfId="9615" xr:uid="{00469681-6AE9-427A-8912-3E8D4FC79FC9}"/>
    <cellStyle name="40% - Accent1 2 3 3 5" xfId="18063" xr:uid="{B78F5A3D-1091-49BE-9F0D-670204E39EE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549E24C4-3563-4893-9FC2-3CB15B45893B}"/>
    <cellStyle name="40% - Accent1 2 3 4 2 2 3" xfId="24838" xr:uid="{977655CA-FB2E-4CB8-9CDB-731478AF83ED}"/>
    <cellStyle name="40% - Accent1 2 3 4 2 3" xfId="12173" xr:uid="{140509A4-BA15-422B-A876-2FB4E116C820}"/>
    <cellStyle name="40% - Accent1 2 3 4 2 4" xfId="20621" xr:uid="{649683A4-892F-4909-B490-454B2934D8D2}"/>
    <cellStyle name="40% - Accent1 2 3 4 3" xfId="5796" xr:uid="{00000000-0005-0000-0000-0000F7030000}"/>
    <cellStyle name="40% - Accent1 2 3 4 3 2" xfId="14246" xr:uid="{BAA2507A-47DC-4ADF-9303-81DE2BBBB317}"/>
    <cellStyle name="40% - Accent1 2 3 4 3 3" xfId="22693" xr:uid="{CAE1D811-800F-44F1-B68F-FB66E0B76F0D}"/>
    <cellStyle name="40% - Accent1 2 3 4 4" xfId="10028" xr:uid="{0BCFDE47-FE67-4E22-B2E5-F1023B1CED2E}"/>
    <cellStyle name="40% - Accent1 2 3 4 5" xfId="18476" xr:uid="{1E5D8D1F-0C87-4E0F-8C46-DF1598EE1982}"/>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5A8D85D8-25F9-43B4-BE8B-67F0F5D55159}"/>
    <cellStyle name="40% - Accent1 2 3 5 2 2 3" xfId="25251" xr:uid="{6BE81652-4997-4404-BA6E-4C3169FEADD5}"/>
    <cellStyle name="40% - Accent1 2 3 5 2 3" xfId="12586" xr:uid="{1711D0AA-9372-4E7F-9025-0CC1C150BD23}"/>
    <cellStyle name="40% - Accent1 2 3 5 2 4" xfId="21034" xr:uid="{CC741D14-588D-4C71-906F-BBCC8534B18D}"/>
    <cellStyle name="40% - Accent1 2 3 5 3" xfId="6209" xr:uid="{00000000-0005-0000-0000-0000FB030000}"/>
    <cellStyle name="40% - Accent1 2 3 5 3 2" xfId="14659" xr:uid="{B7D242B3-5BD4-4705-9B9B-F5C1E668A87C}"/>
    <cellStyle name="40% - Accent1 2 3 5 3 3" xfId="23106" xr:uid="{F7D72A2E-2D32-484A-80FD-66010040FBAD}"/>
    <cellStyle name="40% - Accent1 2 3 5 4" xfId="10441" xr:uid="{F77F5BD0-4B8E-432D-8FE3-EF02A4DF7D09}"/>
    <cellStyle name="40% - Accent1 2 3 5 5" xfId="18889" xr:uid="{179361A7-7047-414A-91D4-777973BD8803}"/>
    <cellStyle name="40% - Accent1 2 3 6" xfId="2316" xr:uid="{00000000-0005-0000-0000-0000FC030000}"/>
    <cellStyle name="40% - Accent1 2 3 6 2" xfId="6622" xr:uid="{00000000-0005-0000-0000-0000FD030000}"/>
    <cellStyle name="40% - Accent1 2 3 6 2 2" xfId="15072" xr:uid="{C19BCC5E-CB7A-4A06-9796-E02A67B4A4FE}"/>
    <cellStyle name="40% - Accent1 2 3 6 2 3" xfId="23519" xr:uid="{A4A5C07E-B053-405B-BB9C-B15E271AD535}"/>
    <cellStyle name="40% - Accent1 2 3 6 3" xfId="10854" xr:uid="{7CAC166B-E87B-4F98-8F69-10DEBC78E554}"/>
    <cellStyle name="40% - Accent1 2 3 6 4" xfId="19302" xr:uid="{039ED242-0C08-4DE5-9FF3-4C450D07C860}"/>
    <cellStyle name="40% - Accent1 2 3 7" xfId="4556" xr:uid="{00000000-0005-0000-0000-0000FE030000}"/>
    <cellStyle name="40% - Accent1 2 3 7 2" xfId="13006" xr:uid="{14758578-143B-4440-B39C-75BD267E4F53}"/>
    <cellStyle name="40% - Accent1 2 3 7 3" xfId="21453" xr:uid="{8051FB38-7CD3-4542-AB07-A308E0F901D0}"/>
    <cellStyle name="40% - Accent1 2 3 8" xfId="8788" xr:uid="{9F480545-F055-44E7-A35F-0013A001A5BC}"/>
    <cellStyle name="40% - Accent1 2 3 9" xfId="17236" xr:uid="{E294410F-78A5-4BEA-BA68-F928E0867235}"/>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179CE3D6-E2A8-4499-B1A4-C6E1DF9C2768}"/>
    <cellStyle name="40% - Accent1 2 4 2 2 3" xfId="24009" xr:uid="{2266D32D-C786-455A-94A7-3BD55A629BE6}"/>
    <cellStyle name="40% - Accent1 2 4 2 3" xfId="11344" xr:uid="{C9B31399-0DF8-4452-9C0C-469D356807A7}"/>
    <cellStyle name="40% - Accent1 2 4 2 4" xfId="19792" xr:uid="{B9B77AEF-12E6-40C6-B8C7-910650A8A32E}"/>
    <cellStyle name="40% - Accent1 2 4 3" xfId="4967" xr:uid="{00000000-0005-0000-0000-000002040000}"/>
    <cellStyle name="40% - Accent1 2 4 3 2" xfId="13417" xr:uid="{A119690E-D72E-4CE5-BFB7-10AA3A47D3DE}"/>
    <cellStyle name="40% - Accent1 2 4 3 3" xfId="21864" xr:uid="{68493C77-FA62-4D1C-BFA9-FFCC6292A269}"/>
    <cellStyle name="40% - Accent1 2 4 4" xfId="9199" xr:uid="{5D043263-A762-4FB4-BB6B-D3029F137A89}"/>
    <cellStyle name="40% - Accent1 2 4 5" xfId="17647" xr:uid="{D5C09A62-45F3-4B4C-8F14-38FE21CA4D57}"/>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CDCCA54E-FDE0-49AD-95E4-04FD5EDA6B7F}"/>
    <cellStyle name="40% - Accent1 2 5 2 2 3" xfId="24422" xr:uid="{17599D46-327B-487B-A388-59ECA1B5369C}"/>
    <cellStyle name="40% - Accent1 2 5 2 3" xfId="11757" xr:uid="{992975D7-DB7B-4F5B-BA7C-1E79A9EBE7FD}"/>
    <cellStyle name="40% - Accent1 2 5 2 4" xfId="20205" xr:uid="{9959D778-45E5-4158-A7E6-EA013F311687}"/>
    <cellStyle name="40% - Accent1 2 5 3" xfId="5380" xr:uid="{00000000-0005-0000-0000-000006040000}"/>
    <cellStyle name="40% - Accent1 2 5 3 2" xfId="13830" xr:uid="{6E1BF248-34DB-4564-8DCC-A765FD0FCA70}"/>
    <cellStyle name="40% - Accent1 2 5 3 3" xfId="22277" xr:uid="{E7EE8C66-E2C5-43DA-B71E-3DCFB0974ABD}"/>
    <cellStyle name="40% - Accent1 2 5 4" xfId="9612" xr:uid="{50937BB1-7697-4F01-9C41-582F00C4A69B}"/>
    <cellStyle name="40% - Accent1 2 5 5" xfId="18060" xr:uid="{D8908C2A-0916-4580-8B43-937DF7F277CB}"/>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31381EE1-5BAC-4EB2-B149-DB5E837C64F8}"/>
    <cellStyle name="40% - Accent1 2 6 2 2 3" xfId="24835" xr:uid="{D018EF27-6F9B-4094-85FF-576472D10BC8}"/>
    <cellStyle name="40% - Accent1 2 6 2 3" xfId="12170" xr:uid="{B0865B41-9DB5-4363-B60C-C2E002ADDE53}"/>
    <cellStyle name="40% - Accent1 2 6 2 4" xfId="20618" xr:uid="{45DFE549-45EA-46D6-9135-4E343C62A47D}"/>
    <cellStyle name="40% - Accent1 2 6 3" xfId="5793" xr:uid="{00000000-0005-0000-0000-00000A040000}"/>
    <cellStyle name="40% - Accent1 2 6 3 2" xfId="14243" xr:uid="{62103822-0C0B-485A-9B24-C0518EF11499}"/>
    <cellStyle name="40% - Accent1 2 6 3 3" xfId="22690" xr:uid="{856E5874-E725-409D-A8EC-F95B6C43A9F2}"/>
    <cellStyle name="40% - Accent1 2 6 4" xfId="10025" xr:uid="{FEFC6037-ECC5-41D5-92EB-11A47246F893}"/>
    <cellStyle name="40% - Accent1 2 6 5" xfId="18473" xr:uid="{AD47B374-E442-4DD5-A564-F0772C0C44DF}"/>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4F8D5EDF-23B5-4B9B-95A4-C1956BF8F72E}"/>
    <cellStyle name="40% - Accent1 2 7 2 2 3" xfId="25248" xr:uid="{F0DD9EF9-9DB4-404B-ADD5-8A85D6F3BEEB}"/>
    <cellStyle name="40% - Accent1 2 7 2 3" xfId="12583" xr:uid="{39E151B1-C7D9-4564-B35A-566F481FE4F4}"/>
    <cellStyle name="40% - Accent1 2 7 2 4" xfId="21031" xr:uid="{E52B7080-8E7E-4F6B-B780-8EA57E2DFC33}"/>
    <cellStyle name="40% - Accent1 2 7 3" xfId="6206" xr:uid="{00000000-0005-0000-0000-00000E040000}"/>
    <cellStyle name="40% - Accent1 2 7 3 2" xfId="14656" xr:uid="{9FE44370-CBBC-4FDA-A637-0A004B5A25AF}"/>
    <cellStyle name="40% - Accent1 2 7 3 3" xfId="23103" xr:uid="{51144A06-D96D-4114-A353-8BCD59F60AC2}"/>
    <cellStyle name="40% - Accent1 2 7 4" xfId="10438" xr:uid="{73057EC6-D4A0-4F9A-B560-56977A47EFC0}"/>
    <cellStyle name="40% - Accent1 2 7 5" xfId="18886" xr:uid="{EEDA2D46-BD65-4773-9BC1-B49DD6B6B4D9}"/>
    <cellStyle name="40% - Accent1 2 8" xfId="2313" xr:uid="{00000000-0005-0000-0000-00000F040000}"/>
    <cellStyle name="40% - Accent1 2 8 2" xfId="6619" xr:uid="{00000000-0005-0000-0000-000010040000}"/>
    <cellStyle name="40% - Accent1 2 8 2 2" xfId="15069" xr:uid="{2F24237D-EB2F-4375-8F1C-1FC05DB5DF03}"/>
    <cellStyle name="40% - Accent1 2 8 2 3" xfId="23516" xr:uid="{C3FC8818-FB30-4FC0-AAC6-C2D3861F1626}"/>
    <cellStyle name="40% - Accent1 2 8 3" xfId="10851" xr:uid="{B7655502-4BC5-4344-868F-D43F269925C1}"/>
    <cellStyle name="40% - Accent1 2 8 4" xfId="19299" xr:uid="{E60FD96C-EE34-452B-BCA5-60612FD36FF5}"/>
    <cellStyle name="40% - Accent1 2 9" xfId="4553" xr:uid="{00000000-0005-0000-0000-000011040000}"/>
    <cellStyle name="40% - Accent1 2 9 2" xfId="13003" xr:uid="{13E68995-948C-49FB-88C1-1EF38CE5327B}"/>
    <cellStyle name="40% - Accent1 2 9 3" xfId="21450" xr:uid="{575D0E82-1791-46E4-B68C-3FF6482A1685}"/>
    <cellStyle name="40% - Accent1 3" xfId="54" xr:uid="{00000000-0005-0000-0000-000012040000}"/>
    <cellStyle name="40% - Accent1 3 10" xfId="17237" xr:uid="{F55DEE02-03A0-48E5-829C-7E2D32FE5DE6}"/>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BDE6D6FD-E91C-494E-899B-B09A9B390C43}"/>
    <cellStyle name="40% - Accent1 3 2 2 2 2 3" xfId="24014" xr:uid="{5D10D84C-3838-439C-927A-2515EA3C27CC}"/>
    <cellStyle name="40% - Accent1 3 2 2 2 3" xfId="11349" xr:uid="{BC6AB483-4878-4AB1-8CB1-DEA44CB9EDAE}"/>
    <cellStyle name="40% - Accent1 3 2 2 2 4" xfId="19797" xr:uid="{567BE541-B9D5-4418-BEAF-F2AE9AE8BB18}"/>
    <cellStyle name="40% - Accent1 3 2 2 3" xfId="4972" xr:uid="{00000000-0005-0000-0000-000017040000}"/>
    <cellStyle name="40% - Accent1 3 2 2 3 2" xfId="13422" xr:uid="{2EB0EFD2-E60C-4751-986D-98D0473E41DF}"/>
    <cellStyle name="40% - Accent1 3 2 2 3 3" xfId="21869" xr:uid="{D0B5C184-4F33-4F53-807F-B72BA3DF92C4}"/>
    <cellStyle name="40% - Accent1 3 2 2 4" xfId="9204" xr:uid="{A35E1E77-3A80-4565-820D-523A3F6A893C}"/>
    <cellStyle name="40% - Accent1 3 2 2 5" xfId="17652" xr:uid="{D7C5F2FA-B05F-4FB0-9B6B-478EB709E5C6}"/>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13F5CA50-4E8B-4C10-A1B7-02205A74ED8C}"/>
    <cellStyle name="40% - Accent1 3 2 3 2 2 3" xfId="24427" xr:uid="{20385AB4-E016-442C-958C-2AF62F6A90F9}"/>
    <cellStyle name="40% - Accent1 3 2 3 2 3" xfId="11762" xr:uid="{3BE4C29E-1B0D-4374-8486-D5938A79C0E8}"/>
    <cellStyle name="40% - Accent1 3 2 3 2 4" xfId="20210" xr:uid="{1EB80B65-B0D0-453D-A6A8-986AFAFFE9CE}"/>
    <cellStyle name="40% - Accent1 3 2 3 3" xfId="5385" xr:uid="{00000000-0005-0000-0000-00001B040000}"/>
    <cellStyle name="40% - Accent1 3 2 3 3 2" xfId="13835" xr:uid="{52FD88DB-303E-4DA9-B0FD-DB76BEFE8FBA}"/>
    <cellStyle name="40% - Accent1 3 2 3 3 3" xfId="22282" xr:uid="{2A222FCB-5858-4F19-8FF1-77A165B8F292}"/>
    <cellStyle name="40% - Accent1 3 2 3 4" xfId="9617" xr:uid="{B7601333-5180-4CA7-A471-0088D98E2342}"/>
    <cellStyle name="40% - Accent1 3 2 3 5" xfId="18065" xr:uid="{7A95D302-ED5B-474B-BED2-FE36AA2211A4}"/>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B0A7327D-1207-4EB7-823F-DF4C4FC90C9E}"/>
    <cellStyle name="40% - Accent1 3 2 4 2 2 3" xfId="24840" xr:uid="{5AA4E8E3-7337-4DAE-8FF0-13C363034A5C}"/>
    <cellStyle name="40% - Accent1 3 2 4 2 3" xfId="12175" xr:uid="{45066440-A4E3-48E2-9E57-A07A2515F943}"/>
    <cellStyle name="40% - Accent1 3 2 4 2 4" xfId="20623" xr:uid="{ABC38495-F907-4332-A708-232E5FE385D3}"/>
    <cellStyle name="40% - Accent1 3 2 4 3" xfId="5798" xr:uid="{00000000-0005-0000-0000-00001F040000}"/>
    <cellStyle name="40% - Accent1 3 2 4 3 2" xfId="14248" xr:uid="{046D1835-B2E9-40F0-9884-BED6E49FC180}"/>
    <cellStyle name="40% - Accent1 3 2 4 3 3" xfId="22695" xr:uid="{82C47897-9A2D-475D-8F85-14E8FCEA4F4E}"/>
    <cellStyle name="40% - Accent1 3 2 4 4" xfId="10030" xr:uid="{6848A54E-C12F-46EE-8CA3-82A110B3A562}"/>
    <cellStyle name="40% - Accent1 3 2 4 5" xfId="18478" xr:uid="{B1F621C9-5A8A-4B29-8ECF-71F0457879D2}"/>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74467640-7735-409C-89DD-3C10B7752378}"/>
    <cellStyle name="40% - Accent1 3 2 5 2 2 3" xfId="25253" xr:uid="{B28AF59B-D2AD-4032-9893-FF4729C21D9E}"/>
    <cellStyle name="40% - Accent1 3 2 5 2 3" xfId="12588" xr:uid="{3F6C62AC-7E2B-464D-ACF6-01578321B1E1}"/>
    <cellStyle name="40% - Accent1 3 2 5 2 4" xfId="21036" xr:uid="{FB85FDB2-B38B-4107-AD75-A8A9C67C78C2}"/>
    <cellStyle name="40% - Accent1 3 2 5 3" xfId="6211" xr:uid="{00000000-0005-0000-0000-000023040000}"/>
    <cellStyle name="40% - Accent1 3 2 5 3 2" xfId="14661" xr:uid="{12B98662-3BD6-4E8D-ADDC-9C33B7DB80C9}"/>
    <cellStyle name="40% - Accent1 3 2 5 3 3" xfId="23108" xr:uid="{FA5CD7E4-BB36-4D41-8436-20B013245671}"/>
    <cellStyle name="40% - Accent1 3 2 5 4" xfId="10443" xr:uid="{25FAA630-1D44-4C47-A30E-543E3DBA0653}"/>
    <cellStyle name="40% - Accent1 3 2 5 5" xfId="18891" xr:uid="{88DA160A-30B8-4C16-ABDB-000D2DE0F2F3}"/>
    <cellStyle name="40% - Accent1 3 2 6" xfId="2318" xr:uid="{00000000-0005-0000-0000-000024040000}"/>
    <cellStyle name="40% - Accent1 3 2 6 2" xfId="6624" xr:uid="{00000000-0005-0000-0000-000025040000}"/>
    <cellStyle name="40% - Accent1 3 2 6 2 2" xfId="15074" xr:uid="{7AC17C8A-36B2-46C7-BD47-442128080966}"/>
    <cellStyle name="40% - Accent1 3 2 6 2 3" xfId="23521" xr:uid="{97418356-FF1A-4064-A004-FC4518B9B018}"/>
    <cellStyle name="40% - Accent1 3 2 6 3" xfId="10856" xr:uid="{2971F538-C424-4C44-8788-517CBB69B992}"/>
    <cellStyle name="40% - Accent1 3 2 6 4" xfId="19304" xr:uid="{89AF189E-9733-474A-8A09-99CA08AE626D}"/>
    <cellStyle name="40% - Accent1 3 2 7" xfId="4558" xr:uid="{00000000-0005-0000-0000-000026040000}"/>
    <cellStyle name="40% - Accent1 3 2 7 2" xfId="13008" xr:uid="{EBAFC7A0-CD4D-408E-8CAB-371FA365B1CD}"/>
    <cellStyle name="40% - Accent1 3 2 7 3" xfId="21455" xr:uid="{F1798D1B-F837-4DF6-9179-B2FD368B3EB2}"/>
    <cellStyle name="40% - Accent1 3 2 8" xfId="8790" xr:uid="{9A28775B-D838-4293-BC04-F09E61312D45}"/>
    <cellStyle name="40% - Accent1 3 2 9" xfId="17238" xr:uid="{D73F8485-1CF0-4655-B8D8-B84DB4145425}"/>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62548E99-3D59-44EC-BEE4-9EB36855E7C3}"/>
    <cellStyle name="40% - Accent1 3 3 2 2 3" xfId="24013" xr:uid="{E6ED5CE0-29F1-483D-B352-65E4907BB709}"/>
    <cellStyle name="40% - Accent1 3 3 2 3" xfId="11348" xr:uid="{2048E0A9-BEF8-49EE-A2A9-CF02AC6A23F5}"/>
    <cellStyle name="40% - Accent1 3 3 2 4" xfId="19796" xr:uid="{3C53DD40-9CF2-40A2-8EF2-49B263C4A78F}"/>
    <cellStyle name="40% - Accent1 3 3 3" xfId="4971" xr:uid="{00000000-0005-0000-0000-00002A040000}"/>
    <cellStyle name="40% - Accent1 3 3 3 2" xfId="13421" xr:uid="{BBD9C934-695A-4A0F-BA9C-C6A980E83C82}"/>
    <cellStyle name="40% - Accent1 3 3 3 3" xfId="21868" xr:uid="{7B01B3E1-E971-441C-B592-E3F1A8F71E23}"/>
    <cellStyle name="40% - Accent1 3 3 4" xfId="9203" xr:uid="{D48D8961-B0E5-4FAD-8B3D-7DB4769E4CA3}"/>
    <cellStyle name="40% - Accent1 3 3 5" xfId="17651" xr:uid="{EF08456A-EECD-4726-9C44-1B1657792A87}"/>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D315DB54-4A9C-4B09-8F45-64D8AAD5DE32}"/>
    <cellStyle name="40% - Accent1 3 4 2 2 3" xfId="24426" xr:uid="{FC31664B-517E-4236-BA3A-274E215879DC}"/>
    <cellStyle name="40% - Accent1 3 4 2 3" xfId="11761" xr:uid="{48D266FB-9729-4CB2-95E8-A2920B6774A7}"/>
    <cellStyle name="40% - Accent1 3 4 2 4" xfId="20209" xr:uid="{9FEC44EF-CB86-42D2-A795-E0566284F872}"/>
    <cellStyle name="40% - Accent1 3 4 3" xfId="5384" xr:uid="{00000000-0005-0000-0000-00002E040000}"/>
    <cellStyle name="40% - Accent1 3 4 3 2" xfId="13834" xr:uid="{C4C98E3B-7E18-482F-8A12-B5619DF5424D}"/>
    <cellStyle name="40% - Accent1 3 4 3 3" xfId="22281" xr:uid="{48355AE9-2A59-4156-AAD6-A5C3EF3A3D17}"/>
    <cellStyle name="40% - Accent1 3 4 4" xfId="9616" xr:uid="{A412EF93-C969-4B12-ABB2-D001D7344E86}"/>
    <cellStyle name="40% - Accent1 3 4 5" xfId="18064" xr:uid="{7852555F-5192-41EE-B204-47AC0CFDE31C}"/>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9A2B0566-98F4-4DB3-B7A8-58252119D6DE}"/>
    <cellStyle name="40% - Accent1 3 5 2 2 3" xfId="24839" xr:uid="{2EC80AA6-ED7E-45F3-9822-67F5AA1DD10F}"/>
    <cellStyle name="40% - Accent1 3 5 2 3" xfId="12174" xr:uid="{19D038AE-CB4B-4ECD-8FB1-6A68E310B81D}"/>
    <cellStyle name="40% - Accent1 3 5 2 4" xfId="20622" xr:uid="{2D782149-00C2-49E8-B599-1E25ED828B52}"/>
    <cellStyle name="40% - Accent1 3 5 3" xfId="5797" xr:uid="{00000000-0005-0000-0000-000032040000}"/>
    <cellStyle name="40% - Accent1 3 5 3 2" xfId="14247" xr:uid="{A1BBA426-A25C-4C21-BEE1-A1C8D775C273}"/>
    <cellStyle name="40% - Accent1 3 5 3 3" xfId="22694" xr:uid="{45F666C6-1D00-4A8A-9A73-56C2676BC28F}"/>
    <cellStyle name="40% - Accent1 3 5 4" xfId="10029" xr:uid="{931C0A04-BBD7-4D08-AB2D-4DC02B2AF242}"/>
    <cellStyle name="40% - Accent1 3 5 5" xfId="18477" xr:uid="{D89CE12E-426F-42A1-9B20-C85363DEF60D}"/>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B937328C-5A02-41BE-8809-F47E6B40398C}"/>
    <cellStyle name="40% - Accent1 3 6 2 2 3" xfId="25252" xr:uid="{1223BBBC-2912-4774-B72D-034F0BE037C8}"/>
    <cellStyle name="40% - Accent1 3 6 2 3" xfId="12587" xr:uid="{99F5C070-7DA7-4DD4-BB91-55625358477B}"/>
    <cellStyle name="40% - Accent1 3 6 2 4" xfId="21035" xr:uid="{F4BD2B15-F2DA-49FE-8373-B7DC57A5E5D7}"/>
    <cellStyle name="40% - Accent1 3 6 3" xfId="6210" xr:uid="{00000000-0005-0000-0000-000036040000}"/>
    <cellStyle name="40% - Accent1 3 6 3 2" xfId="14660" xr:uid="{DD24D873-FA91-4538-9DAF-D95968F8C480}"/>
    <cellStyle name="40% - Accent1 3 6 3 3" xfId="23107" xr:uid="{ACF09BE1-FB2F-4F05-82BB-330F27AEBBB9}"/>
    <cellStyle name="40% - Accent1 3 6 4" xfId="10442" xr:uid="{B7623FB7-8FFB-44BC-97FE-2802B1DE158A}"/>
    <cellStyle name="40% - Accent1 3 6 5" xfId="18890" xr:uid="{F2A12FBA-CBFD-4C33-BFC3-59A2F5C03127}"/>
    <cellStyle name="40% - Accent1 3 7" xfId="2317" xr:uid="{00000000-0005-0000-0000-000037040000}"/>
    <cellStyle name="40% - Accent1 3 7 2" xfId="6623" xr:uid="{00000000-0005-0000-0000-000038040000}"/>
    <cellStyle name="40% - Accent1 3 7 2 2" xfId="15073" xr:uid="{AEDB8F63-0E77-45E6-ABC1-84C2DC094AD0}"/>
    <cellStyle name="40% - Accent1 3 7 2 3" xfId="23520" xr:uid="{3D3F82F6-515A-4C23-B4B3-F605D5A821C4}"/>
    <cellStyle name="40% - Accent1 3 7 3" xfId="10855" xr:uid="{091C8D5B-2969-434A-8930-47B1311D582D}"/>
    <cellStyle name="40% - Accent1 3 7 4" xfId="19303" xr:uid="{15203A05-D02A-47D2-BCF2-F9BC79E6C150}"/>
    <cellStyle name="40% - Accent1 3 8" xfId="4557" xr:uid="{00000000-0005-0000-0000-000039040000}"/>
    <cellStyle name="40% - Accent1 3 8 2" xfId="13007" xr:uid="{2719C2C0-404A-4208-832D-CF206EF5AB8F}"/>
    <cellStyle name="40% - Accent1 3 8 3" xfId="21454" xr:uid="{9F98C06A-97A4-4AFF-93C1-D7AD5F5EF579}"/>
    <cellStyle name="40% - Accent1 3 9" xfId="8789" xr:uid="{308B9C52-E62B-42DE-8E25-27D3CC31E5BA}"/>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78E09EAB-B54E-4BDD-8BA8-AABD25B4BBC2}"/>
    <cellStyle name="40% - Accent1 4 2 2 2 3" xfId="24015" xr:uid="{7D6D3E42-04E3-4471-91F3-3B934E4B2AAD}"/>
    <cellStyle name="40% - Accent1 4 2 2 3" xfId="11350" xr:uid="{D8B4250E-3C1F-4E5B-9582-F3189337ED7F}"/>
    <cellStyle name="40% - Accent1 4 2 2 4" xfId="19798" xr:uid="{37CD4D2E-4C65-40A9-8E06-8B25F4C45D6A}"/>
    <cellStyle name="40% - Accent1 4 2 3" xfId="4973" xr:uid="{00000000-0005-0000-0000-00003E040000}"/>
    <cellStyle name="40% - Accent1 4 2 3 2" xfId="13423" xr:uid="{5158248B-BD50-4554-BFEA-4D1308E0D310}"/>
    <cellStyle name="40% - Accent1 4 2 3 3" xfId="21870" xr:uid="{B6FD28B5-D581-4333-9B30-8F5E5198174F}"/>
    <cellStyle name="40% - Accent1 4 2 4" xfId="9205" xr:uid="{04F72478-B15E-4A7A-B283-3B13CD929971}"/>
    <cellStyle name="40% - Accent1 4 2 5" xfId="17653" xr:uid="{6AD68E45-9195-4DD1-A129-9E691FA79354}"/>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F6EAE020-C25F-4A38-81D2-FD56C905BFB8}"/>
    <cellStyle name="40% - Accent1 4 3 2 2 3" xfId="24428" xr:uid="{F2F71158-B252-44C0-9139-67803CF79830}"/>
    <cellStyle name="40% - Accent1 4 3 2 3" xfId="11763" xr:uid="{60F0044E-1279-48AA-9F48-6E954AFA7D73}"/>
    <cellStyle name="40% - Accent1 4 3 2 4" xfId="20211" xr:uid="{2765939E-927A-497B-B82B-0D824C45ABC3}"/>
    <cellStyle name="40% - Accent1 4 3 3" xfId="5386" xr:uid="{00000000-0005-0000-0000-000042040000}"/>
    <cellStyle name="40% - Accent1 4 3 3 2" xfId="13836" xr:uid="{26C7F6C9-E2E2-4DDF-8460-57E09F0394CD}"/>
    <cellStyle name="40% - Accent1 4 3 3 3" xfId="22283" xr:uid="{4E3B0C65-B88D-4A59-B4CC-2D10751B693C}"/>
    <cellStyle name="40% - Accent1 4 3 4" xfId="9618" xr:uid="{502BE3D3-EBAD-4308-BC74-346AAE7508A6}"/>
    <cellStyle name="40% - Accent1 4 3 5" xfId="18066" xr:uid="{D68BEAE5-8356-4E8E-A0F8-C40304C2ED04}"/>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84E2A091-70C5-4814-AD9E-8FD63057BEC5}"/>
    <cellStyle name="40% - Accent1 4 4 2 2 3" xfId="24841" xr:uid="{2664804F-D2CC-48C5-A79F-D1BB3B9D04ED}"/>
    <cellStyle name="40% - Accent1 4 4 2 3" xfId="12176" xr:uid="{922520F9-0272-464E-B962-F71FA7A49406}"/>
    <cellStyle name="40% - Accent1 4 4 2 4" xfId="20624" xr:uid="{FE509B86-F26E-46E4-9F93-183E6E0326BD}"/>
    <cellStyle name="40% - Accent1 4 4 3" xfId="5799" xr:uid="{00000000-0005-0000-0000-000046040000}"/>
    <cellStyle name="40% - Accent1 4 4 3 2" xfId="14249" xr:uid="{B3B79BD4-158E-440F-937B-F9AA32E5AA93}"/>
    <cellStyle name="40% - Accent1 4 4 3 3" xfId="22696" xr:uid="{6299E0E4-5DB1-4880-A908-8F637E7A45A4}"/>
    <cellStyle name="40% - Accent1 4 4 4" xfId="10031" xr:uid="{62B5ED71-F8DB-4A06-A94F-88DEC3CDF658}"/>
    <cellStyle name="40% - Accent1 4 4 5" xfId="18479" xr:uid="{879D117A-4D86-4C00-8941-0662E762D7AD}"/>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944A0595-6E28-402E-B0A2-4A3DEE548956}"/>
    <cellStyle name="40% - Accent1 4 5 2 2 3" xfId="25254" xr:uid="{11237A45-5705-44B8-B72D-4D9B42031D61}"/>
    <cellStyle name="40% - Accent1 4 5 2 3" xfId="12589" xr:uid="{97A435D7-D480-400B-A2F2-B387B37B4F34}"/>
    <cellStyle name="40% - Accent1 4 5 2 4" xfId="21037" xr:uid="{14E79C6D-088B-4F18-9B50-A39A9B68FAC2}"/>
    <cellStyle name="40% - Accent1 4 5 3" xfId="6212" xr:uid="{00000000-0005-0000-0000-00004A040000}"/>
    <cellStyle name="40% - Accent1 4 5 3 2" xfId="14662" xr:uid="{C6A6740C-4DCB-40D5-AFB0-B73DA12F86D9}"/>
    <cellStyle name="40% - Accent1 4 5 3 3" xfId="23109" xr:uid="{83EE5FC1-5298-4AB6-B79B-31F571859649}"/>
    <cellStyle name="40% - Accent1 4 5 4" xfId="10444" xr:uid="{5DC6B62D-7750-4672-9E16-A6D5AAC7C926}"/>
    <cellStyle name="40% - Accent1 4 5 5" xfId="18892" xr:uid="{65FCC6AF-9908-42DF-AB5A-7596DED5B790}"/>
    <cellStyle name="40% - Accent1 4 6" xfId="2319" xr:uid="{00000000-0005-0000-0000-00004B040000}"/>
    <cellStyle name="40% - Accent1 4 6 2" xfId="6625" xr:uid="{00000000-0005-0000-0000-00004C040000}"/>
    <cellStyle name="40% - Accent1 4 6 2 2" xfId="15075" xr:uid="{84375A3B-28A9-4C5A-A251-02FA7E09A238}"/>
    <cellStyle name="40% - Accent1 4 6 2 3" xfId="23522" xr:uid="{F818B98E-F12C-4D17-97EB-1AAB75A5EC3E}"/>
    <cellStyle name="40% - Accent1 4 6 3" xfId="10857" xr:uid="{D30DE9B0-A798-4CC0-A11D-5E552E1EB882}"/>
    <cellStyle name="40% - Accent1 4 6 4" xfId="19305" xr:uid="{90A97F5A-C9E5-4314-9FF2-3C2DD0BE8801}"/>
    <cellStyle name="40% - Accent1 4 7" xfId="4559" xr:uid="{00000000-0005-0000-0000-00004D040000}"/>
    <cellStyle name="40% - Accent1 4 7 2" xfId="13009" xr:uid="{E138969B-C4C8-44EC-B146-9402DBFB449E}"/>
    <cellStyle name="40% - Accent1 4 7 3" xfId="21456" xr:uid="{788EB0D1-27E1-4221-9131-A404F75B3EEA}"/>
    <cellStyle name="40% - Accent1 4 8" xfId="8791" xr:uid="{BFECC8AB-5BE3-496F-87A8-4945FA4960D8}"/>
    <cellStyle name="40% - Accent1 4 9" xfId="17239" xr:uid="{419FFE9E-8AF6-40BA-8119-284213F5A3A2}"/>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65684F68-4EB1-4891-947B-EE62319EA0F7}"/>
    <cellStyle name="40% - Accent1 5 2 2 3" xfId="24008" xr:uid="{98417E9E-3BD6-408D-9443-238724E6BDCB}"/>
    <cellStyle name="40% - Accent1 5 2 3" xfId="11343" xr:uid="{7B801D8F-24FA-4B7E-8784-8B86F4CB34BA}"/>
    <cellStyle name="40% - Accent1 5 2 4" xfId="19791" xr:uid="{E919502A-815C-4518-BE8B-D9C8B6A7BED1}"/>
    <cellStyle name="40% - Accent1 5 3" xfId="4966" xr:uid="{00000000-0005-0000-0000-000051040000}"/>
    <cellStyle name="40% - Accent1 5 3 2" xfId="13416" xr:uid="{67ECDA69-AB6A-4EF9-B6B9-42C473B8BECF}"/>
    <cellStyle name="40% - Accent1 5 3 3" xfId="21863" xr:uid="{3602CBB0-1651-430B-9962-A15CC17025D7}"/>
    <cellStyle name="40% - Accent1 5 4" xfId="9198" xr:uid="{5C3FBD5B-6336-4764-B9FD-05E3A1A4BDC0}"/>
    <cellStyle name="40% - Accent1 5 5" xfId="17646" xr:uid="{EB40BED0-3DF4-4B3F-A2FE-34233CFEB010}"/>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60B9A260-B575-4DFD-B67C-EC7159D4608A}"/>
    <cellStyle name="40% - Accent1 6 2 2 3" xfId="24421" xr:uid="{819426F0-6BC4-4FA3-B9E0-58DA876C8C9B}"/>
    <cellStyle name="40% - Accent1 6 2 3" xfId="11756" xr:uid="{1C5FDDCE-0F98-479A-8A42-D8647381774D}"/>
    <cellStyle name="40% - Accent1 6 2 4" xfId="20204" xr:uid="{413A357D-9352-47FA-AAEC-A03236DB295C}"/>
    <cellStyle name="40% - Accent1 6 3" xfId="5379" xr:uid="{00000000-0005-0000-0000-000055040000}"/>
    <cellStyle name="40% - Accent1 6 3 2" xfId="13829" xr:uid="{1634276E-D936-45D0-8CD2-13CCAEB1DEDB}"/>
    <cellStyle name="40% - Accent1 6 3 3" xfId="22276" xr:uid="{3261229E-630B-47D3-9756-AEC0DDA29755}"/>
    <cellStyle name="40% - Accent1 6 4" xfId="9611" xr:uid="{235B657F-496A-4B58-A20D-75B8CB9D551F}"/>
    <cellStyle name="40% - Accent1 6 5" xfId="18059" xr:uid="{5896EA0A-89ED-40F9-93E2-8E9470E499C4}"/>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BA85BB55-93E0-476B-92EB-45C2F675BB90}"/>
    <cellStyle name="40% - Accent1 7 2 2 3" xfId="24834" xr:uid="{C31CCA0B-2B10-43B3-BFBC-66AFA911232B}"/>
    <cellStyle name="40% - Accent1 7 2 3" xfId="12169" xr:uid="{394FC354-231A-4D70-9D6D-239FB6025E8B}"/>
    <cellStyle name="40% - Accent1 7 2 4" xfId="20617" xr:uid="{6AB37976-0E1B-428D-B8B6-BDFAE3314997}"/>
    <cellStyle name="40% - Accent1 7 3" xfId="5792" xr:uid="{00000000-0005-0000-0000-000059040000}"/>
    <cellStyle name="40% - Accent1 7 3 2" xfId="14242" xr:uid="{699AC5D4-46CA-4916-B304-8E76382DA803}"/>
    <cellStyle name="40% - Accent1 7 3 3" xfId="22689" xr:uid="{DAAAB281-4274-42C9-AFE6-DBAC6F4A48C2}"/>
    <cellStyle name="40% - Accent1 7 4" xfId="10024" xr:uid="{9F4FA443-28A1-4542-B920-7D4A0E480B6B}"/>
    <cellStyle name="40% - Accent1 7 5" xfId="18472" xr:uid="{E24A01AD-EBD6-461F-9661-EDD4F116F79A}"/>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0E97423C-A9E1-4F96-98E9-C2F25FD57847}"/>
    <cellStyle name="40% - Accent1 8 2 2 3" xfId="25247" xr:uid="{C0B60488-AC75-4A8D-88C0-2A4AEAEC8F04}"/>
    <cellStyle name="40% - Accent1 8 2 3" xfId="12582" xr:uid="{C1568001-AB48-4C43-A519-5ED5316257D5}"/>
    <cellStyle name="40% - Accent1 8 2 4" xfId="21030" xr:uid="{2E25E2AE-EA08-4BF2-AF7E-6CC4CB8F26EE}"/>
    <cellStyle name="40% - Accent1 8 3" xfId="6205" xr:uid="{00000000-0005-0000-0000-00005D040000}"/>
    <cellStyle name="40% - Accent1 8 3 2" xfId="14655" xr:uid="{49E69CC4-4358-4DBD-B8E8-60A9EAFFDD5E}"/>
    <cellStyle name="40% - Accent1 8 3 3" xfId="23102" xr:uid="{0F2CED98-1A4A-4FB6-9624-49FCCF17E383}"/>
    <cellStyle name="40% - Accent1 8 4" xfId="10437" xr:uid="{4BE31A19-FB1F-48C7-AD42-A374DD09920D}"/>
    <cellStyle name="40% - Accent1 8 5" xfId="18885" xr:uid="{8A7EFCB9-4AEB-4F53-8E2C-E9253A872908}"/>
    <cellStyle name="40% - Accent1 9" xfId="2312" xr:uid="{00000000-0005-0000-0000-00005E040000}"/>
    <cellStyle name="40% - Accent1 9 2" xfId="6618" xr:uid="{00000000-0005-0000-0000-00005F040000}"/>
    <cellStyle name="40% - Accent1 9 2 2" xfId="15068" xr:uid="{3099DE77-91DE-436E-A1B7-296A1C818887}"/>
    <cellStyle name="40% - Accent1 9 2 3" xfId="23515" xr:uid="{F7BC6482-EA1D-420A-A650-1AE50E080987}"/>
    <cellStyle name="40% - Accent1 9 3" xfId="10850" xr:uid="{A8EA79AC-9488-42B2-BDB2-997BC73B4A9C}"/>
    <cellStyle name="40% - Accent1 9 4" xfId="19298" xr:uid="{C0C9455C-9CFA-49C4-9232-7E3B455DCD22}"/>
    <cellStyle name="40% - Accent2" xfId="57" builtinId="35" customBuiltin="1"/>
    <cellStyle name="40% - Accent2 10" xfId="4560" xr:uid="{00000000-0005-0000-0000-000061040000}"/>
    <cellStyle name="40% - Accent2 10 2" xfId="13010" xr:uid="{2044D007-3125-4B82-B709-B783F2E46677}"/>
    <cellStyle name="40% - Accent2 10 3" xfId="21457" xr:uid="{29638215-D9CA-4F80-AECE-2BCF9D99B7CA}"/>
    <cellStyle name="40% - Accent2 11" xfId="8792" xr:uid="{04C06181-2831-4A5A-823A-A0173CC8A430}"/>
    <cellStyle name="40% - Accent2 12" xfId="17240" xr:uid="{E3031027-8788-4F86-A5C8-5DF052EA2E59}"/>
    <cellStyle name="40% - Accent2 2" xfId="58" xr:uid="{00000000-0005-0000-0000-000062040000}"/>
    <cellStyle name="40% - Accent2 2 10" xfId="8793" xr:uid="{97082DB1-CD73-4CE9-9A70-17CC16E25C04}"/>
    <cellStyle name="40% - Accent2 2 11" xfId="17241" xr:uid="{EEE824AE-C54B-4D33-B5D9-B56C3291242C}"/>
    <cellStyle name="40% - Accent2 2 2" xfId="59" xr:uid="{00000000-0005-0000-0000-000063040000}"/>
    <cellStyle name="40% - Accent2 2 2 10" xfId="17242" xr:uid="{21C849B1-A396-4652-9F18-CBA30E6EF723}"/>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BB587212-DF2F-4888-B042-BFD90432F40D}"/>
    <cellStyle name="40% - Accent2 2 2 2 2 2 2 3" xfId="24019" xr:uid="{21252A37-B089-417C-97F0-6FE5F1E85D57}"/>
    <cellStyle name="40% - Accent2 2 2 2 2 2 3" xfId="11354" xr:uid="{739B454E-B0CB-4C79-937F-BC2794A4445F}"/>
    <cellStyle name="40% - Accent2 2 2 2 2 2 4" xfId="19802" xr:uid="{A9ACDDE5-0638-4F5B-820A-84E474E2B876}"/>
    <cellStyle name="40% - Accent2 2 2 2 2 3" xfId="4977" xr:uid="{00000000-0005-0000-0000-000068040000}"/>
    <cellStyle name="40% - Accent2 2 2 2 2 3 2" xfId="13427" xr:uid="{E4881CB9-9E91-4CD3-91D6-12510C79ADFB}"/>
    <cellStyle name="40% - Accent2 2 2 2 2 3 3" xfId="21874" xr:uid="{645AE9D5-6A29-43FF-8AFA-37D784DA42BA}"/>
    <cellStyle name="40% - Accent2 2 2 2 2 4" xfId="9209" xr:uid="{6A9F56CF-E969-4666-A8C7-27C91C8EE1DD}"/>
    <cellStyle name="40% - Accent2 2 2 2 2 5" xfId="17657" xr:uid="{140F6108-7A5F-493B-8A54-A85405E8C30A}"/>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C13A1322-55B2-4F33-841A-9FB008C0B2E9}"/>
    <cellStyle name="40% - Accent2 2 2 2 3 2 2 3" xfId="24432" xr:uid="{4DD38458-28E1-4B92-BA8F-511CD5FCAFE9}"/>
    <cellStyle name="40% - Accent2 2 2 2 3 2 3" xfId="11767" xr:uid="{B9ABB032-0BA5-4B71-A369-489B4D04933D}"/>
    <cellStyle name="40% - Accent2 2 2 2 3 2 4" xfId="20215" xr:uid="{B9F4545C-3A21-438F-8D98-3BE3E0FA8AF5}"/>
    <cellStyle name="40% - Accent2 2 2 2 3 3" xfId="5390" xr:uid="{00000000-0005-0000-0000-00006C040000}"/>
    <cellStyle name="40% - Accent2 2 2 2 3 3 2" xfId="13840" xr:uid="{47B1659B-82EC-45A3-A82A-B3331FD935BF}"/>
    <cellStyle name="40% - Accent2 2 2 2 3 3 3" xfId="22287" xr:uid="{E68E3CAD-2202-437E-BAE4-D67B4B817DBA}"/>
    <cellStyle name="40% - Accent2 2 2 2 3 4" xfId="9622" xr:uid="{B9397339-D184-4A19-A0F5-0A8D0379D33A}"/>
    <cellStyle name="40% - Accent2 2 2 2 3 5" xfId="18070" xr:uid="{85C6D86F-6106-4F0A-821B-B87B722F51C3}"/>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E05B5048-8BE8-4C6B-9B2F-0F80CDAEEF92}"/>
    <cellStyle name="40% - Accent2 2 2 2 4 2 2 3" xfId="24845" xr:uid="{38581C83-EC98-49D2-AC7F-A4E5CD8006E9}"/>
    <cellStyle name="40% - Accent2 2 2 2 4 2 3" xfId="12180" xr:uid="{8829C3C2-2022-47A6-A747-475264E22F4F}"/>
    <cellStyle name="40% - Accent2 2 2 2 4 2 4" xfId="20628" xr:uid="{5852726C-27EB-42B9-AC3D-AD6C4E1E4E77}"/>
    <cellStyle name="40% - Accent2 2 2 2 4 3" xfId="5803" xr:uid="{00000000-0005-0000-0000-000070040000}"/>
    <cellStyle name="40% - Accent2 2 2 2 4 3 2" xfId="14253" xr:uid="{5841732D-D8A1-4A42-8EF4-8802385050A3}"/>
    <cellStyle name="40% - Accent2 2 2 2 4 3 3" xfId="22700" xr:uid="{BACDDE90-39E3-4FF9-8F7D-5517346C5949}"/>
    <cellStyle name="40% - Accent2 2 2 2 4 4" xfId="10035" xr:uid="{4BEFE41A-703D-42AC-AF0A-41A3397B6548}"/>
    <cellStyle name="40% - Accent2 2 2 2 4 5" xfId="18483" xr:uid="{F781FCFA-F5FA-4329-B215-84E1E2513872}"/>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D1C70388-515B-4CC7-9F81-EA42D972967A}"/>
    <cellStyle name="40% - Accent2 2 2 2 5 2 2 3" xfId="25258" xr:uid="{EBE1D8BC-07D1-4B95-AB71-106B0831296E}"/>
    <cellStyle name="40% - Accent2 2 2 2 5 2 3" xfId="12593" xr:uid="{618C7943-4F4C-452A-8402-2D1240E0C2DD}"/>
    <cellStyle name="40% - Accent2 2 2 2 5 2 4" xfId="21041" xr:uid="{9B95B2A7-A50B-4138-B141-F3128FC1E690}"/>
    <cellStyle name="40% - Accent2 2 2 2 5 3" xfId="6216" xr:uid="{00000000-0005-0000-0000-000074040000}"/>
    <cellStyle name="40% - Accent2 2 2 2 5 3 2" xfId="14666" xr:uid="{C21B8BA4-70BE-4326-9D4D-975992960CBB}"/>
    <cellStyle name="40% - Accent2 2 2 2 5 3 3" xfId="23113" xr:uid="{51EB9ED3-98DC-467C-B84B-FD895CEC6450}"/>
    <cellStyle name="40% - Accent2 2 2 2 5 4" xfId="10448" xr:uid="{BD487A64-BF28-4AD2-B896-3D70AEDB1B23}"/>
    <cellStyle name="40% - Accent2 2 2 2 5 5" xfId="18896" xr:uid="{F63FE8D2-B0FC-4349-B3F1-534134DFE61D}"/>
    <cellStyle name="40% - Accent2 2 2 2 6" xfId="2323" xr:uid="{00000000-0005-0000-0000-000075040000}"/>
    <cellStyle name="40% - Accent2 2 2 2 6 2" xfId="6629" xr:uid="{00000000-0005-0000-0000-000076040000}"/>
    <cellStyle name="40% - Accent2 2 2 2 6 2 2" xfId="15079" xr:uid="{7AC79BC0-BE67-47C6-BD23-13BEF8847BA9}"/>
    <cellStyle name="40% - Accent2 2 2 2 6 2 3" xfId="23526" xr:uid="{DBA7E4BD-CBED-4E50-8458-884728A13CD1}"/>
    <cellStyle name="40% - Accent2 2 2 2 6 3" xfId="10861" xr:uid="{DA82F5B6-9DA3-41D3-84AF-2D9641B6E72F}"/>
    <cellStyle name="40% - Accent2 2 2 2 6 4" xfId="19309" xr:uid="{401A610C-3D44-44C4-8BE3-91CDAD484B03}"/>
    <cellStyle name="40% - Accent2 2 2 2 7" xfId="4563" xr:uid="{00000000-0005-0000-0000-000077040000}"/>
    <cellStyle name="40% - Accent2 2 2 2 7 2" xfId="13013" xr:uid="{6CC8EF88-DC5F-49E5-A843-FB548BA633A3}"/>
    <cellStyle name="40% - Accent2 2 2 2 7 3" xfId="21460" xr:uid="{91B17E3A-472E-4509-B6B3-6BDD9465A4D1}"/>
    <cellStyle name="40% - Accent2 2 2 2 8" xfId="8795" xr:uid="{678312F8-DD54-423E-A8AF-3FDC9216664A}"/>
    <cellStyle name="40% - Accent2 2 2 2 9" xfId="17243" xr:uid="{FF1CC658-0629-458E-AA19-A69DB1BA957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5DAB341C-6B2D-4FC2-AF5F-F75898F36563}"/>
    <cellStyle name="40% - Accent2 2 2 3 2 2 3" xfId="24018" xr:uid="{C5EE3CE8-9517-49A8-B5DD-077BEBB34AB4}"/>
    <cellStyle name="40% - Accent2 2 2 3 2 3" xfId="11353" xr:uid="{B8A504D5-F88E-4121-87E8-F1F8F00FC33B}"/>
    <cellStyle name="40% - Accent2 2 2 3 2 4" xfId="19801" xr:uid="{9861FEDC-3317-47F8-8D40-3F223DD2F376}"/>
    <cellStyle name="40% - Accent2 2 2 3 3" xfId="4976" xr:uid="{00000000-0005-0000-0000-00007B040000}"/>
    <cellStyle name="40% - Accent2 2 2 3 3 2" xfId="13426" xr:uid="{73CE7E6A-A750-41B1-8F26-5CC510CB205D}"/>
    <cellStyle name="40% - Accent2 2 2 3 3 3" xfId="21873" xr:uid="{08DFA80D-1633-418D-9B84-C5274AF1DA79}"/>
    <cellStyle name="40% - Accent2 2 2 3 4" xfId="9208" xr:uid="{1A7DBFDF-D6F3-4352-8102-CC7465235A79}"/>
    <cellStyle name="40% - Accent2 2 2 3 5" xfId="17656" xr:uid="{720F790D-F016-4C4D-B978-0EA6F6868B66}"/>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B91F16B6-4EF2-4103-B645-948D94AE3B3D}"/>
    <cellStyle name="40% - Accent2 2 2 4 2 2 3" xfId="24431" xr:uid="{ABC9851C-1B03-44AA-891B-6B6A47959278}"/>
    <cellStyle name="40% - Accent2 2 2 4 2 3" xfId="11766" xr:uid="{20AF1F11-5AFB-4666-86E4-B088140412C3}"/>
    <cellStyle name="40% - Accent2 2 2 4 2 4" xfId="20214" xr:uid="{D0D24915-D28F-45E6-87BD-3F2536193CD3}"/>
    <cellStyle name="40% - Accent2 2 2 4 3" xfId="5389" xr:uid="{00000000-0005-0000-0000-00007F040000}"/>
    <cellStyle name="40% - Accent2 2 2 4 3 2" xfId="13839" xr:uid="{ED8F23A1-07A0-4932-A797-2644C3AEAFBA}"/>
    <cellStyle name="40% - Accent2 2 2 4 3 3" xfId="22286" xr:uid="{22A3927F-4A78-4403-8D5E-D9045112258D}"/>
    <cellStyle name="40% - Accent2 2 2 4 4" xfId="9621" xr:uid="{7E08BD4B-B28E-4889-92B5-A19FEED82CDA}"/>
    <cellStyle name="40% - Accent2 2 2 4 5" xfId="18069" xr:uid="{AC57C9C2-859C-4581-BBB4-5BD2292DED41}"/>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A10D3C47-655F-4FD3-BB45-F2E405B269A3}"/>
    <cellStyle name="40% - Accent2 2 2 5 2 2 3" xfId="24844" xr:uid="{E010B935-7671-4A46-A25A-E3B25F2DBAD3}"/>
    <cellStyle name="40% - Accent2 2 2 5 2 3" xfId="12179" xr:uid="{93176FD3-6F2D-480C-9F09-14A4C88D30BA}"/>
    <cellStyle name="40% - Accent2 2 2 5 2 4" xfId="20627" xr:uid="{426A4D74-CF50-480A-83F7-24AB5C64E0EF}"/>
    <cellStyle name="40% - Accent2 2 2 5 3" xfId="5802" xr:uid="{00000000-0005-0000-0000-000083040000}"/>
    <cellStyle name="40% - Accent2 2 2 5 3 2" xfId="14252" xr:uid="{2887671D-9FF1-4817-82FF-702EEA79824C}"/>
    <cellStyle name="40% - Accent2 2 2 5 3 3" xfId="22699" xr:uid="{C5634E50-A232-4934-AF1D-9B6655F69BBA}"/>
    <cellStyle name="40% - Accent2 2 2 5 4" xfId="10034" xr:uid="{7B514F4B-E175-4857-A95D-47C1681933BE}"/>
    <cellStyle name="40% - Accent2 2 2 5 5" xfId="18482" xr:uid="{47B9B22F-364C-403E-BA68-A3A82919FEC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B00797AA-BFF4-4D91-9465-A1B7723E19E7}"/>
    <cellStyle name="40% - Accent2 2 2 6 2 2 3" xfId="25257" xr:uid="{D1039CAB-8D49-4DC3-BE4A-238DB8966FB8}"/>
    <cellStyle name="40% - Accent2 2 2 6 2 3" xfId="12592" xr:uid="{D5194BF9-45F5-4AF8-8860-87C05D587E8C}"/>
    <cellStyle name="40% - Accent2 2 2 6 2 4" xfId="21040" xr:uid="{D55E4A92-573C-439B-96E1-89CB8BA1E57F}"/>
    <cellStyle name="40% - Accent2 2 2 6 3" xfId="6215" xr:uid="{00000000-0005-0000-0000-000087040000}"/>
    <cellStyle name="40% - Accent2 2 2 6 3 2" xfId="14665" xr:uid="{EF9C5DBF-76E9-4179-9D02-F888190E2084}"/>
    <cellStyle name="40% - Accent2 2 2 6 3 3" xfId="23112" xr:uid="{E2F32434-49AC-4774-83DB-CFAE5C605F2F}"/>
    <cellStyle name="40% - Accent2 2 2 6 4" xfId="10447" xr:uid="{C1B446A8-CE0D-451A-B770-3DF7DE6B7E99}"/>
    <cellStyle name="40% - Accent2 2 2 6 5" xfId="18895" xr:uid="{EA5496AA-BED9-4A01-A2C8-3293F4617B69}"/>
    <cellStyle name="40% - Accent2 2 2 7" xfId="2322" xr:uid="{00000000-0005-0000-0000-000088040000}"/>
    <cellStyle name="40% - Accent2 2 2 7 2" xfId="6628" xr:uid="{00000000-0005-0000-0000-000089040000}"/>
    <cellStyle name="40% - Accent2 2 2 7 2 2" xfId="15078" xr:uid="{36610655-DBA8-4A60-B1C1-F0837DA49BCC}"/>
    <cellStyle name="40% - Accent2 2 2 7 2 3" xfId="23525" xr:uid="{219B4ED9-288B-41E8-AACA-7C09B0E4035B}"/>
    <cellStyle name="40% - Accent2 2 2 7 3" xfId="10860" xr:uid="{44A20C93-862F-4D27-9658-0647BF22B488}"/>
    <cellStyle name="40% - Accent2 2 2 7 4" xfId="19308" xr:uid="{06832AA6-BC08-4A20-A9FD-1FF8DE94BE91}"/>
    <cellStyle name="40% - Accent2 2 2 8" xfId="4562" xr:uid="{00000000-0005-0000-0000-00008A040000}"/>
    <cellStyle name="40% - Accent2 2 2 8 2" xfId="13012" xr:uid="{016AEED9-5542-4B59-ABE2-B0718E590BE4}"/>
    <cellStyle name="40% - Accent2 2 2 8 3" xfId="21459" xr:uid="{F5DDD090-3A72-426F-B58B-4B844ED3C8B2}"/>
    <cellStyle name="40% - Accent2 2 2 9" xfId="8794" xr:uid="{4B3C3C4F-2AF1-4A79-9371-D20E6FE4452A}"/>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48736CC6-B585-4AE6-8AA6-EB3F8F65F8DF}"/>
    <cellStyle name="40% - Accent2 2 3 2 2 2 3" xfId="24020" xr:uid="{AA432780-8422-4CC7-B8FA-306F21304176}"/>
    <cellStyle name="40% - Accent2 2 3 2 2 3" xfId="11355" xr:uid="{F8CFAAAD-0361-4814-A465-658B85A10BE6}"/>
    <cellStyle name="40% - Accent2 2 3 2 2 4" xfId="19803" xr:uid="{EDAF03F0-EE79-4EB0-9D78-B214F9DF908C}"/>
    <cellStyle name="40% - Accent2 2 3 2 3" xfId="4978" xr:uid="{00000000-0005-0000-0000-00008F040000}"/>
    <cellStyle name="40% - Accent2 2 3 2 3 2" xfId="13428" xr:uid="{7AADA78D-53CF-40D2-BDE1-0428B0629104}"/>
    <cellStyle name="40% - Accent2 2 3 2 3 3" xfId="21875" xr:uid="{A50E6941-2F49-4C6F-8AB4-64A1BE6F17E8}"/>
    <cellStyle name="40% - Accent2 2 3 2 4" xfId="9210" xr:uid="{A18E37D8-45BC-4384-8C5D-5BCA965F5B23}"/>
    <cellStyle name="40% - Accent2 2 3 2 5" xfId="17658" xr:uid="{BC7A4AAD-A6C1-4FD5-9B5F-2358C370BF8D}"/>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0111A6E3-504B-4E75-A295-42FD94BB632E}"/>
    <cellStyle name="40% - Accent2 2 3 3 2 2 3" xfId="24433" xr:uid="{BB9A1DC4-DF7F-4561-BC4C-0855F84C2692}"/>
    <cellStyle name="40% - Accent2 2 3 3 2 3" xfId="11768" xr:uid="{0D975D2E-AA49-4840-A4F2-E807DEB9D541}"/>
    <cellStyle name="40% - Accent2 2 3 3 2 4" xfId="20216" xr:uid="{BC1FC62F-D115-48C0-A51A-FA1C1CC16FAD}"/>
    <cellStyle name="40% - Accent2 2 3 3 3" xfId="5391" xr:uid="{00000000-0005-0000-0000-000093040000}"/>
    <cellStyle name="40% - Accent2 2 3 3 3 2" xfId="13841" xr:uid="{2754A4AC-6433-4A60-A9A9-7915CCF01F41}"/>
    <cellStyle name="40% - Accent2 2 3 3 3 3" xfId="22288" xr:uid="{EDBFF502-7165-44BA-B07F-C3B484BDA26A}"/>
    <cellStyle name="40% - Accent2 2 3 3 4" xfId="9623" xr:uid="{BBFB1F77-3B39-4C91-AF31-E60B4B444D58}"/>
    <cellStyle name="40% - Accent2 2 3 3 5" xfId="18071" xr:uid="{CDE38514-3124-40E1-9EBF-DC082F44C884}"/>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6D0177E9-F9E9-4C62-85FA-82233CE1D25A}"/>
    <cellStyle name="40% - Accent2 2 3 4 2 2 3" xfId="24846" xr:uid="{D2C51D30-2A6A-48CE-9E9E-24DB5AA75608}"/>
    <cellStyle name="40% - Accent2 2 3 4 2 3" xfId="12181" xr:uid="{8BE7473B-1C1C-49D9-B1BE-BC558C9CD18B}"/>
    <cellStyle name="40% - Accent2 2 3 4 2 4" xfId="20629" xr:uid="{EEC7769B-92FD-4C8E-94A4-105C87B37F2B}"/>
    <cellStyle name="40% - Accent2 2 3 4 3" xfId="5804" xr:uid="{00000000-0005-0000-0000-000097040000}"/>
    <cellStyle name="40% - Accent2 2 3 4 3 2" xfId="14254" xr:uid="{B1649CBF-CD72-421C-BB86-9C1738E2AE46}"/>
    <cellStyle name="40% - Accent2 2 3 4 3 3" xfId="22701" xr:uid="{E8916EA1-1C0B-48CF-B76C-68C7ED06CB95}"/>
    <cellStyle name="40% - Accent2 2 3 4 4" xfId="10036" xr:uid="{59E3D4D4-923D-478E-A082-04F20E98CA7C}"/>
    <cellStyle name="40% - Accent2 2 3 4 5" xfId="18484" xr:uid="{4F39CE72-70B5-49EF-9EB0-63FFFE2D1F92}"/>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C82BD624-81C4-4CF0-8EA8-001F84E3DEC6}"/>
    <cellStyle name="40% - Accent2 2 3 5 2 2 3" xfId="25259" xr:uid="{9FF338C1-61A5-41A1-B0AB-19304CB3FE00}"/>
    <cellStyle name="40% - Accent2 2 3 5 2 3" xfId="12594" xr:uid="{87D7ECD8-038C-4229-A1DD-35B8D5E9705A}"/>
    <cellStyle name="40% - Accent2 2 3 5 2 4" xfId="21042" xr:uid="{88751684-269F-4BC3-B9B5-A0510F5E3E0E}"/>
    <cellStyle name="40% - Accent2 2 3 5 3" xfId="6217" xr:uid="{00000000-0005-0000-0000-00009B040000}"/>
    <cellStyle name="40% - Accent2 2 3 5 3 2" xfId="14667" xr:uid="{89284C48-59C6-45DE-BAD4-D42BAB605F55}"/>
    <cellStyle name="40% - Accent2 2 3 5 3 3" xfId="23114" xr:uid="{11F2AB4E-6145-468F-8FDA-AD94E7C24446}"/>
    <cellStyle name="40% - Accent2 2 3 5 4" xfId="10449" xr:uid="{E1592689-A72D-4F21-B9F8-A8FEB98908A2}"/>
    <cellStyle name="40% - Accent2 2 3 5 5" xfId="18897" xr:uid="{B3F29765-87D9-4573-9C45-36BC43C09932}"/>
    <cellStyle name="40% - Accent2 2 3 6" xfId="2324" xr:uid="{00000000-0005-0000-0000-00009C040000}"/>
    <cellStyle name="40% - Accent2 2 3 6 2" xfId="6630" xr:uid="{00000000-0005-0000-0000-00009D040000}"/>
    <cellStyle name="40% - Accent2 2 3 6 2 2" xfId="15080" xr:uid="{3EB3F6F1-9AFD-4984-9CAD-48EA27988BD7}"/>
    <cellStyle name="40% - Accent2 2 3 6 2 3" xfId="23527" xr:uid="{DBB252D2-825D-4D95-8984-59CB522DBD74}"/>
    <cellStyle name="40% - Accent2 2 3 6 3" xfId="10862" xr:uid="{05F01646-300C-4827-B636-5CE3E7D34027}"/>
    <cellStyle name="40% - Accent2 2 3 6 4" xfId="19310" xr:uid="{40736D17-9871-4D74-802D-21C1AEBFCB3E}"/>
    <cellStyle name="40% - Accent2 2 3 7" xfId="4564" xr:uid="{00000000-0005-0000-0000-00009E040000}"/>
    <cellStyle name="40% - Accent2 2 3 7 2" xfId="13014" xr:uid="{8444B4F2-6CB5-403A-AA57-8568A2C6CE3D}"/>
    <cellStyle name="40% - Accent2 2 3 7 3" xfId="21461" xr:uid="{E7116A6A-7DD8-4283-9D43-46B94B1BDBA9}"/>
    <cellStyle name="40% - Accent2 2 3 8" xfId="8796" xr:uid="{B0BD1C89-5ADF-44BD-A7BF-36AAD43A8809}"/>
    <cellStyle name="40% - Accent2 2 3 9" xfId="17244" xr:uid="{6E68683E-845A-4650-ACF6-2F20A53771A1}"/>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1CFD5251-4B54-4ED7-A22B-37233B5F7BAA}"/>
    <cellStyle name="40% - Accent2 2 4 2 2 3" xfId="24017" xr:uid="{090CEE82-5004-4060-A21B-C2206D08B977}"/>
    <cellStyle name="40% - Accent2 2 4 2 3" xfId="11352" xr:uid="{9EA9887B-F6B2-47FC-9EBE-0B9ADB3A41D2}"/>
    <cellStyle name="40% - Accent2 2 4 2 4" xfId="19800" xr:uid="{B243D1B6-3EB6-4081-8DB9-0790C37889CD}"/>
    <cellStyle name="40% - Accent2 2 4 3" xfId="4975" xr:uid="{00000000-0005-0000-0000-0000A2040000}"/>
    <cellStyle name="40% - Accent2 2 4 3 2" xfId="13425" xr:uid="{2ABDF2A0-87FD-4F96-A326-C96898A22285}"/>
    <cellStyle name="40% - Accent2 2 4 3 3" xfId="21872" xr:uid="{A7B49D53-1266-4208-AE94-C8A7C3F7D3FA}"/>
    <cellStyle name="40% - Accent2 2 4 4" xfId="9207" xr:uid="{5A696525-0AAC-49F3-9147-A4FEA7EBC1CE}"/>
    <cellStyle name="40% - Accent2 2 4 5" xfId="17655" xr:uid="{78DC1DED-2FC9-4748-93A3-A734695BB477}"/>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C8EE9EC9-C224-4CFC-B185-19DF95B7664A}"/>
    <cellStyle name="40% - Accent2 2 5 2 2 3" xfId="24430" xr:uid="{4C421950-8E52-43FE-9429-05191D98EDB8}"/>
    <cellStyle name="40% - Accent2 2 5 2 3" xfId="11765" xr:uid="{FC83A3F5-4B6F-4734-B4BB-8FEE35FCCDCF}"/>
    <cellStyle name="40% - Accent2 2 5 2 4" xfId="20213" xr:uid="{54AE55EA-BF30-454D-BC0C-CE32A9CD752D}"/>
    <cellStyle name="40% - Accent2 2 5 3" xfId="5388" xr:uid="{00000000-0005-0000-0000-0000A6040000}"/>
    <cellStyle name="40% - Accent2 2 5 3 2" xfId="13838" xr:uid="{AB61834A-F251-43CB-9341-0266C6B16251}"/>
    <cellStyle name="40% - Accent2 2 5 3 3" xfId="22285" xr:uid="{75487B1E-00A7-4987-82CF-E401AF61B1C4}"/>
    <cellStyle name="40% - Accent2 2 5 4" xfId="9620" xr:uid="{C985CD3E-FA85-4133-BF25-50FE9D209141}"/>
    <cellStyle name="40% - Accent2 2 5 5" xfId="18068" xr:uid="{6730EF00-BE11-497B-84A2-6847328DA503}"/>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CCBD304B-8D4F-4888-A530-910F4559A194}"/>
    <cellStyle name="40% - Accent2 2 6 2 2 3" xfId="24843" xr:uid="{1FEBC60D-C50B-4690-8119-B89E13FD32EB}"/>
    <cellStyle name="40% - Accent2 2 6 2 3" xfId="12178" xr:uid="{E85F8B44-E388-473F-9BF2-BEE22244606C}"/>
    <cellStyle name="40% - Accent2 2 6 2 4" xfId="20626" xr:uid="{C8E8E2FB-71B6-4B42-8A58-3A9B8AF21922}"/>
    <cellStyle name="40% - Accent2 2 6 3" xfId="5801" xr:uid="{00000000-0005-0000-0000-0000AA040000}"/>
    <cellStyle name="40% - Accent2 2 6 3 2" xfId="14251" xr:uid="{688A946A-DFED-4632-89C1-7620521CCD90}"/>
    <cellStyle name="40% - Accent2 2 6 3 3" xfId="22698" xr:uid="{52E3001E-4DA9-4D3D-8E3E-1AD0FFE76369}"/>
    <cellStyle name="40% - Accent2 2 6 4" xfId="10033" xr:uid="{2A8EA54F-F1FD-4154-A106-29B3E738FBF9}"/>
    <cellStyle name="40% - Accent2 2 6 5" xfId="18481" xr:uid="{718FFBFB-25F1-42F5-AEB9-AC8E47F766A1}"/>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4EAF3950-CCEE-4770-BC18-080C86544DF0}"/>
    <cellStyle name="40% - Accent2 2 7 2 2 3" xfId="25256" xr:uid="{4A89AF2E-4582-46C2-BED3-F7BA3E208E0A}"/>
    <cellStyle name="40% - Accent2 2 7 2 3" xfId="12591" xr:uid="{28641A38-1142-444E-BCAD-05A254B9DFC7}"/>
    <cellStyle name="40% - Accent2 2 7 2 4" xfId="21039" xr:uid="{6239D7EF-80D0-43E7-8AD4-AB424CD4939D}"/>
    <cellStyle name="40% - Accent2 2 7 3" xfId="6214" xr:uid="{00000000-0005-0000-0000-0000AE040000}"/>
    <cellStyle name="40% - Accent2 2 7 3 2" xfId="14664" xr:uid="{1ED88BA7-D6C1-4C25-A9F9-53BEB1DB0B25}"/>
    <cellStyle name="40% - Accent2 2 7 3 3" xfId="23111" xr:uid="{9CF65A14-E666-4B3B-B5F1-AEDF34F10C89}"/>
    <cellStyle name="40% - Accent2 2 7 4" xfId="10446" xr:uid="{507D6759-3F3C-447B-A262-328A49338850}"/>
    <cellStyle name="40% - Accent2 2 7 5" xfId="18894" xr:uid="{B8005876-B62B-4137-B835-4EB21939A6AD}"/>
    <cellStyle name="40% - Accent2 2 8" xfId="2321" xr:uid="{00000000-0005-0000-0000-0000AF040000}"/>
    <cellStyle name="40% - Accent2 2 8 2" xfId="6627" xr:uid="{00000000-0005-0000-0000-0000B0040000}"/>
    <cellStyle name="40% - Accent2 2 8 2 2" xfId="15077" xr:uid="{63DF37CF-23DE-44DA-B46C-13A39ACCEA02}"/>
    <cellStyle name="40% - Accent2 2 8 2 3" xfId="23524" xr:uid="{AF5EA363-69B9-4573-964F-1669A3BFB924}"/>
    <cellStyle name="40% - Accent2 2 8 3" xfId="10859" xr:uid="{4914D35B-20C0-4148-ABDB-87A3BF539CDA}"/>
    <cellStyle name="40% - Accent2 2 8 4" xfId="19307" xr:uid="{B0B35011-2C4D-45CC-B765-EDA555E0009A}"/>
    <cellStyle name="40% - Accent2 2 9" xfId="4561" xr:uid="{00000000-0005-0000-0000-0000B1040000}"/>
    <cellStyle name="40% - Accent2 2 9 2" xfId="13011" xr:uid="{BBDE5AAA-0B9D-41B9-856C-0AA321C3C1E2}"/>
    <cellStyle name="40% - Accent2 2 9 3" xfId="21458" xr:uid="{41CF01E5-75D8-428C-B547-4CC75267C362}"/>
    <cellStyle name="40% - Accent2 3" xfId="62" xr:uid="{00000000-0005-0000-0000-0000B2040000}"/>
    <cellStyle name="40% - Accent2 3 10" xfId="17245" xr:uid="{E0230383-444D-474B-B9D1-8EB391D33823}"/>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CA3B70CA-F52C-47DF-8F3C-F67A87257F6D}"/>
    <cellStyle name="40% - Accent2 3 2 2 2 2 3" xfId="24022" xr:uid="{D13F53FF-7427-4C32-A2FF-D0E5E2530E74}"/>
    <cellStyle name="40% - Accent2 3 2 2 2 3" xfId="11357" xr:uid="{B64D974B-87BE-4C5C-87E2-D4271EA026B2}"/>
    <cellStyle name="40% - Accent2 3 2 2 2 4" xfId="19805" xr:uid="{6038B1D5-92F0-4D85-800B-605604869255}"/>
    <cellStyle name="40% - Accent2 3 2 2 3" xfId="4980" xr:uid="{00000000-0005-0000-0000-0000B7040000}"/>
    <cellStyle name="40% - Accent2 3 2 2 3 2" xfId="13430" xr:uid="{F75323F7-A337-4227-9455-26C1DFAAD216}"/>
    <cellStyle name="40% - Accent2 3 2 2 3 3" xfId="21877" xr:uid="{CCFC95B0-02D1-4D89-8D65-FC3336283FF7}"/>
    <cellStyle name="40% - Accent2 3 2 2 4" xfId="9212" xr:uid="{EDF52E16-28CC-4F71-A98D-8E374DFB3266}"/>
    <cellStyle name="40% - Accent2 3 2 2 5" xfId="17660" xr:uid="{8215A9B1-0C0C-4579-A490-2B7ADFA50028}"/>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28067280-A435-4FAA-B7B8-D76E4F802CEF}"/>
    <cellStyle name="40% - Accent2 3 2 3 2 2 3" xfId="24435" xr:uid="{E61576C8-56A1-4B42-BDD1-50E0CC638F94}"/>
    <cellStyle name="40% - Accent2 3 2 3 2 3" xfId="11770" xr:uid="{CADBC2DC-F9A3-4F08-892C-87108545F933}"/>
    <cellStyle name="40% - Accent2 3 2 3 2 4" xfId="20218" xr:uid="{5D5B90B4-B977-484A-9FF9-71D14F4D7079}"/>
    <cellStyle name="40% - Accent2 3 2 3 3" xfId="5393" xr:uid="{00000000-0005-0000-0000-0000BB040000}"/>
    <cellStyle name="40% - Accent2 3 2 3 3 2" xfId="13843" xr:uid="{46AA6CBE-DD0B-40F5-BDA8-A6E7A61AC11B}"/>
    <cellStyle name="40% - Accent2 3 2 3 3 3" xfId="22290" xr:uid="{A901364D-0488-49CF-B697-2CF88B85C0FC}"/>
    <cellStyle name="40% - Accent2 3 2 3 4" xfId="9625" xr:uid="{8F1E44B6-5E48-40C5-8247-A9A27D603A6C}"/>
    <cellStyle name="40% - Accent2 3 2 3 5" xfId="18073" xr:uid="{7FE5E725-D1CC-4B80-8E12-2DA0EF94873B}"/>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3EACA452-A792-41A0-889D-7BB98C02B80B}"/>
    <cellStyle name="40% - Accent2 3 2 4 2 2 3" xfId="24848" xr:uid="{4D8C2407-C9B8-46C7-B08C-4E200399658B}"/>
    <cellStyle name="40% - Accent2 3 2 4 2 3" xfId="12183" xr:uid="{0D5C8CDB-0F90-4ED4-9A35-7AC2D786B788}"/>
    <cellStyle name="40% - Accent2 3 2 4 2 4" xfId="20631" xr:uid="{77767A25-D1B7-428B-BB90-E4E91CDDE652}"/>
    <cellStyle name="40% - Accent2 3 2 4 3" xfId="5806" xr:uid="{00000000-0005-0000-0000-0000BF040000}"/>
    <cellStyle name="40% - Accent2 3 2 4 3 2" xfId="14256" xr:uid="{2ABF1D5E-A0AB-42D0-9426-31A489D3E832}"/>
    <cellStyle name="40% - Accent2 3 2 4 3 3" xfId="22703" xr:uid="{7595392E-8EE5-48ED-A976-E4C54C165826}"/>
    <cellStyle name="40% - Accent2 3 2 4 4" xfId="10038" xr:uid="{08E37FEE-AF35-4B3C-B3F8-9F530DD6D825}"/>
    <cellStyle name="40% - Accent2 3 2 4 5" xfId="18486" xr:uid="{A3868D2A-F180-453A-888D-B6EFC1F5AE2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71290F59-7E50-4FEB-83D7-1554C3AB0A5B}"/>
    <cellStyle name="40% - Accent2 3 2 5 2 2 3" xfId="25261" xr:uid="{5F3128DA-B616-4BC1-BBFF-24563A08D854}"/>
    <cellStyle name="40% - Accent2 3 2 5 2 3" xfId="12596" xr:uid="{FAB9AF61-5349-471F-8D2E-6EF31BCFC0E7}"/>
    <cellStyle name="40% - Accent2 3 2 5 2 4" xfId="21044" xr:uid="{D1EE4C65-C83F-49EC-9783-9BACFD1D49B5}"/>
    <cellStyle name="40% - Accent2 3 2 5 3" xfId="6219" xr:uid="{00000000-0005-0000-0000-0000C3040000}"/>
    <cellStyle name="40% - Accent2 3 2 5 3 2" xfId="14669" xr:uid="{BA4F9E9B-D86A-4A9C-B15E-7858C4D32777}"/>
    <cellStyle name="40% - Accent2 3 2 5 3 3" xfId="23116" xr:uid="{5782BC82-860E-48F0-B580-70517A60D280}"/>
    <cellStyle name="40% - Accent2 3 2 5 4" xfId="10451" xr:uid="{6754A60B-C72C-4E21-9BB2-B5CAB987E5DB}"/>
    <cellStyle name="40% - Accent2 3 2 5 5" xfId="18899" xr:uid="{11B1EA4B-93C8-485B-86F5-596E0A4AB0FD}"/>
    <cellStyle name="40% - Accent2 3 2 6" xfId="2326" xr:uid="{00000000-0005-0000-0000-0000C4040000}"/>
    <cellStyle name="40% - Accent2 3 2 6 2" xfId="6632" xr:uid="{00000000-0005-0000-0000-0000C5040000}"/>
    <cellStyle name="40% - Accent2 3 2 6 2 2" xfId="15082" xr:uid="{34046996-A7C8-4B6E-994A-C147722E371B}"/>
    <cellStyle name="40% - Accent2 3 2 6 2 3" xfId="23529" xr:uid="{FF2ECDE5-029F-495A-8149-DD4B22D3FC83}"/>
    <cellStyle name="40% - Accent2 3 2 6 3" xfId="10864" xr:uid="{9102840A-737A-4CA5-B1AC-5223A32F7011}"/>
    <cellStyle name="40% - Accent2 3 2 6 4" xfId="19312" xr:uid="{93ACECEC-6D5F-45BA-B649-3C658C6FBAFA}"/>
    <cellStyle name="40% - Accent2 3 2 7" xfId="4566" xr:uid="{00000000-0005-0000-0000-0000C6040000}"/>
    <cellStyle name="40% - Accent2 3 2 7 2" xfId="13016" xr:uid="{BEA05A1D-70B5-42EF-B9FD-8B8B3F403B1D}"/>
    <cellStyle name="40% - Accent2 3 2 7 3" xfId="21463" xr:uid="{4DC55CE5-BA8D-494F-8198-2302206B2F2A}"/>
    <cellStyle name="40% - Accent2 3 2 8" xfId="8798" xr:uid="{D614C87C-FCA0-4CDD-BBDE-555408378DD3}"/>
    <cellStyle name="40% - Accent2 3 2 9" xfId="17246" xr:uid="{442EC3B5-6D13-4B97-93B5-3B3E5859B3C2}"/>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67685706-E697-40BE-B6D9-EE53D96A131F}"/>
    <cellStyle name="40% - Accent2 3 3 2 2 3" xfId="24021" xr:uid="{4BA763FA-A89F-47A5-BE68-E1F43DBD46B7}"/>
    <cellStyle name="40% - Accent2 3 3 2 3" xfId="11356" xr:uid="{0DEA6059-96B2-4878-A8B1-B33DC1AE9908}"/>
    <cellStyle name="40% - Accent2 3 3 2 4" xfId="19804" xr:uid="{9E3D3038-C81B-4877-99AE-41953DBBC062}"/>
    <cellStyle name="40% - Accent2 3 3 3" xfId="4979" xr:uid="{00000000-0005-0000-0000-0000CA040000}"/>
    <cellStyle name="40% - Accent2 3 3 3 2" xfId="13429" xr:uid="{0F158D74-C9CD-4618-BE89-9824EC8F370E}"/>
    <cellStyle name="40% - Accent2 3 3 3 3" xfId="21876" xr:uid="{B6753874-0F89-4DBE-A341-94D683158223}"/>
    <cellStyle name="40% - Accent2 3 3 4" xfId="9211" xr:uid="{8F3E37C0-574F-4BB6-9B78-DA964BDC8CDE}"/>
    <cellStyle name="40% - Accent2 3 3 5" xfId="17659" xr:uid="{3359C461-D4C7-4F51-B80D-E7BD4C9CA142}"/>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28D08854-FAF3-4194-84FF-9545EF088147}"/>
    <cellStyle name="40% - Accent2 3 4 2 2 3" xfId="24434" xr:uid="{59D30369-EF2E-4A06-8270-445D7A4E5EDD}"/>
    <cellStyle name="40% - Accent2 3 4 2 3" xfId="11769" xr:uid="{32551FC9-D799-4890-9399-50C4A5973680}"/>
    <cellStyle name="40% - Accent2 3 4 2 4" xfId="20217" xr:uid="{A10BB04F-C5D8-4C86-81E1-67EB1D3C57F3}"/>
    <cellStyle name="40% - Accent2 3 4 3" xfId="5392" xr:uid="{00000000-0005-0000-0000-0000CE040000}"/>
    <cellStyle name="40% - Accent2 3 4 3 2" xfId="13842" xr:uid="{ADA00F9C-8EBF-4C8C-A62D-599D73E40CC4}"/>
    <cellStyle name="40% - Accent2 3 4 3 3" xfId="22289" xr:uid="{3FAFF1C4-7D39-4D07-8074-685CC707B08C}"/>
    <cellStyle name="40% - Accent2 3 4 4" xfId="9624" xr:uid="{8B03A453-3C92-484A-A028-82B82DC0F3AA}"/>
    <cellStyle name="40% - Accent2 3 4 5" xfId="18072" xr:uid="{7BB0B467-B75B-4AA2-A6D9-6C313511BF35}"/>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BBD9C9A6-51B9-4C38-A5DE-437FB498635A}"/>
    <cellStyle name="40% - Accent2 3 5 2 2 3" xfId="24847" xr:uid="{52B0AADC-1A60-4FB0-9215-DA2ADA53EFBF}"/>
    <cellStyle name="40% - Accent2 3 5 2 3" xfId="12182" xr:uid="{4FA925CB-ABE3-49EB-BF94-7F4588BB62A2}"/>
    <cellStyle name="40% - Accent2 3 5 2 4" xfId="20630" xr:uid="{081E130C-4A41-411D-8CF7-774C2E885050}"/>
    <cellStyle name="40% - Accent2 3 5 3" xfId="5805" xr:uid="{00000000-0005-0000-0000-0000D2040000}"/>
    <cellStyle name="40% - Accent2 3 5 3 2" xfId="14255" xr:uid="{09F9D3FB-18B1-4C4B-B5D0-7F61758EEF3A}"/>
    <cellStyle name="40% - Accent2 3 5 3 3" xfId="22702" xr:uid="{A5002F26-A9D6-432F-A031-6B8112BD44E2}"/>
    <cellStyle name="40% - Accent2 3 5 4" xfId="10037" xr:uid="{E4B48F30-47E3-4F0F-B430-95C2B1B5666A}"/>
    <cellStyle name="40% - Accent2 3 5 5" xfId="18485" xr:uid="{0BA31F43-1F97-4D46-815A-51F316F0B1E5}"/>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0FDD7421-3661-4C45-8305-E83D05EB2321}"/>
    <cellStyle name="40% - Accent2 3 6 2 2 3" xfId="25260" xr:uid="{7C616EB4-FEA4-4DB5-A852-6CC64E4ACD1F}"/>
    <cellStyle name="40% - Accent2 3 6 2 3" xfId="12595" xr:uid="{5A965F46-E095-4D45-A8E0-AA7CF0546B7C}"/>
    <cellStyle name="40% - Accent2 3 6 2 4" xfId="21043" xr:uid="{794BCC45-DCC9-4B69-9B36-C2098B530E11}"/>
    <cellStyle name="40% - Accent2 3 6 3" xfId="6218" xr:uid="{00000000-0005-0000-0000-0000D6040000}"/>
    <cellStyle name="40% - Accent2 3 6 3 2" xfId="14668" xr:uid="{41F74A30-7757-4C0C-8878-D206767C5059}"/>
    <cellStyle name="40% - Accent2 3 6 3 3" xfId="23115" xr:uid="{DDC7A840-2650-4786-881B-B4C5424D55EC}"/>
    <cellStyle name="40% - Accent2 3 6 4" xfId="10450" xr:uid="{D4FD8F6A-3B32-4B6D-B3C9-D0B725896FF2}"/>
    <cellStyle name="40% - Accent2 3 6 5" xfId="18898" xr:uid="{4645F516-EE61-4172-9104-A93491E170CC}"/>
    <cellStyle name="40% - Accent2 3 7" xfId="2325" xr:uid="{00000000-0005-0000-0000-0000D7040000}"/>
    <cellStyle name="40% - Accent2 3 7 2" xfId="6631" xr:uid="{00000000-0005-0000-0000-0000D8040000}"/>
    <cellStyle name="40% - Accent2 3 7 2 2" xfId="15081" xr:uid="{916B1748-C40E-41B8-A032-B703689CD4E6}"/>
    <cellStyle name="40% - Accent2 3 7 2 3" xfId="23528" xr:uid="{ED653917-EE16-499E-A78E-1D81837F37DA}"/>
    <cellStyle name="40% - Accent2 3 7 3" xfId="10863" xr:uid="{32BD2BD2-B071-415B-89C7-D18CB090FB37}"/>
    <cellStyle name="40% - Accent2 3 7 4" xfId="19311" xr:uid="{53E1BA89-BFB6-48F2-AE3A-B831EDF52277}"/>
    <cellStyle name="40% - Accent2 3 8" xfId="4565" xr:uid="{00000000-0005-0000-0000-0000D9040000}"/>
    <cellStyle name="40% - Accent2 3 8 2" xfId="13015" xr:uid="{69D62F24-1FDE-43FE-AA27-CAB057841B38}"/>
    <cellStyle name="40% - Accent2 3 8 3" xfId="21462" xr:uid="{9C77C1D9-ED30-46D9-8EFB-5626455678B1}"/>
    <cellStyle name="40% - Accent2 3 9" xfId="8797" xr:uid="{75B000C8-272B-42DD-BE70-E33717493DF9}"/>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F4BE73AA-52D4-4B48-8900-50355CE91A53}"/>
    <cellStyle name="40% - Accent2 4 2 2 2 3" xfId="24023" xr:uid="{85EDEF83-4107-480F-B407-B25C928E753C}"/>
    <cellStyle name="40% - Accent2 4 2 2 3" xfId="11358" xr:uid="{8CE3DD8C-BE7C-47B3-8530-8B483E91409F}"/>
    <cellStyle name="40% - Accent2 4 2 2 4" xfId="19806" xr:uid="{106EB5B2-6DC1-4FD3-8909-F6F06F951A3B}"/>
    <cellStyle name="40% - Accent2 4 2 3" xfId="4981" xr:uid="{00000000-0005-0000-0000-0000DE040000}"/>
    <cellStyle name="40% - Accent2 4 2 3 2" xfId="13431" xr:uid="{9B0F0309-A879-4AA0-8950-63C55FFD6F06}"/>
    <cellStyle name="40% - Accent2 4 2 3 3" xfId="21878" xr:uid="{8ED512AC-DDC5-4E0A-870D-326CB7146AD1}"/>
    <cellStyle name="40% - Accent2 4 2 4" xfId="9213" xr:uid="{29FDBABE-BF91-4A76-85B0-52520178C682}"/>
    <cellStyle name="40% - Accent2 4 2 5" xfId="17661" xr:uid="{6138D410-56A4-4801-AE30-1A779CBE0534}"/>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2EECE0ED-7CC4-4ABC-BEEB-EAFB25ED949E}"/>
    <cellStyle name="40% - Accent2 4 3 2 2 3" xfId="24436" xr:uid="{B977719E-0C4D-44E4-A217-2CA87A98AA82}"/>
    <cellStyle name="40% - Accent2 4 3 2 3" xfId="11771" xr:uid="{4410CA43-59FF-42AC-904E-95CAEE9F8E74}"/>
    <cellStyle name="40% - Accent2 4 3 2 4" xfId="20219" xr:uid="{2117EAB9-8A62-41C1-ABCF-8768463AE9F5}"/>
    <cellStyle name="40% - Accent2 4 3 3" xfId="5394" xr:uid="{00000000-0005-0000-0000-0000E2040000}"/>
    <cellStyle name="40% - Accent2 4 3 3 2" xfId="13844" xr:uid="{55AF674C-18AD-4031-85D9-B01BDB99B03D}"/>
    <cellStyle name="40% - Accent2 4 3 3 3" xfId="22291" xr:uid="{F6E281F0-4529-4D7A-B1D7-ADC830D89086}"/>
    <cellStyle name="40% - Accent2 4 3 4" xfId="9626" xr:uid="{17A58A1C-4B76-437C-80F2-3A2F9935B25E}"/>
    <cellStyle name="40% - Accent2 4 3 5" xfId="18074" xr:uid="{97A6D4F8-4EFC-4BAD-882C-DF0680832B82}"/>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4634B559-2AC1-45CD-8A72-6E53897B10A2}"/>
    <cellStyle name="40% - Accent2 4 4 2 2 3" xfId="24849" xr:uid="{808E1F4C-78D0-44B7-A432-B2B97529AD0E}"/>
    <cellStyle name="40% - Accent2 4 4 2 3" xfId="12184" xr:uid="{8B8D80DA-2842-4535-8059-881D6FAB6D47}"/>
    <cellStyle name="40% - Accent2 4 4 2 4" xfId="20632" xr:uid="{09034253-7C68-4D07-AA4B-10A3CFF62C88}"/>
    <cellStyle name="40% - Accent2 4 4 3" xfId="5807" xr:uid="{00000000-0005-0000-0000-0000E6040000}"/>
    <cellStyle name="40% - Accent2 4 4 3 2" xfId="14257" xr:uid="{BEA9F107-0D71-4D86-9679-88AAFB4C9B51}"/>
    <cellStyle name="40% - Accent2 4 4 3 3" xfId="22704" xr:uid="{77606ED8-633B-45E5-84C0-C0B00F1FBE91}"/>
    <cellStyle name="40% - Accent2 4 4 4" xfId="10039" xr:uid="{356D3A8D-6F14-4C2B-AA7F-5A8C2107C527}"/>
    <cellStyle name="40% - Accent2 4 4 5" xfId="18487" xr:uid="{DC8FB080-F380-4081-BD79-3623910FDBCF}"/>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991E1D7D-2956-4ECC-AB6C-1D6E6B620639}"/>
    <cellStyle name="40% - Accent2 4 5 2 2 3" xfId="25262" xr:uid="{06515766-2161-4573-B705-0EFFF0131334}"/>
    <cellStyle name="40% - Accent2 4 5 2 3" xfId="12597" xr:uid="{6C871D93-9A54-467E-9496-9019B67FBC5D}"/>
    <cellStyle name="40% - Accent2 4 5 2 4" xfId="21045" xr:uid="{073328FC-3714-4BF4-A439-44568924EEB3}"/>
    <cellStyle name="40% - Accent2 4 5 3" xfId="6220" xr:uid="{00000000-0005-0000-0000-0000EA040000}"/>
    <cellStyle name="40% - Accent2 4 5 3 2" xfId="14670" xr:uid="{D6980516-A57E-437B-B664-C93DBC64EC28}"/>
    <cellStyle name="40% - Accent2 4 5 3 3" xfId="23117" xr:uid="{5B8612B6-29BD-45A5-B82B-8451521C2AFD}"/>
    <cellStyle name="40% - Accent2 4 5 4" xfId="10452" xr:uid="{07FA2C8F-0D7C-4688-B48B-8A1B104B6A88}"/>
    <cellStyle name="40% - Accent2 4 5 5" xfId="18900" xr:uid="{09D2A33D-D3C9-4A94-AA5F-38C6FE0A05B3}"/>
    <cellStyle name="40% - Accent2 4 6" xfId="2327" xr:uid="{00000000-0005-0000-0000-0000EB040000}"/>
    <cellStyle name="40% - Accent2 4 6 2" xfId="6633" xr:uid="{00000000-0005-0000-0000-0000EC040000}"/>
    <cellStyle name="40% - Accent2 4 6 2 2" xfId="15083" xr:uid="{C84EE757-59C0-49E4-9CBE-8FB1D003E3D7}"/>
    <cellStyle name="40% - Accent2 4 6 2 3" xfId="23530" xr:uid="{FD9C411C-EC11-4912-ACBA-6C5B32029840}"/>
    <cellStyle name="40% - Accent2 4 6 3" xfId="10865" xr:uid="{40AFF8DE-9F41-4136-9846-470376DA557F}"/>
    <cellStyle name="40% - Accent2 4 6 4" xfId="19313" xr:uid="{5E0DF1BB-D291-4AB5-9B09-CD1AEBACC564}"/>
    <cellStyle name="40% - Accent2 4 7" xfId="4567" xr:uid="{00000000-0005-0000-0000-0000ED040000}"/>
    <cellStyle name="40% - Accent2 4 7 2" xfId="13017" xr:uid="{0D0BFEFE-3C8E-4991-BEC8-5AF02C19CE61}"/>
    <cellStyle name="40% - Accent2 4 7 3" xfId="21464" xr:uid="{CAA9C5C5-22C2-4562-8F58-EE2F8800A8A3}"/>
    <cellStyle name="40% - Accent2 4 8" xfId="8799" xr:uid="{FFB2EABA-BFF8-4346-A987-836F8B3CE3BA}"/>
    <cellStyle name="40% - Accent2 4 9" xfId="17247" xr:uid="{AF82BB1D-339F-40ED-877F-BD805E364D4D}"/>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9741C8AC-B057-4C63-A6B7-7F671AA5365D}"/>
    <cellStyle name="40% - Accent2 5 2 2 3" xfId="24016" xr:uid="{16D0FDDA-7589-4B35-A56F-0276A763367F}"/>
    <cellStyle name="40% - Accent2 5 2 3" xfId="11351" xr:uid="{0E1E1A83-CFF6-4B7D-875E-C510B37FC4F2}"/>
    <cellStyle name="40% - Accent2 5 2 4" xfId="19799" xr:uid="{A677357C-8B95-4850-AB78-00CC23D95AA5}"/>
    <cellStyle name="40% - Accent2 5 3" xfId="4974" xr:uid="{00000000-0005-0000-0000-0000F1040000}"/>
    <cellStyle name="40% - Accent2 5 3 2" xfId="13424" xr:uid="{5AC2DDBB-CDF1-4290-9DEA-AF48790CF8F9}"/>
    <cellStyle name="40% - Accent2 5 3 3" xfId="21871" xr:uid="{9B112B5F-F483-4CA9-BF79-5A593AFF35D0}"/>
    <cellStyle name="40% - Accent2 5 4" xfId="9206" xr:uid="{6879AD18-172B-4187-AE38-52B4FF1EE87C}"/>
    <cellStyle name="40% - Accent2 5 5" xfId="17654" xr:uid="{7807BEC9-1DA6-4943-AA96-F7BB51A024AE}"/>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A1239990-C8E1-4AD8-BF28-C0FCEC898C28}"/>
    <cellStyle name="40% - Accent2 6 2 2 3" xfId="24429" xr:uid="{7150A97E-A268-4AC9-B99A-4E66886242B7}"/>
    <cellStyle name="40% - Accent2 6 2 3" xfId="11764" xr:uid="{502AC23F-7958-4889-8F3F-535F43EA2CFB}"/>
    <cellStyle name="40% - Accent2 6 2 4" xfId="20212" xr:uid="{28624BEA-DB1C-464B-860E-4A207A7EAA73}"/>
    <cellStyle name="40% - Accent2 6 3" xfId="5387" xr:uid="{00000000-0005-0000-0000-0000F5040000}"/>
    <cellStyle name="40% - Accent2 6 3 2" xfId="13837" xr:uid="{61AB0D2A-F679-4C94-8F3D-E7918C797321}"/>
    <cellStyle name="40% - Accent2 6 3 3" xfId="22284" xr:uid="{8CF931DA-87B6-4C0D-A9E4-CEF23322F63E}"/>
    <cellStyle name="40% - Accent2 6 4" xfId="9619" xr:uid="{92D45335-4FCF-47E8-83FF-C2F90B468ED3}"/>
    <cellStyle name="40% - Accent2 6 5" xfId="18067" xr:uid="{304B0048-3E58-4F74-86FC-F5706B24A596}"/>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7B31A407-FBDA-4B6C-B621-CB7A6C698B6D}"/>
    <cellStyle name="40% - Accent2 7 2 2 3" xfId="24842" xr:uid="{415ACF07-976E-4E36-B49B-00D2492BB014}"/>
    <cellStyle name="40% - Accent2 7 2 3" xfId="12177" xr:uid="{2C7A178E-999E-4718-8EE2-4917680FBFF2}"/>
    <cellStyle name="40% - Accent2 7 2 4" xfId="20625" xr:uid="{91AD776C-6D65-4540-A098-4982230A5CF8}"/>
    <cellStyle name="40% - Accent2 7 3" xfId="5800" xr:uid="{00000000-0005-0000-0000-0000F9040000}"/>
    <cellStyle name="40% - Accent2 7 3 2" xfId="14250" xr:uid="{6282602B-CB86-4947-B673-D8BF03789B59}"/>
    <cellStyle name="40% - Accent2 7 3 3" xfId="22697" xr:uid="{B43DE762-AE1E-444A-852F-90EC51E82820}"/>
    <cellStyle name="40% - Accent2 7 4" xfId="10032" xr:uid="{C0CEC6D0-AAD0-4178-9A80-B350575D04BF}"/>
    <cellStyle name="40% - Accent2 7 5" xfId="18480" xr:uid="{DAF883A0-B8F0-4FDC-90AF-1EC2A86EEF16}"/>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1E49B275-B2D6-45F8-9AF8-E64A5D3723DA}"/>
    <cellStyle name="40% - Accent2 8 2 2 3" xfId="25255" xr:uid="{F1F6A835-6D72-41BD-9CCB-B010683A32C1}"/>
    <cellStyle name="40% - Accent2 8 2 3" xfId="12590" xr:uid="{BE420845-1F80-4B72-BB2C-0167A10CC621}"/>
    <cellStyle name="40% - Accent2 8 2 4" xfId="21038" xr:uid="{BB4C4961-F33D-4F0E-B5A8-0FF1E8BC6CFC}"/>
    <cellStyle name="40% - Accent2 8 3" xfId="6213" xr:uid="{00000000-0005-0000-0000-0000FD040000}"/>
    <cellStyle name="40% - Accent2 8 3 2" xfId="14663" xr:uid="{9C873C02-D10B-4814-A500-65429E14FD4A}"/>
    <cellStyle name="40% - Accent2 8 3 3" xfId="23110" xr:uid="{969A8230-0594-497F-80CD-8E0C8FAA534A}"/>
    <cellStyle name="40% - Accent2 8 4" xfId="10445" xr:uid="{79EC8C76-07A0-43F3-B104-834DE4D0C94A}"/>
    <cellStyle name="40% - Accent2 8 5" xfId="18893" xr:uid="{A88DF7BB-16C1-4483-960B-741037AD1B6D}"/>
    <cellStyle name="40% - Accent2 9" xfId="2320" xr:uid="{00000000-0005-0000-0000-0000FE040000}"/>
    <cellStyle name="40% - Accent2 9 2" xfId="6626" xr:uid="{00000000-0005-0000-0000-0000FF040000}"/>
    <cellStyle name="40% - Accent2 9 2 2" xfId="15076" xr:uid="{8F2DB3A2-48E6-433A-9479-02A966236DE6}"/>
    <cellStyle name="40% - Accent2 9 2 3" xfId="23523" xr:uid="{3E81166F-34E5-4CA7-BE4F-3A75016F0A3B}"/>
    <cellStyle name="40% - Accent2 9 3" xfId="10858" xr:uid="{290031E9-DA02-40D7-9746-E656BDDDEC85}"/>
    <cellStyle name="40% - Accent2 9 4" xfId="19306" xr:uid="{6F430F00-CAED-489B-9B65-957A4E2DECEC}"/>
    <cellStyle name="40% - Accent3" xfId="65" builtinId="39" customBuiltin="1"/>
    <cellStyle name="40% - Accent3 10" xfId="4568" xr:uid="{00000000-0005-0000-0000-000001050000}"/>
    <cellStyle name="40% - Accent3 10 2" xfId="13018" xr:uid="{D05025FA-2F10-4651-8A78-FBD829A6EE3E}"/>
    <cellStyle name="40% - Accent3 10 3" xfId="21465" xr:uid="{FF3ADB80-B997-434F-90A5-0A65FFCAEDB6}"/>
    <cellStyle name="40% - Accent3 11" xfId="8800" xr:uid="{F0778396-159B-4F0E-AD7D-CD62A35B4E22}"/>
    <cellStyle name="40% - Accent3 12" xfId="17248" xr:uid="{ED0528A1-154C-4368-8C7E-3AFA83DC3D7E}"/>
    <cellStyle name="40% - Accent3 2" xfId="66" xr:uid="{00000000-0005-0000-0000-000002050000}"/>
    <cellStyle name="40% - Accent3 2 10" xfId="8801" xr:uid="{7A0C2640-CADE-4EAA-8ED0-B3A35268DABF}"/>
    <cellStyle name="40% - Accent3 2 11" xfId="17249" xr:uid="{9ED0C38B-419C-4A00-AC3D-516D23FC4311}"/>
    <cellStyle name="40% - Accent3 2 2" xfId="67" xr:uid="{00000000-0005-0000-0000-000003050000}"/>
    <cellStyle name="40% - Accent3 2 2 10" xfId="17250" xr:uid="{36C1C164-3976-4746-A64D-6CA06329F5E5}"/>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8FB36AE0-157C-4A54-8868-CDEA9525A196}"/>
    <cellStyle name="40% - Accent3 2 2 2 2 2 2 3" xfId="24027" xr:uid="{BF699CD6-0F52-4E9A-BA55-B0D413F19F95}"/>
    <cellStyle name="40% - Accent3 2 2 2 2 2 3" xfId="11362" xr:uid="{986E2782-E9BB-48FE-8ABA-FDD98C230BA8}"/>
    <cellStyle name="40% - Accent3 2 2 2 2 2 4" xfId="19810" xr:uid="{2FD72679-F008-4794-8C66-BC93295B0697}"/>
    <cellStyle name="40% - Accent3 2 2 2 2 3" xfId="4985" xr:uid="{00000000-0005-0000-0000-000008050000}"/>
    <cellStyle name="40% - Accent3 2 2 2 2 3 2" xfId="13435" xr:uid="{4D593767-4195-4B7B-AC3D-CD4CFDA67028}"/>
    <cellStyle name="40% - Accent3 2 2 2 2 3 3" xfId="21882" xr:uid="{E1DC953F-A545-4E3C-99A9-46EA9CC0BA5B}"/>
    <cellStyle name="40% - Accent3 2 2 2 2 4" xfId="9217" xr:uid="{62DCC196-17B3-45CC-8B58-CE099BBCAD2B}"/>
    <cellStyle name="40% - Accent3 2 2 2 2 5" xfId="17665" xr:uid="{A703AD40-4B0C-4BE3-A193-B522FA3167A5}"/>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768C50F2-0DBF-4ED0-9B61-32FBF868DB50}"/>
    <cellStyle name="40% - Accent3 2 2 2 3 2 2 3" xfId="24440" xr:uid="{E1F15AB1-1949-4500-B9FA-2504A088A554}"/>
    <cellStyle name="40% - Accent3 2 2 2 3 2 3" xfId="11775" xr:uid="{0414A03F-6FA1-44A5-9FC6-3E91531B9A12}"/>
    <cellStyle name="40% - Accent3 2 2 2 3 2 4" xfId="20223" xr:uid="{8EB4D50A-6F00-4E59-A031-F1928700369A}"/>
    <cellStyle name="40% - Accent3 2 2 2 3 3" xfId="5398" xr:uid="{00000000-0005-0000-0000-00000C050000}"/>
    <cellStyle name="40% - Accent3 2 2 2 3 3 2" xfId="13848" xr:uid="{65721994-4C09-4331-A7B6-EA9F6824F3F4}"/>
    <cellStyle name="40% - Accent3 2 2 2 3 3 3" xfId="22295" xr:uid="{588C2E43-C015-415B-A9B9-6898EC1BE858}"/>
    <cellStyle name="40% - Accent3 2 2 2 3 4" xfId="9630" xr:uid="{7808B0E1-0D07-456A-8CC2-6CB7BF04BE28}"/>
    <cellStyle name="40% - Accent3 2 2 2 3 5" xfId="18078" xr:uid="{A205FC67-10C6-4EE0-9B84-7CE461D156B4}"/>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DCD0633A-9856-469E-980D-BF1ECD756700}"/>
    <cellStyle name="40% - Accent3 2 2 2 4 2 2 3" xfId="24853" xr:uid="{F8C6F9B5-097C-4B79-BBE9-F8BD2D67F61F}"/>
    <cellStyle name="40% - Accent3 2 2 2 4 2 3" xfId="12188" xr:uid="{67853BFB-96A3-4F02-824B-449E6D3FF507}"/>
    <cellStyle name="40% - Accent3 2 2 2 4 2 4" xfId="20636" xr:uid="{7759ADB6-9DF1-4EF2-B95B-109DBE0C87CD}"/>
    <cellStyle name="40% - Accent3 2 2 2 4 3" xfId="5811" xr:uid="{00000000-0005-0000-0000-000010050000}"/>
    <cellStyle name="40% - Accent3 2 2 2 4 3 2" xfId="14261" xr:uid="{24716CF4-7CC0-4F79-A5C1-17AECCB7C2FB}"/>
    <cellStyle name="40% - Accent3 2 2 2 4 3 3" xfId="22708" xr:uid="{4D4A815A-73D6-4B4B-B658-0A1A367BBDD9}"/>
    <cellStyle name="40% - Accent3 2 2 2 4 4" xfId="10043" xr:uid="{E839D117-3DF8-42B3-9269-E534B0BC51BB}"/>
    <cellStyle name="40% - Accent3 2 2 2 4 5" xfId="18491" xr:uid="{A0B6ED9B-1C17-43F0-9FC0-07017853B1A7}"/>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AD7F7D8F-B89D-40D2-BED2-9FE158176142}"/>
    <cellStyle name="40% - Accent3 2 2 2 5 2 2 3" xfId="25266" xr:uid="{EE3BCF3D-26B3-4968-88FC-95A9DAEFE213}"/>
    <cellStyle name="40% - Accent3 2 2 2 5 2 3" xfId="12601" xr:uid="{4A20F88A-3F00-41CB-BAD8-67A92EB25217}"/>
    <cellStyle name="40% - Accent3 2 2 2 5 2 4" xfId="21049" xr:uid="{3EEBBEBE-6746-4D59-9C3B-251220925C79}"/>
    <cellStyle name="40% - Accent3 2 2 2 5 3" xfId="6224" xr:uid="{00000000-0005-0000-0000-000014050000}"/>
    <cellStyle name="40% - Accent3 2 2 2 5 3 2" xfId="14674" xr:uid="{0A5E0CC0-6FDB-46D7-AB3D-FB58F240AECC}"/>
    <cellStyle name="40% - Accent3 2 2 2 5 3 3" xfId="23121" xr:uid="{7EAB9686-0FD6-4CB6-9725-18C745A17087}"/>
    <cellStyle name="40% - Accent3 2 2 2 5 4" xfId="10456" xr:uid="{EA660FD7-13C2-401B-8C1A-D5F3B98E4D95}"/>
    <cellStyle name="40% - Accent3 2 2 2 5 5" xfId="18904" xr:uid="{EBF47388-07FE-4C14-A3DE-C5ED93206FC2}"/>
    <cellStyle name="40% - Accent3 2 2 2 6" xfId="2331" xr:uid="{00000000-0005-0000-0000-000015050000}"/>
    <cellStyle name="40% - Accent3 2 2 2 6 2" xfId="6637" xr:uid="{00000000-0005-0000-0000-000016050000}"/>
    <cellStyle name="40% - Accent3 2 2 2 6 2 2" xfId="15087" xr:uid="{1785D4FC-13EC-4FDF-8B8E-93964C9A009B}"/>
    <cellStyle name="40% - Accent3 2 2 2 6 2 3" xfId="23534" xr:uid="{AA0FE39F-15F8-48A8-9268-20952965CC4D}"/>
    <cellStyle name="40% - Accent3 2 2 2 6 3" xfId="10869" xr:uid="{C45169D7-E9E4-43C1-82E5-A67392DA7030}"/>
    <cellStyle name="40% - Accent3 2 2 2 6 4" xfId="19317" xr:uid="{AF5FD8AF-922C-4F21-8037-F86009DBEFC7}"/>
    <cellStyle name="40% - Accent3 2 2 2 7" xfId="4571" xr:uid="{00000000-0005-0000-0000-000017050000}"/>
    <cellStyle name="40% - Accent3 2 2 2 7 2" xfId="13021" xr:uid="{FF698554-4695-4F60-A838-1D9878B26EA3}"/>
    <cellStyle name="40% - Accent3 2 2 2 7 3" xfId="21468" xr:uid="{7C9110BE-33C2-4B13-B113-E37E13D72AD5}"/>
    <cellStyle name="40% - Accent3 2 2 2 8" xfId="8803" xr:uid="{491A244C-3311-4EB4-9F16-A37AF0E94EBF}"/>
    <cellStyle name="40% - Accent3 2 2 2 9" xfId="17251" xr:uid="{F5E218D3-81FF-4984-871E-FCEC2E11E2E0}"/>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9EE9819-A0DF-4B65-B094-D1FC27D3196F}"/>
    <cellStyle name="40% - Accent3 2 2 3 2 2 3" xfId="24026" xr:uid="{98E5CB85-59B9-4030-9DCB-4EAC173A481F}"/>
    <cellStyle name="40% - Accent3 2 2 3 2 3" xfId="11361" xr:uid="{586F039E-1E93-467E-9C56-86A7D267C675}"/>
    <cellStyle name="40% - Accent3 2 2 3 2 4" xfId="19809" xr:uid="{CDA9DEAD-48ED-41BD-8966-29CB201C24FF}"/>
    <cellStyle name="40% - Accent3 2 2 3 3" xfId="4984" xr:uid="{00000000-0005-0000-0000-00001B050000}"/>
    <cellStyle name="40% - Accent3 2 2 3 3 2" xfId="13434" xr:uid="{543E7C9F-4B85-4A68-89F1-217039A50AE8}"/>
    <cellStyle name="40% - Accent3 2 2 3 3 3" xfId="21881" xr:uid="{9826E1B5-E708-47B7-83FB-B270EF048225}"/>
    <cellStyle name="40% - Accent3 2 2 3 4" xfId="9216" xr:uid="{2168F5B3-FBF8-4903-BB94-761859CCF5DC}"/>
    <cellStyle name="40% - Accent3 2 2 3 5" xfId="17664" xr:uid="{5E06EDE6-F2B1-4C03-8E17-FEBC8FE8A1BA}"/>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EE166EAE-FEC5-4FEE-9C59-AFE5DA8DD901}"/>
    <cellStyle name="40% - Accent3 2 2 4 2 2 3" xfId="24439" xr:uid="{6D973F42-F7F2-44B5-83E4-7EB436D022BC}"/>
    <cellStyle name="40% - Accent3 2 2 4 2 3" xfId="11774" xr:uid="{56008529-32BF-4160-8E30-FF67A726C163}"/>
    <cellStyle name="40% - Accent3 2 2 4 2 4" xfId="20222" xr:uid="{83D6842C-8058-4AD7-8E2C-50868FDED3E9}"/>
    <cellStyle name="40% - Accent3 2 2 4 3" xfId="5397" xr:uid="{00000000-0005-0000-0000-00001F050000}"/>
    <cellStyle name="40% - Accent3 2 2 4 3 2" xfId="13847" xr:uid="{C473D303-156D-4702-BF34-FF2906C8A452}"/>
    <cellStyle name="40% - Accent3 2 2 4 3 3" xfId="22294" xr:uid="{A320A275-DE9F-48EB-BE70-F2E9F5A57F7C}"/>
    <cellStyle name="40% - Accent3 2 2 4 4" xfId="9629" xr:uid="{D89E4FAD-97E2-459C-8476-69A054FC077D}"/>
    <cellStyle name="40% - Accent3 2 2 4 5" xfId="18077" xr:uid="{1232E866-411B-4604-A02B-4FACBB6D99C8}"/>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C4113514-5FE9-4712-B142-6AE9AF9189D0}"/>
    <cellStyle name="40% - Accent3 2 2 5 2 2 3" xfId="24852" xr:uid="{3A8725C7-FB57-4353-B8DA-5CC136985A43}"/>
    <cellStyle name="40% - Accent3 2 2 5 2 3" xfId="12187" xr:uid="{19397330-62DB-4C67-95D2-CDFD0D700B43}"/>
    <cellStyle name="40% - Accent3 2 2 5 2 4" xfId="20635" xr:uid="{7D601A1A-88E7-4709-83E7-F8F9BDD4845B}"/>
    <cellStyle name="40% - Accent3 2 2 5 3" xfId="5810" xr:uid="{00000000-0005-0000-0000-000023050000}"/>
    <cellStyle name="40% - Accent3 2 2 5 3 2" xfId="14260" xr:uid="{1B5E607A-A87B-4AF8-8E9B-265C7E1D4FD6}"/>
    <cellStyle name="40% - Accent3 2 2 5 3 3" xfId="22707" xr:uid="{7C04DFB5-C7DB-406E-BD15-14BD83104996}"/>
    <cellStyle name="40% - Accent3 2 2 5 4" xfId="10042" xr:uid="{EE419B62-70B7-4755-8BE9-D62998D19DCA}"/>
    <cellStyle name="40% - Accent3 2 2 5 5" xfId="18490" xr:uid="{6675F4AB-833A-4DD3-B21A-7389E34AC9C3}"/>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962D2C16-BA48-4B47-A247-F20B9CB217F3}"/>
    <cellStyle name="40% - Accent3 2 2 6 2 2 3" xfId="25265" xr:uid="{F4BD2B04-A816-4BE3-840E-48421DEDB077}"/>
    <cellStyle name="40% - Accent3 2 2 6 2 3" xfId="12600" xr:uid="{4C1D1952-DB83-4951-81DA-3A90F5E6A108}"/>
    <cellStyle name="40% - Accent3 2 2 6 2 4" xfId="21048" xr:uid="{E77E0182-AEB5-4C54-920A-EDB5C3815193}"/>
    <cellStyle name="40% - Accent3 2 2 6 3" xfId="6223" xr:uid="{00000000-0005-0000-0000-000027050000}"/>
    <cellStyle name="40% - Accent3 2 2 6 3 2" xfId="14673" xr:uid="{1308A161-96AF-4985-A8E1-ED1A7902A0E7}"/>
    <cellStyle name="40% - Accent3 2 2 6 3 3" xfId="23120" xr:uid="{DC94DC0E-A134-4F5E-9D2F-B919C0A981D4}"/>
    <cellStyle name="40% - Accent3 2 2 6 4" xfId="10455" xr:uid="{BD3AD5EC-6BBA-43B9-8C77-2D97908B068A}"/>
    <cellStyle name="40% - Accent3 2 2 6 5" xfId="18903" xr:uid="{B7C4D68E-BD8E-4823-9090-5E6C27D56BA6}"/>
    <cellStyle name="40% - Accent3 2 2 7" xfId="2330" xr:uid="{00000000-0005-0000-0000-000028050000}"/>
    <cellStyle name="40% - Accent3 2 2 7 2" xfId="6636" xr:uid="{00000000-0005-0000-0000-000029050000}"/>
    <cellStyle name="40% - Accent3 2 2 7 2 2" xfId="15086" xr:uid="{0B6EB565-2C6F-4FB6-B1A4-3A5E453A8C35}"/>
    <cellStyle name="40% - Accent3 2 2 7 2 3" xfId="23533" xr:uid="{B625E8CA-17B3-403B-B95C-D179B1A8387E}"/>
    <cellStyle name="40% - Accent3 2 2 7 3" xfId="10868" xr:uid="{5D8489D7-6828-49FE-BDDA-0BCC7A0BCDDA}"/>
    <cellStyle name="40% - Accent3 2 2 7 4" xfId="19316" xr:uid="{C1D6DC9E-BF06-495C-8964-50ED8228F3FC}"/>
    <cellStyle name="40% - Accent3 2 2 8" xfId="4570" xr:uid="{00000000-0005-0000-0000-00002A050000}"/>
    <cellStyle name="40% - Accent3 2 2 8 2" xfId="13020" xr:uid="{03D52575-A041-46F7-8E04-02944A0EC0E5}"/>
    <cellStyle name="40% - Accent3 2 2 8 3" xfId="21467" xr:uid="{FF2E6EC3-B792-46FF-A727-9B5F7559D8CA}"/>
    <cellStyle name="40% - Accent3 2 2 9" xfId="8802" xr:uid="{E6822626-6CAA-4A25-B34F-0B66D38BA6CB}"/>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CCB0593A-2952-432B-B40B-9E0A6B4AD0C4}"/>
    <cellStyle name="40% - Accent3 2 3 2 2 2 3" xfId="24028" xr:uid="{F03F2382-B0A1-4C93-B75F-ACD1778A698E}"/>
    <cellStyle name="40% - Accent3 2 3 2 2 3" xfId="11363" xr:uid="{AFA84530-5136-4F76-B025-4B488E1617F7}"/>
    <cellStyle name="40% - Accent3 2 3 2 2 4" xfId="19811" xr:uid="{2D865945-EB0C-4C11-8571-1D2FC5F6261C}"/>
    <cellStyle name="40% - Accent3 2 3 2 3" xfId="4986" xr:uid="{00000000-0005-0000-0000-00002F050000}"/>
    <cellStyle name="40% - Accent3 2 3 2 3 2" xfId="13436" xr:uid="{80AAD645-BEB2-4D7C-B438-0709F808FCEE}"/>
    <cellStyle name="40% - Accent3 2 3 2 3 3" xfId="21883" xr:uid="{7A26D440-7436-4105-BDF5-4D61B99D7E76}"/>
    <cellStyle name="40% - Accent3 2 3 2 4" xfId="9218" xr:uid="{0EF8F4E2-D364-43AC-86A1-0394BC26C52A}"/>
    <cellStyle name="40% - Accent3 2 3 2 5" xfId="17666" xr:uid="{5972FC57-158B-453F-8A7B-C2F51D1A9D9D}"/>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01190C35-D437-442D-9C8F-5A94F5140037}"/>
    <cellStyle name="40% - Accent3 2 3 3 2 2 3" xfId="24441" xr:uid="{E2D8CF8F-748F-40DA-BA5E-E7A2359713EF}"/>
    <cellStyle name="40% - Accent3 2 3 3 2 3" xfId="11776" xr:uid="{C1B63EFE-CBF5-41F8-86E0-9E7133E6A189}"/>
    <cellStyle name="40% - Accent3 2 3 3 2 4" xfId="20224" xr:uid="{E817E404-2698-40E2-8667-F2E543771F1A}"/>
    <cellStyle name="40% - Accent3 2 3 3 3" xfId="5399" xr:uid="{00000000-0005-0000-0000-000033050000}"/>
    <cellStyle name="40% - Accent3 2 3 3 3 2" xfId="13849" xr:uid="{1E47F687-FE56-44A8-8545-B69DFEA3E30F}"/>
    <cellStyle name="40% - Accent3 2 3 3 3 3" xfId="22296" xr:uid="{BBB40069-CEC7-4E63-9AF1-22DFDE77021F}"/>
    <cellStyle name="40% - Accent3 2 3 3 4" xfId="9631" xr:uid="{D5E7B696-1A55-42B8-BF5E-0976960A1A7D}"/>
    <cellStyle name="40% - Accent3 2 3 3 5" xfId="18079" xr:uid="{68A3352D-5D85-4468-9BA0-3316CEEEE115}"/>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1A3D386B-8E70-433B-AC7B-04C42B3F0149}"/>
    <cellStyle name="40% - Accent3 2 3 4 2 2 3" xfId="24854" xr:uid="{BC4E714D-6888-49EF-8DF7-98630D8390D5}"/>
    <cellStyle name="40% - Accent3 2 3 4 2 3" xfId="12189" xr:uid="{29D1E670-F1CF-45A0-94FF-41DE804BBD0D}"/>
    <cellStyle name="40% - Accent3 2 3 4 2 4" xfId="20637" xr:uid="{1534D244-B80F-437A-9322-839EAADD929F}"/>
    <cellStyle name="40% - Accent3 2 3 4 3" xfId="5812" xr:uid="{00000000-0005-0000-0000-000037050000}"/>
    <cellStyle name="40% - Accent3 2 3 4 3 2" xfId="14262" xr:uid="{7D6514F6-D043-4473-B95D-54CC8FE5819F}"/>
    <cellStyle name="40% - Accent3 2 3 4 3 3" xfId="22709" xr:uid="{042EB5DA-902B-4F85-A243-1B46EED92F8C}"/>
    <cellStyle name="40% - Accent3 2 3 4 4" xfId="10044" xr:uid="{6A04BCEB-7F13-4BBD-8DCE-CD6E4CD4F55F}"/>
    <cellStyle name="40% - Accent3 2 3 4 5" xfId="18492" xr:uid="{8ABC15A9-1FB9-4083-8E1E-1CE48F5BF9EE}"/>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A6EA8ACD-7322-4075-9D1C-A9895A2889E1}"/>
    <cellStyle name="40% - Accent3 2 3 5 2 2 3" xfId="25267" xr:uid="{697CE5D9-AB99-4FE6-8923-F2478EEBA757}"/>
    <cellStyle name="40% - Accent3 2 3 5 2 3" xfId="12602" xr:uid="{8137861E-5D03-4516-B97A-0F4E7AE3CB81}"/>
    <cellStyle name="40% - Accent3 2 3 5 2 4" xfId="21050" xr:uid="{BA80F2A7-1655-4398-8772-BADB86262EBA}"/>
    <cellStyle name="40% - Accent3 2 3 5 3" xfId="6225" xr:uid="{00000000-0005-0000-0000-00003B050000}"/>
    <cellStyle name="40% - Accent3 2 3 5 3 2" xfId="14675" xr:uid="{3DC42D94-2873-4E99-B254-A9BC0EE054B4}"/>
    <cellStyle name="40% - Accent3 2 3 5 3 3" xfId="23122" xr:uid="{1649134A-A287-4DA2-9D8C-7A8E50323435}"/>
    <cellStyle name="40% - Accent3 2 3 5 4" xfId="10457" xr:uid="{5D618081-F722-4F4C-9D81-4D4B0CE13D28}"/>
    <cellStyle name="40% - Accent3 2 3 5 5" xfId="18905" xr:uid="{4AEB6AFA-3E24-45E9-95B4-2326C5937323}"/>
    <cellStyle name="40% - Accent3 2 3 6" xfId="2332" xr:uid="{00000000-0005-0000-0000-00003C050000}"/>
    <cellStyle name="40% - Accent3 2 3 6 2" xfId="6638" xr:uid="{00000000-0005-0000-0000-00003D050000}"/>
    <cellStyle name="40% - Accent3 2 3 6 2 2" xfId="15088" xr:uid="{0D19556C-D393-42D2-8903-07D5DE76A6F2}"/>
    <cellStyle name="40% - Accent3 2 3 6 2 3" xfId="23535" xr:uid="{634F9D4F-D910-4E56-B433-416BB501C5C7}"/>
    <cellStyle name="40% - Accent3 2 3 6 3" xfId="10870" xr:uid="{5417BEE6-95E4-4C17-BAB5-37321868A5E6}"/>
    <cellStyle name="40% - Accent3 2 3 6 4" xfId="19318" xr:uid="{2BA203D8-B3BD-41AD-99AA-7E85B45FB74D}"/>
    <cellStyle name="40% - Accent3 2 3 7" xfId="4572" xr:uid="{00000000-0005-0000-0000-00003E050000}"/>
    <cellStyle name="40% - Accent3 2 3 7 2" xfId="13022" xr:uid="{E8931784-B97A-4304-A1E0-B6E0B98F6B10}"/>
    <cellStyle name="40% - Accent3 2 3 7 3" xfId="21469" xr:uid="{3AC4939D-2EED-49CB-A4FE-76185B2C31CE}"/>
    <cellStyle name="40% - Accent3 2 3 8" xfId="8804" xr:uid="{388E93CE-3290-4ADC-9D69-6571470A83F6}"/>
    <cellStyle name="40% - Accent3 2 3 9" xfId="17252" xr:uid="{DA74DA95-A5AB-48BE-9760-DB6070FB49BD}"/>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D6020DE3-3EFD-4238-B7EF-AC975984DAA1}"/>
    <cellStyle name="40% - Accent3 2 4 2 2 3" xfId="24025" xr:uid="{01CD6416-2886-41C9-B0D9-3D6CEBF43FB7}"/>
    <cellStyle name="40% - Accent3 2 4 2 3" xfId="11360" xr:uid="{21764E26-DD73-464B-A3D4-1FD613C844AE}"/>
    <cellStyle name="40% - Accent3 2 4 2 4" xfId="19808" xr:uid="{BD54CDE9-E4CE-480C-93D3-36312F55E019}"/>
    <cellStyle name="40% - Accent3 2 4 3" xfId="4983" xr:uid="{00000000-0005-0000-0000-000042050000}"/>
    <cellStyle name="40% - Accent3 2 4 3 2" xfId="13433" xr:uid="{61A4B4BB-6FE7-4906-8731-EBD768FB5CEB}"/>
    <cellStyle name="40% - Accent3 2 4 3 3" xfId="21880" xr:uid="{854C1348-36D3-476E-8BB9-E981F389828A}"/>
    <cellStyle name="40% - Accent3 2 4 4" xfId="9215" xr:uid="{A13A5AD6-0EAD-4F56-9876-D59135DC2172}"/>
    <cellStyle name="40% - Accent3 2 4 5" xfId="17663" xr:uid="{B215460D-A324-4A26-B1B8-6F9B9FF0C3E0}"/>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98E1E71C-B7AE-486C-A0DA-C22D2F3D02AE}"/>
    <cellStyle name="40% - Accent3 2 5 2 2 3" xfId="24438" xr:uid="{3C6881F6-2515-4C21-B21F-9AC5DDBCC14E}"/>
    <cellStyle name="40% - Accent3 2 5 2 3" xfId="11773" xr:uid="{190FEDB1-070D-4D84-9925-E3B14BEBCD20}"/>
    <cellStyle name="40% - Accent3 2 5 2 4" xfId="20221" xr:uid="{1FE08B5E-541D-4D9F-9C4B-DB5F81E61DD9}"/>
    <cellStyle name="40% - Accent3 2 5 3" xfId="5396" xr:uid="{00000000-0005-0000-0000-000046050000}"/>
    <cellStyle name="40% - Accent3 2 5 3 2" xfId="13846" xr:uid="{CE20B3C5-89EC-4BF7-8453-F7972E66CBD1}"/>
    <cellStyle name="40% - Accent3 2 5 3 3" xfId="22293" xr:uid="{629ED9CD-A90D-4193-9612-5FFF382992A4}"/>
    <cellStyle name="40% - Accent3 2 5 4" xfId="9628" xr:uid="{D444CDCA-5ACB-41F4-BB65-585E0A14B2FC}"/>
    <cellStyle name="40% - Accent3 2 5 5" xfId="18076" xr:uid="{FCD65F59-052C-40A5-A800-0721ED2BE6DD}"/>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0618DC9E-49D5-4233-8F15-209D44A9C8C1}"/>
    <cellStyle name="40% - Accent3 2 6 2 2 3" xfId="24851" xr:uid="{61A846C2-A585-493D-8763-7AC75054EBD2}"/>
    <cellStyle name="40% - Accent3 2 6 2 3" xfId="12186" xr:uid="{D6C15DC1-35FD-4390-88D4-3C9474BBF98F}"/>
    <cellStyle name="40% - Accent3 2 6 2 4" xfId="20634" xr:uid="{B19D4827-E422-4208-A6B9-9A36FBAB1449}"/>
    <cellStyle name="40% - Accent3 2 6 3" xfId="5809" xr:uid="{00000000-0005-0000-0000-00004A050000}"/>
    <cellStyle name="40% - Accent3 2 6 3 2" xfId="14259" xr:uid="{FA0D41DB-CD89-4C86-990C-D391C8AC2F34}"/>
    <cellStyle name="40% - Accent3 2 6 3 3" xfId="22706" xr:uid="{3996496C-60DD-4849-BC92-DE42AB3BE0A0}"/>
    <cellStyle name="40% - Accent3 2 6 4" xfId="10041" xr:uid="{EB31AAD0-1A5D-4C40-A66D-4946C073BBAC}"/>
    <cellStyle name="40% - Accent3 2 6 5" xfId="18489" xr:uid="{F3E73844-85A0-4482-9D72-A166A491B6D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D042574E-10B4-40C2-BB55-0B393DD8382E}"/>
    <cellStyle name="40% - Accent3 2 7 2 2 3" xfId="25264" xr:uid="{01532939-8628-4CEC-B17D-C116735650BF}"/>
    <cellStyle name="40% - Accent3 2 7 2 3" xfId="12599" xr:uid="{EE5A78DA-45A0-427E-A531-757D9EC109E6}"/>
    <cellStyle name="40% - Accent3 2 7 2 4" xfId="21047" xr:uid="{AC550635-0D08-4BF7-84F8-B54BE39C82FB}"/>
    <cellStyle name="40% - Accent3 2 7 3" xfId="6222" xr:uid="{00000000-0005-0000-0000-00004E050000}"/>
    <cellStyle name="40% - Accent3 2 7 3 2" xfId="14672" xr:uid="{C8AB66E2-B8DE-4B88-BD9E-F1FF914301BE}"/>
    <cellStyle name="40% - Accent3 2 7 3 3" xfId="23119" xr:uid="{E6C5CD9C-7E86-4A19-BCBD-48D3D0728DC2}"/>
    <cellStyle name="40% - Accent3 2 7 4" xfId="10454" xr:uid="{65AB9759-C0EE-4489-9D82-D868DBC3F048}"/>
    <cellStyle name="40% - Accent3 2 7 5" xfId="18902" xr:uid="{615DB24E-AA5F-4202-9A1E-321D6CFEB13B}"/>
    <cellStyle name="40% - Accent3 2 8" xfId="2329" xr:uid="{00000000-0005-0000-0000-00004F050000}"/>
    <cellStyle name="40% - Accent3 2 8 2" xfId="6635" xr:uid="{00000000-0005-0000-0000-000050050000}"/>
    <cellStyle name="40% - Accent3 2 8 2 2" xfId="15085" xr:uid="{7B1FB0D0-3BD5-4EBA-9D82-EE3652CEF4EE}"/>
    <cellStyle name="40% - Accent3 2 8 2 3" xfId="23532" xr:uid="{62B0F91F-486E-4777-B547-0D25A48E2D73}"/>
    <cellStyle name="40% - Accent3 2 8 3" xfId="10867" xr:uid="{0E129070-40F1-486D-B919-0E4D86057E4F}"/>
    <cellStyle name="40% - Accent3 2 8 4" xfId="19315" xr:uid="{E2E47741-741A-4476-86C7-5F700E2C3445}"/>
    <cellStyle name="40% - Accent3 2 9" xfId="4569" xr:uid="{00000000-0005-0000-0000-000051050000}"/>
    <cellStyle name="40% - Accent3 2 9 2" xfId="13019" xr:uid="{744D8438-886A-4D0D-A44D-36FA2207762A}"/>
    <cellStyle name="40% - Accent3 2 9 3" xfId="21466" xr:uid="{2AB67DDF-8016-4B10-9830-2D495E0601E0}"/>
    <cellStyle name="40% - Accent3 3" xfId="70" xr:uid="{00000000-0005-0000-0000-000052050000}"/>
    <cellStyle name="40% - Accent3 3 10" xfId="17253" xr:uid="{BE457696-41E1-4C33-A248-0B12420FF67C}"/>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36571050-3F47-4D96-BAB7-61727821C320}"/>
    <cellStyle name="40% - Accent3 3 2 2 2 2 3" xfId="24030" xr:uid="{FF9A11BA-A6E6-4097-AC3D-695738E1F471}"/>
    <cellStyle name="40% - Accent3 3 2 2 2 3" xfId="11365" xr:uid="{4DC7E576-3D00-480B-B882-3068C430857B}"/>
    <cellStyle name="40% - Accent3 3 2 2 2 4" xfId="19813" xr:uid="{B185FCB4-98EE-4D39-9EB8-B4968FB58D15}"/>
    <cellStyle name="40% - Accent3 3 2 2 3" xfId="4988" xr:uid="{00000000-0005-0000-0000-000057050000}"/>
    <cellStyle name="40% - Accent3 3 2 2 3 2" xfId="13438" xr:uid="{C85E5369-8EC6-4A8B-9F51-7AA27FFEEFDF}"/>
    <cellStyle name="40% - Accent3 3 2 2 3 3" xfId="21885" xr:uid="{2A59BAD2-DF7C-4C2F-A500-195DF18BC13E}"/>
    <cellStyle name="40% - Accent3 3 2 2 4" xfId="9220" xr:uid="{C9D3988C-E1F3-4F56-85E4-A5F6EBF27DAC}"/>
    <cellStyle name="40% - Accent3 3 2 2 5" xfId="17668" xr:uid="{631810AF-67C6-43AA-AC70-005D43153253}"/>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9DB469CD-1926-466C-BBD1-B6AEFBB7A461}"/>
    <cellStyle name="40% - Accent3 3 2 3 2 2 3" xfId="24443" xr:uid="{E0DB714A-CFC0-470A-A3B1-AA99AE002A17}"/>
    <cellStyle name="40% - Accent3 3 2 3 2 3" xfId="11778" xr:uid="{C43515A1-53DB-4B18-A2C9-3408B465E2AE}"/>
    <cellStyle name="40% - Accent3 3 2 3 2 4" xfId="20226" xr:uid="{847B57D1-FB3C-4868-9D90-0D2213731023}"/>
    <cellStyle name="40% - Accent3 3 2 3 3" xfId="5401" xr:uid="{00000000-0005-0000-0000-00005B050000}"/>
    <cellStyle name="40% - Accent3 3 2 3 3 2" xfId="13851" xr:uid="{EC681697-6694-4ED5-A122-207E7A0DF711}"/>
    <cellStyle name="40% - Accent3 3 2 3 3 3" xfId="22298" xr:uid="{5816CD77-B998-4C07-AFFD-F1BB71FE762A}"/>
    <cellStyle name="40% - Accent3 3 2 3 4" xfId="9633" xr:uid="{B531FACE-AAD0-4E6D-A639-BAA3DC599368}"/>
    <cellStyle name="40% - Accent3 3 2 3 5" xfId="18081" xr:uid="{F591E787-74D6-4618-BBDE-0F1DF08F581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C05AA803-692E-49D8-9474-0D5164B0F8F0}"/>
    <cellStyle name="40% - Accent3 3 2 4 2 2 3" xfId="24856" xr:uid="{E8C88371-A686-4F7A-859B-850EE8F4B43F}"/>
    <cellStyle name="40% - Accent3 3 2 4 2 3" xfId="12191" xr:uid="{4784AAF2-DFDB-4F06-8881-BFFFCB62FA05}"/>
    <cellStyle name="40% - Accent3 3 2 4 2 4" xfId="20639" xr:uid="{8DD1A798-7659-41EF-93C1-205747189DCC}"/>
    <cellStyle name="40% - Accent3 3 2 4 3" xfId="5814" xr:uid="{00000000-0005-0000-0000-00005F050000}"/>
    <cellStyle name="40% - Accent3 3 2 4 3 2" xfId="14264" xr:uid="{535497FB-074D-47DA-A1DA-EBAC7B16B86D}"/>
    <cellStyle name="40% - Accent3 3 2 4 3 3" xfId="22711" xr:uid="{D7125CA7-618E-492D-984E-5FE8F712E0E7}"/>
    <cellStyle name="40% - Accent3 3 2 4 4" xfId="10046" xr:uid="{4DD3FFC2-FFDC-4185-8747-1570A2438B4F}"/>
    <cellStyle name="40% - Accent3 3 2 4 5" xfId="18494" xr:uid="{BF973A15-D690-4C5F-AA19-8B87E23925D0}"/>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271E953C-2F8D-488E-965A-18AF87B53450}"/>
    <cellStyle name="40% - Accent3 3 2 5 2 2 3" xfId="25269" xr:uid="{047570F8-A638-445E-A4FC-26753A72A92E}"/>
    <cellStyle name="40% - Accent3 3 2 5 2 3" xfId="12604" xr:uid="{646BD18E-886D-4BEA-81DB-7DC0C85E925A}"/>
    <cellStyle name="40% - Accent3 3 2 5 2 4" xfId="21052" xr:uid="{8325FE49-5B5A-4A5A-A374-8917CD15D1DE}"/>
    <cellStyle name="40% - Accent3 3 2 5 3" xfId="6227" xr:uid="{00000000-0005-0000-0000-000063050000}"/>
    <cellStyle name="40% - Accent3 3 2 5 3 2" xfId="14677" xr:uid="{199603B7-1E32-4E29-9A28-BB437686252E}"/>
    <cellStyle name="40% - Accent3 3 2 5 3 3" xfId="23124" xr:uid="{382892F6-1410-47CB-8ACD-093864C609F0}"/>
    <cellStyle name="40% - Accent3 3 2 5 4" xfId="10459" xr:uid="{3A3EED01-27E4-4213-BFA1-DC8CFC374C6E}"/>
    <cellStyle name="40% - Accent3 3 2 5 5" xfId="18907" xr:uid="{6C03EC82-2C10-43E9-B464-ABD02CA63750}"/>
    <cellStyle name="40% - Accent3 3 2 6" xfId="2334" xr:uid="{00000000-0005-0000-0000-000064050000}"/>
    <cellStyle name="40% - Accent3 3 2 6 2" xfId="6640" xr:uid="{00000000-0005-0000-0000-000065050000}"/>
    <cellStyle name="40% - Accent3 3 2 6 2 2" xfId="15090" xr:uid="{E2A28F46-A6CD-4AA4-A801-0FB2F95D142A}"/>
    <cellStyle name="40% - Accent3 3 2 6 2 3" xfId="23537" xr:uid="{B8739718-0328-47FE-AD95-C02D152281DC}"/>
    <cellStyle name="40% - Accent3 3 2 6 3" xfId="10872" xr:uid="{39740AF1-235A-4CA6-9F5E-0CE1EA0BE633}"/>
    <cellStyle name="40% - Accent3 3 2 6 4" xfId="19320" xr:uid="{AB33BCCF-54B5-41FD-B3A5-5159D39D5635}"/>
    <cellStyle name="40% - Accent3 3 2 7" xfId="4574" xr:uid="{00000000-0005-0000-0000-000066050000}"/>
    <cellStyle name="40% - Accent3 3 2 7 2" xfId="13024" xr:uid="{1BC8B673-96D4-45CA-A7F4-2865672CC791}"/>
    <cellStyle name="40% - Accent3 3 2 7 3" xfId="21471" xr:uid="{6DD210B1-D043-40BC-9DCF-C29E89B96F2A}"/>
    <cellStyle name="40% - Accent3 3 2 8" xfId="8806" xr:uid="{755BED3C-E875-4E31-B51F-6A66D36430E9}"/>
    <cellStyle name="40% - Accent3 3 2 9" xfId="17254" xr:uid="{4B237D10-D87B-4F78-A05C-1600A92807F9}"/>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179BD996-721D-445D-ADD4-7C6A365A6C08}"/>
    <cellStyle name="40% - Accent3 3 3 2 2 3" xfId="24029" xr:uid="{C0DA735F-20ED-4821-B6E8-3DD1C91A9BA4}"/>
    <cellStyle name="40% - Accent3 3 3 2 3" xfId="11364" xr:uid="{5EEC4E4D-8A6A-44BC-826A-5208A6F47630}"/>
    <cellStyle name="40% - Accent3 3 3 2 4" xfId="19812" xr:uid="{2667E942-D6E6-4726-A83B-8E2843F800BA}"/>
    <cellStyle name="40% - Accent3 3 3 3" xfId="4987" xr:uid="{00000000-0005-0000-0000-00006A050000}"/>
    <cellStyle name="40% - Accent3 3 3 3 2" xfId="13437" xr:uid="{27DFFBA5-74B2-4057-BCF2-D98C74B68118}"/>
    <cellStyle name="40% - Accent3 3 3 3 3" xfId="21884" xr:uid="{174AD979-773E-4D15-AED7-B4876CC88E99}"/>
    <cellStyle name="40% - Accent3 3 3 4" xfId="9219" xr:uid="{A04FF51B-A6DD-4DF4-A822-9A68809AE845}"/>
    <cellStyle name="40% - Accent3 3 3 5" xfId="17667" xr:uid="{FDA75891-7BBA-43EB-B411-FD87C52C6A2E}"/>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6C0DABF9-136B-44BB-92A1-DFEE14521B25}"/>
    <cellStyle name="40% - Accent3 3 4 2 2 3" xfId="24442" xr:uid="{E9D30E0B-F91F-43D8-BD3F-BDA89E0365CB}"/>
    <cellStyle name="40% - Accent3 3 4 2 3" xfId="11777" xr:uid="{C93AE73C-778B-41F6-9E76-771300D8C13D}"/>
    <cellStyle name="40% - Accent3 3 4 2 4" xfId="20225" xr:uid="{0FD8C343-B489-4569-ACD2-765EE3E6DF05}"/>
    <cellStyle name="40% - Accent3 3 4 3" xfId="5400" xr:uid="{00000000-0005-0000-0000-00006E050000}"/>
    <cellStyle name="40% - Accent3 3 4 3 2" xfId="13850" xr:uid="{E05F43A7-8B99-42E1-8235-65050CB2A3E0}"/>
    <cellStyle name="40% - Accent3 3 4 3 3" xfId="22297" xr:uid="{28A2FBFF-2E00-4505-9C80-948EBB17DBFE}"/>
    <cellStyle name="40% - Accent3 3 4 4" xfId="9632" xr:uid="{6C5FC312-858D-441C-84EF-C0226FE19856}"/>
    <cellStyle name="40% - Accent3 3 4 5" xfId="18080" xr:uid="{7AC799CC-0DB8-4B20-BAF9-3D647E8677B5}"/>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D2C8D780-3D65-48CF-933F-7AAF840DD9B8}"/>
    <cellStyle name="40% - Accent3 3 5 2 2 3" xfId="24855" xr:uid="{1194602D-F55C-4BC8-8134-72DB29C3FB10}"/>
    <cellStyle name="40% - Accent3 3 5 2 3" xfId="12190" xr:uid="{8C25C82F-DD8A-4E81-954E-2AA79EF197D2}"/>
    <cellStyle name="40% - Accent3 3 5 2 4" xfId="20638" xr:uid="{538DD92E-9EE4-492B-81EE-48AACC259C8B}"/>
    <cellStyle name="40% - Accent3 3 5 3" xfId="5813" xr:uid="{00000000-0005-0000-0000-000072050000}"/>
    <cellStyle name="40% - Accent3 3 5 3 2" xfId="14263" xr:uid="{C0692F3E-F257-403E-8386-9334C6AD380C}"/>
    <cellStyle name="40% - Accent3 3 5 3 3" xfId="22710" xr:uid="{5B124E03-E8B4-4A89-8216-6BA339CF938E}"/>
    <cellStyle name="40% - Accent3 3 5 4" xfId="10045" xr:uid="{83E6CF48-C9B2-432D-B12D-3C118BC369D3}"/>
    <cellStyle name="40% - Accent3 3 5 5" xfId="18493" xr:uid="{A082AB76-B46F-4830-97B1-6B25AF9693E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CB05BA2B-4CE7-4032-9430-44594D309697}"/>
    <cellStyle name="40% - Accent3 3 6 2 2 3" xfId="25268" xr:uid="{319C3F69-30EA-40A4-93FD-5FA344668ADD}"/>
    <cellStyle name="40% - Accent3 3 6 2 3" xfId="12603" xr:uid="{66BFDFDC-61BB-41AB-B513-E9D418A5EC02}"/>
    <cellStyle name="40% - Accent3 3 6 2 4" xfId="21051" xr:uid="{E9450DBE-77D2-4913-9CB6-AD23181C5FAF}"/>
    <cellStyle name="40% - Accent3 3 6 3" xfId="6226" xr:uid="{00000000-0005-0000-0000-000076050000}"/>
    <cellStyle name="40% - Accent3 3 6 3 2" xfId="14676" xr:uid="{8160C1DC-8640-4F15-8478-3BC3046F3CAB}"/>
    <cellStyle name="40% - Accent3 3 6 3 3" xfId="23123" xr:uid="{8C7BE177-E54A-46E8-B458-6529B6444CFC}"/>
    <cellStyle name="40% - Accent3 3 6 4" xfId="10458" xr:uid="{DBD297CF-04FA-4DE9-B4B4-6FD98084D8BD}"/>
    <cellStyle name="40% - Accent3 3 6 5" xfId="18906" xr:uid="{774B6B2A-D1F2-4903-A8A6-82DDB73D5CD5}"/>
    <cellStyle name="40% - Accent3 3 7" xfId="2333" xr:uid="{00000000-0005-0000-0000-000077050000}"/>
    <cellStyle name="40% - Accent3 3 7 2" xfId="6639" xr:uid="{00000000-0005-0000-0000-000078050000}"/>
    <cellStyle name="40% - Accent3 3 7 2 2" xfId="15089" xr:uid="{09C27877-40EA-41A5-9C25-A895487EB995}"/>
    <cellStyle name="40% - Accent3 3 7 2 3" xfId="23536" xr:uid="{107FAE89-0FEC-4EAC-9A7F-2FF611D59270}"/>
    <cellStyle name="40% - Accent3 3 7 3" xfId="10871" xr:uid="{D33DA1FE-39C8-4DAF-9ECB-E0D3BCB2A792}"/>
    <cellStyle name="40% - Accent3 3 7 4" xfId="19319" xr:uid="{174039EB-0B86-4AE4-A77C-103E00E7F100}"/>
    <cellStyle name="40% - Accent3 3 8" xfId="4573" xr:uid="{00000000-0005-0000-0000-000079050000}"/>
    <cellStyle name="40% - Accent3 3 8 2" xfId="13023" xr:uid="{FCF073A5-AD72-441F-BF4F-85B0C91D3E03}"/>
    <cellStyle name="40% - Accent3 3 8 3" xfId="21470" xr:uid="{32D6BF9D-E060-4C9A-9081-8DF45EF10D22}"/>
    <cellStyle name="40% - Accent3 3 9" xfId="8805" xr:uid="{1EB6299E-FEB4-47CB-92C2-0A4B29300247}"/>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C4E1A288-FD41-4706-A936-DA5A6D261CE6}"/>
    <cellStyle name="40% - Accent3 4 2 2 2 3" xfId="24031" xr:uid="{6D69055F-98EF-4D8E-AD89-A107377B016C}"/>
    <cellStyle name="40% - Accent3 4 2 2 3" xfId="11366" xr:uid="{AF3FA835-9F0F-4EB1-AD98-621B68A6914A}"/>
    <cellStyle name="40% - Accent3 4 2 2 4" xfId="19814" xr:uid="{50ECA23C-488C-4268-84BC-6B1BB4C5557A}"/>
    <cellStyle name="40% - Accent3 4 2 3" xfId="4989" xr:uid="{00000000-0005-0000-0000-00007E050000}"/>
    <cellStyle name="40% - Accent3 4 2 3 2" xfId="13439" xr:uid="{7F60A0DE-72D6-4561-B2B6-7D8B959B82DC}"/>
    <cellStyle name="40% - Accent3 4 2 3 3" xfId="21886" xr:uid="{F22B6F68-09E7-4853-AD2F-0E9212E11789}"/>
    <cellStyle name="40% - Accent3 4 2 4" xfId="9221" xr:uid="{14C4249C-C29C-4809-A1BE-CA18AD2E4D2C}"/>
    <cellStyle name="40% - Accent3 4 2 5" xfId="17669" xr:uid="{C94B05E5-3F89-414C-9238-A3DD9B8CE90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DDBC77D2-23A0-47EE-B5F3-F38D983F8B42}"/>
    <cellStyle name="40% - Accent3 4 3 2 2 3" xfId="24444" xr:uid="{9CD91324-84BB-45C8-99F5-D5BE385A6A33}"/>
    <cellStyle name="40% - Accent3 4 3 2 3" xfId="11779" xr:uid="{1A14F753-3628-4CC7-979A-A7F81588BCA6}"/>
    <cellStyle name="40% - Accent3 4 3 2 4" xfId="20227" xr:uid="{3E5CFB87-AE5A-456B-8879-104E68CC2026}"/>
    <cellStyle name="40% - Accent3 4 3 3" xfId="5402" xr:uid="{00000000-0005-0000-0000-000082050000}"/>
    <cellStyle name="40% - Accent3 4 3 3 2" xfId="13852" xr:uid="{96A299AF-C8A2-4ACD-BCD6-3D1D72062EE0}"/>
    <cellStyle name="40% - Accent3 4 3 3 3" xfId="22299" xr:uid="{4700A130-599D-430F-85F1-3C1EA6D15FD0}"/>
    <cellStyle name="40% - Accent3 4 3 4" xfId="9634" xr:uid="{74BBCA1C-0086-452C-BFE8-911FCA38B9C0}"/>
    <cellStyle name="40% - Accent3 4 3 5" xfId="18082" xr:uid="{3F0D3A8B-D520-4EFB-BB20-85D9A4143996}"/>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B525720F-5269-446C-BAE8-8380CF4E4CE9}"/>
    <cellStyle name="40% - Accent3 4 4 2 2 3" xfId="24857" xr:uid="{14A67D73-382B-4AEA-8384-A7150CF094CD}"/>
    <cellStyle name="40% - Accent3 4 4 2 3" xfId="12192" xr:uid="{4E462DA8-CD7A-4179-80F3-FBF15D55CF8F}"/>
    <cellStyle name="40% - Accent3 4 4 2 4" xfId="20640" xr:uid="{7479528C-BBA6-4AC9-B02F-72C099686735}"/>
    <cellStyle name="40% - Accent3 4 4 3" xfId="5815" xr:uid="{00000000-0005-0000-0000-000086050000}"/>
    <cellStyle name="40% - Accent3 4 4 3 2" xfId="14265" xr:uid="{87B07A3F-D2A2-48AE-B818-490FACA11186}"/>
    <cellStyle name="40% - Accent3 4 4 3 3" xfId="22712" xr:uid="{EB8036A0-6830-4E7B-8E97-361093245B6B}"/>
    <cellStyle name="40% - Accent3 4 4 4" xfId="10047" xr:uid="{1CFC041C-3B52-47BE-A74B-2161EB74C6CE}"/>
    <cellStyle name="40% - Accent3 4 4 5" xfId="18495" xr:uid="{0741235E-9EE5-446D-924B-6EAC8CD3ECF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5D4D2345-1A6A-4CD2-BFEB-83DD5F3287AF}"/>
    <cellStyle name="40% - Accent3 4 5 2 2 3" xfId="25270" xr:uid="{19BA01A6-D4B1-48CD-BC9C-1AE94DE5C3FA}"/>
    <cellStyle name="40% - Accent3 4 5 2 3" xfId="12605" xr:uid="{5FB873AC-E328-433C-ABED-5CC876C182FD}"/>
    <cellStyle name="40% - Accent3 4 5 2 4" xfId="21053" xr:uid="{9DF417DD-33D1-43CA-9F09-0D940C80BBD7}"/>
    <cellStyle name="40% - Accent3 4 5 3" xfId="6228" xr:uid="{00000000-0005-0000-0000-00008A050000}"/>
    <cellStyle name="40% - Accent3 4 5 3 2" xfId="14678" xr:uid="{33F11AF1-F424-46AF-855A-87D374D9EFE3}"/>
    <cellStyle name="40% - Accent3 4 5 3 3" xfId="23125" xr:uid="{7FF9ACCA-9A76-4C26-BA0A-F441C2A8AF92}"/>
    <cellStyle name="40% - Accent3 4 5 4" xfId="10460" xr:uid="{D3F508A4-7D80-4123-8525-5EDAFEB5FF23}"/>
    <cellStyle name="40% - Accent3 4 5 5" xfId="18908" xr:uid="{925A26C0-27D1-47B9-A26A-1AB18618871D}"/>
    <cellStyle name="40% - Accent3 4 6" xfId="2335" xr:uid="{00000000-0005-0000-0000-00008B050000}"/>
    <cellStyle name="40% - Accent3 4 6 2" xfId="6641" xr:uid="{00000000-0005-0000-0000-00008C050000}"/>
    <cellStyle name="40% - Accent3 4 6 2 2" xfId="15091" xr:uid="{4BBA99B0-F2D4-487A-9F00-23D674488377}"/>
    <cellStyle name="40% - Accent3 4 6 2 3" xfId="23538" xr:uid="{B9669A5C-816C-4DF5-A792-A012297A9582}"/>
    <cellStyle name="40% - Accent3 4 6 3" xfId="10873" xr:uid="{C403DABB-68D7-45C1-AE9A-A2E23D1E2FE8}"/>
    <cellStyle name="40% - Accent3 4 6 4" xfId="19321" xr:uid="{882E6D63-7027-480F-9E61-63E17C70D605}"/>
    <cellStyle name="40% - Accent3 4 7" xfId="4575" xr:uid="{00000000-0005-0000-0000-00008D050000}"/>
    <cellStyle name="40% - Accent3 4 7 2" xfId="13025" xr:uid="{49972A83-FB31-4C1E-B8ED-D270A5787F23}"/>
    <cellStyle name="40% - Accent3 4 7 3" xfId="21472" xr:uid="{3173D225-BAD5-476D-AB9D-020025481001}"/>
    <cellStyle name="40% - Accent3 4 8" xfId="8807" xr:uid="{E0838043-0E56-4852-A7D4-B937D87EB35D}"/>
    <cellStyle name="40% - Accent3 4 9" xfId="17255" xr:uid="{1E8EE30E-5C67-4BD8-9FA2-D660C4026DE6}"/>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672D8050-93EA-421D-96C1-63A921E84196}"/>
    <cellStyle name="40% - Accent3 5 2 2 3" xfId="24024" xr:uid="{B30F0482-F769-4517-A4A2-4FBE1006064B}"/>
    <cellStyle name="40% - Accent3 5 2 3" xfId="11359" xr:uid="{FEF0B15D-46AC-448F-919A-2A85C8B696F6}"/>
    <cellStyle name="40% - Accent3 5 2 4" xfId="19807" xr:uid="{A49CD57F-1699-4601-8241-1753C5BCF432}"/>
    <cellStyle name="40% - Accent3 5 3" xfId="4982" xr:uid="{00000000-0005-0000-0000-000091050000}"/>
    <cellStyle name="40% - Accent3 5 3 2" xfId="13432" xr:uid="{1BB18E43-8E16-4F56-B398-D69AE1E57F83}"/>
    <cellStyle name="40% - Accent3 5 3 3" xfId="21879" xr:uid="{7F09C804-63FE-4B63-AAFA-2A0232084905}"/>
    <cellStyle name="40% - Accent3 5 4" xfId="9214" xr:uid="{C3C5DFFD-1845-490E-9EE9-7F7F573FF68B}"/>
    <cellStyle name="40% - Accent3 5 5" xfId="17662" xr:uid="{8DB46202-4333-460D-B809-94B79AA83B87}"/>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936D200C-3B31-48E5-A22A-3127BAC1CF98}"/>
    <cellStyle name="40% - Accent3 6 2 2 3" xfId="24437" xr:uid="{2DCD19C4-BB92-4A50-861D-D7C53D3FB45A}"/>
    <cellStyle name="40% - Accent3 6 2 3" xfId="11772" xr:uid="{2CC3A6BE-702B-44F3-96A1-83F4D59FC9EE}"/>
    <cellStyle name="40% - Accent3 6 2 4" xfId="20220" xr:uid="{A935A7D5-8D23-4297-9427-BFD2F3BFDD5F}"/>
    <cellStyle name="40% - Accent3 6 3" xfId="5395" xr:uid="{00000000-0005-0000-0000-000095050000}"/>
    <cellStyle name="40% - Accent3 6 3 2" xfId="13845" xr:uid="{ABE4CF59-5F3C-4595-ACAF-DA494D439D59}"/>
    <cellStyle name="40% - Accent3 6 3 3" xfId="22292" xr:uid="{5C536D19-E0AA-4A7D-AAEC-F079A56F3BF5}"/>
    <cellStyle name="40% - Accent3 6 4" xfId="9627" xr:uid="{C7D62427-0D00-457A-A589-80BC043724E9}"/>
    <cellStyle name="40% - Accent3 6 5" xfId="18075" xr:uid="{2196738E-8213-4F62-8267-FB577AF9C1FD}"/>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F42C258B-8A8C-48A1-A098-1BCF2B8B0B20}"/>
    <cellStyle name="40% - Accent3 7 2 2 3" xfId="24850" xr:uid="{D4E2C27E-7D03-4F8C-8AC4-36D9F3F2B3DE}"/>
    <cellStyle name="40% - Accent3 7 2 3" xfId="12185" xr:uid="{B22ED31B-060A-4F23-9838-9F41FBF0568E}"/>
    <cellStyle name="40% - Accent3 7 2 4" xfId="20633" xr:uid="{6BC7B127-1505-4B7A-A62A-AB4FCD5E8189}"/>
    <cellStyle name="40% - Accent3 7 3" xfId="5808" xr:uid="{00000000-0005-0000-0000-000099050000}"/>
    <cellStyle name="40% - Accent3 7 3 2" xfId="14258" xr:uid="{F8D0B59B-49B5-480E-A494-B40B1D5149B5}"/>
    <cellStyle name="40% - Accent3 7 3 3" xfId="22705" xr:uid="{FFF0CA22-35A6-4E52-AC00-4C4BDD2241B0}"/>
    <cellStyle name="40% - Accent3 7 4" xfId="10040" xr:uid="{74770E4A-D016-4638-B212-3F481C723EAF}"/>
    <cellStyle name="40% - Accent3 7 5" xfId="18488" xr:uid="{D988D816-71C2-45FD-BAB4-F08445D0D17C}"/>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1EF59C90-9A37-4EBE-9DE7-2CAF6FA96EEE}"/>
    <cellStyle name="40% - Accent3 8 2 2 3" xfId="25263" xr:uid="{9ECF8936-D881-4739-80A4-59D6500B5C54}"/>
    <cellStyle name="40% - Accent3 8 2 3" xfId="12598" xr:uid="{79AF9B18-32A9-4C4E-9174-E2AEA72288F8}"/>
    <cellStyle name="40% - Accent3 8 2 4" xfId="21046" xr:uid="{C8DC4388-C579-4D0D-8740-65DBCF46AF57}"/>
    <cellStyle name="40% - Accent3 8 3" xfId="6221" xr:uid="{00000000-0005-0000-0000-00009D050000}"/>
    <cellStyle name="40% - Accent3 8 3 2" xfId="14671" xr:uid="{01810250-435F-42E6-9584-AECCE566C374}"/>
    <cellStyle name="40% - Accent3 8 3 3" xfId="23118" xr:uid="{D54E128F-8853-4D30-B32F-8E8DF54535EF}"/>
    <cellStyle name="40% - Accent3 8 4" xfId="10453" xr:uid="{7F87DD36-12D3-4EB2-A1A0-E1BF7C90F6D3}"/>
    <cellStyle name="40% - Accent3 8 5" xfId="18901" xr:uid="{F647E773-ACCA-45CE-B779-8C8808A631FF}"/>
    <cellStyle name="40% - Accent3 9" xfId="2328" xr:uid="{00000000-0005-0000-0000-00009E050000}"/>
    <cellStyle name="40% - Accent3 9 2" xfId="6634" xr:uid="{00000000-0005-0000-0000-00009F050000}"/>
    <cellStyle name="40% - Accent3 9 2 2" xfId="15084" xr:uid="{DCCC8F55-05C4-4EA0-BCBB-8DA104FBBDAA}"/>
    <cellStyle name="40% - Accent3 9 2 3" xfId="23531" xr:uid="{86A3CCAA-068B-4196-AEC7-42E6D7663A99}"/>
    <cellStyle name="40% - Accent3 9 3" xfId="10866" xr:uid="{3B042DCA-B116-482D-B9D0-0D670D5A7556}"/>
    <cellStyle name="40% - Accent3 9 4" xfId="19314" xr:uid="{BB616456-2B6A-4DB5-8CE8-E295A6A77668}"/>
    <cellStyle name="40% - Accent4" xfId="73" builtinId="43" customBuiltin="1"/>
    <cellStyle name="40% - Accent4 10" xfId="4576" xr:uid="{00000000-0005-0000-0000-0000A1050000}"/>
    <cellStyle name="40% - Accent4 10 2" xfId="13026" xr:uid="{C16C9136-759F-4E4F-880B-F6BC9325B919}"/>
    <cellStyle name="40% - Accent4 10 3" xfId="21473" xr:uid="{B5FCB634-DDC4-430E-9CA0-BC6CCC63AB25}"/>
    <cellStyle name="40% - Accent4 11" xfId="8808" xr:uid="{15974D96-C3BE-4D7B-B9AE-5F051B6CB745}"/>
    <cellStyle name="40% - Accent4 12" xfId="17256" xr:uid="{436536A9-4DDA-4744-B693-5E775A1C397E}"/>
    <cellStyle name="40% - Accent4 2" xfId="74" xr:uid="{00000000-0005-0000-0000-0000A2050000}"/>
    <cellStyle name="40% - Accent4 2 10" xfId="8809" xr:uid="{EE1BBC7B-12D6-4D42-9FE7-2110ECF0F7E8}"/>
    <cellStyle name="40% - Accent4 2 11" xfId="17257" xr:uid="{BFF25A68-72E8-46CD-A7EA-2A55C6954488}"/>
    <cellStyle name="40% - Accent4 2 2" xfId="75" xr:uid="{00000000-0005-0000-0000-0000A3050000}"/>
    <cellStyle name="40% - Accent4 2 2 10" xfId="17258" xr:uid="{1F2118BB-047E-4675-8A06-EE9B382F0F6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DDEEB067-6C68-4AE2-830D-EDF631BEB1A6}"/>
    <cellStyle name="40% - Accent4 2 2 2 2 2 2 3" xfId="24035" xr:uid="{B1C6352F-B81D-401F-82D3-6328EB7F4B5D}"/>
    <cellStyle name="40% - Accent4 2 2 2 2 2 3" xfId="11370" xr:uid="{E1EA205D-EB26-4E8B-8E23-2D1574672F1D}"/>
    <cellStyle name="40% - Accent4 2 2 2 2 2 4" xfId="19818" xr:uid="{FF248C10-A3B2-410F-87E6-04CEA5FB9616}"/>
    <cellStyle name="40% - Accent4 2 2 2 2 3" xfId="4993" xr:uid="{00000000-0005-0000-0000-0000A8050000}"/>
    <cellStyle name="40% - Accent4 2 2 2 2 3 2" xfId="13443" xr:uid="{4BA453F7-09C1-4D54-AD6B-8820F031DBAD}"/>
    <cellStyle name="40% - Accent4 2 2 2 2 3 3" xfId="21890" xr:uid="{F5FFEBDB-BA9E-4D61-87C4-CBFB54F62D20}"/>
    <cellStyle name="40% - Accent4 2 2 2 2 4" xfId="9225" xr:uid="{26B31433-24CA-43BE-BD36-7DDCC2433B30}"/>
    <cellStyle name="40% - Accent4 2 2 2 2 5" xfId="17673" xr:uid="{BBB6F46A-20AF-48DA-9268-28B32FC3E6E2}"/>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EFEF3D8F-62FF-4FFC-A3BA-DEAAB57A0BA0}"/>
    <cellStyle name="40% - Accent4 2 2 2 3 2 2 3" xfId="24448" xr:uid="{94439802-9281-4DF0-AF5E-F8BA3284D9EC}"/>
    <cellStyle name="40% - Accent4 2 2 2 3 2 3" xfId="11783" xr:uid="{D8778E49-355C-4F0A-8427-6653698E5B4C}"/>
    <cellStyle name="40% - Accent4 2 2 2 3 2 4" xfId="20231" xr:uid="{8EFA03F2-D591-47E6-8446-48C43B717FF2}"/>
    <cellStyle name="40% - Accent4 2 2 2 3 3" xfId="5406" xr:uid="{00000000-0005-0000-0000-0000AC050000}"/>
    <cellStyle name="40% - Accent4 2 2 2 3 3 2" xfId="13856" xr:uid="{5BA98E59-0F69-44C2-B82D-24ABFCFD978B}"/>
    <cellStyle name="40% - Accent4 2 2 2 3 3 3" xfId="22303" xr:uid="{23D28D7A-26DF-4BC3-AACD-C115983DA6EA}"/>
    <cellStyle name="40% - Accent4 2 2 2 3 4" xfId="9638" xr:uid="{9AF0CB27-B477-4718-B7F3-17CE65E6E1C7}"/>
    <cellStyle name="40% - Accent4 2 2 2 3 5" xfId="18086" xr:uid="{DB94E7EE-9042-46FF-82CF-5D4B4C89A05D}"/>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45D838F2-44F2-47A6-86A8-F5169EC5FE87}"/>
    <cellStyle name="40% - Accent4 2 2 2 4 2 2 3" xfId="24861" xr:uid="{55BE89A5-50E3-4A25-AE95-8FDE26ADB6D4}"/>
    <cellStyle name="40% - Accent4 2 2 2 4 2 3" xfId="12196" xr:uid="{8D9C5A05-0FDF-40A0-AF5F-2D812103BEC7}"/>
    <cellStyle name="40% - Accent4 2 2 2 4 2 4" xfId="20644" xr:uid="{FAA69763-1E34-4DDC-9CC1-D7B3EBC70666}"/>
    <cellStyle name="40% - Accent4 2 2 2 4 3" xfId="5819" xr:uid="{00000000-0005-0000-0000-0000B0050000}"/>
    <cellStyle name="40% - Accent4 2 2 2 4 3 2" xfId="14269" xr:uid="{5D700EC2-81C6-49A3-997B-BE96B09BB575}"/>
    <cellStyle name="40% - Accent4 2 2 2 4 3 3" xfId="22716" xr:uid="{1108E34E-010F-473E-9566-E1FFD18E15A7}"/>
    <cellStyle name="40% - Accent4 2 2 2 4 4" xfId="10051" xr:uid="{2B2135B5-6145-4B22-B310-B3243FDD9FB8}"/>
    <cellStyle name="40% - Accent4 2 2 2 4 5" xfId="18499" xr:uid="{5DAFBD00-286C-4C64-8A38-E71F765DC5D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B6467F06-E6E4-45F5-86E2-6777B125EB63}"/>
    <cellStyle name="40% - Accent4 2 2 2 5 2 2 3" xfId="25274" xr:uid="{CEBC4D08-64AE-4F0E-9A64-ECDFCE78DFC5}"/>
    <cellStyle name="40% - Accent4 2 2 2 5 2 3" xfId="12609" xr:uid="{14AB4694-AD5F-40AA-9300-F89458C4D2E1}"/>
    <cellStyle name="40% - Accent4 2 2 2 5 2 4" xfId="21057" xr:uid="{CE89345A-CF3B-43EB-AC02-23D2DAE4BC2A}"/>
    <cellStyle name="40% - Accent4 2 2 2 5 3" xfId="6232" xr:uid="{00000000-0005-0000-0000-0000B4050000}"/>
    <cellStyle name="40% - Accent4 2 2 2 5 3 2" xfId="14682" xr:uid="{53E8A54C-7F8C-49D8-B7A4-EF4F4CBA3F7B}"/>
    <cellStyle name="40% - Accent4 2 2 2 5 3 3" xfId="23129" xr:uid="{399F9067-ABB1-44ED-9D68-7F1E69A2034D}"/>
    <cellStyle name="40% - Accent4 2 2 2 5 4" xfId="10464" xr:uid="{779B1234-2DD4-4FA9-BB51-FB696DDA8F63}"/>
    <cellStyle name="40% - Accent4 2 2 2 5 5" xfId="18912" xr:uid="{D209ECAD-E77F-4C70-B4FE-5BD934855B33}"/>
    <cellStyle name="40% - Accent4 2 2 2 6" xfId="2339" xr:uid="{00000000-0005-0000-0000-0000B5050000}"/>
    <cellStyle name="40% - Accent4 2 2 2 6 2" xfId="6645" xr:uid="{00000000-0005-0000-0000-0000B6050000}"/>
    <cellStyle name="40% - Accent4 2 2 2 6 2 2" xfId="15095" xr:uid="{8780F04E-79B0-4812-8599-A373CBF9BAB5}"/>
    <cellStyle name="40% - Accent4 2 2 2 6 2 3" xfId="23542" xr:uid="{6A07507A-5AE7-44CD-AAA9-71F570C3A352}"/>
    <cellStyle name="40% - Accent4 2 2 2 6 3" xfId="10877" xr:uid="{6D1F59AF-F2A7-4CED-A80B-BDB96F76E2BE}"/>
    <cellStyle name="40% - Accent4 2 2 2 6 4" xfId="19325" xr:uid="{8AD56557-1F02-4FBB-A788-884B68347C6C}"/>
    <cellStyle name="40% - Accent4 2 2 2 7" xfId="4579" xr:uid="{00000000-0005-0000-0000-0000B7050000}"/>
    <cellStyle name="40% - Accent4 2 2 2 7 2" xfId="13029" xr:uid="{32588076-1C5C-4F82-9B02-2FE0F1E61964}"/>
    <cellStyle name="40% - Accent4 2 2 2 7 3" xfId="21476" xr:uid="{A306129B-ABC7-456E-AD28-BD9C448A7A71}"/>
    <cellStyle name="40% - Accent4 2 2 2 8" xfId="8811" xr:uid="{5DD1E276-7442-4533-AEF2-AB5A17ACA507}"/>
    <cellStyle name="40% - Accent4 2 2 2 9" xfId="17259" xr:uid="{499C79F8-722B-4E8D-93C6-CC1B42B90FEA}"/>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39C01F35-3B9D-4BAF-B648-4C0E531A21D3}"/>
    <cellStyle name="40% - Accent4 2 2 3 2 2 3" xfId="24034" xr:uid="{EDF00D92-8BA5-493F-900C-DDF9638D807E}"/>
    <cellStyle name="40% - Accent4 2 2 3 2 3" xfId="11369" xr:uid="{B7BAB093-1602-4B23-932B-06A6A82C9944}"/>
    <cellStyle name="40% - Accent4 2 2 3 2 4" xfId="19817" xr:uid="{25F5E24F-FBF7-41D5-9616-29A303998F8D}"/>
    <cellStyle name="40% - Accent4 2 2 3 3" xfId="4992" xr:uid="{00000000-0005-0000-0000-0000BB050000}"/>
    <cellStyle name="40% - Accent4 2 2 3 3 2" xfId="13442" xr:uid="{E057C5A2-A029-49C1-B1E7-30250C715726}"/>
    <cellStyle name="40% - Accent4 2 2 3 3 3" xfId="21889" xr:uid="{DEDD6409-C265-4D5D-B239-A96EF7D39D12}"/>
    <cellStyle name="40% - Accent4 2 2 3 4" xfId="9224" xr:uid="{5358779C-A4B8-4BBB-89E0-DC01EDFE3E30}"/>
    <cellStyle name="40% - Accent4 2 2 3 5" xfId="17672" xr:uid="{16401D42-BC9F-4882-93A6-1E6A1509F97A}"/>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18950481-50CD-4DCC-BF67-C3C53C2850BF}"/>
    <cellStyle name="40% - Accent4 2 2 4 2 2 3" xfId="24447" xr:uid="{7261477B-5518-4386-A94D-F92C56D81AD4}"/>
    <cellStyle name="40% - Accent4 2 2 4 2 3" xfId="11782" xr:uid="{F86DC3A5-1BBC-411E-98A4-E14077C7F275}"/>
    <cellStyle name="40% - Accent4 2 2 4 2 4" xfId="20230" xr:uid="{8128DB89-D409-4754-A946-7B125352B21C}"/>
    <cellStyle name="40% - Accent4 2 2 4 3" xfId="5405" xr:uid="{00000000-0005-0000-0000-0000BF050000}"/>
    <cellStyle name="40% - Accent4 2 2 4 3 2" xfId="13855" xr:uid="{F03F18B0-00D5-4602-808F-55F7116CC725}"/>
    <cellStyle name="40% - Accent4 2 2 4 3 3" xfId="22302" xr:uid="{52C07CAC-9142-4AAD-B87C-F2A3701139EE}"/>
    <cellStyle name="40% - Accent4 2 2 4 4" xfId="9637" xr:uid="{6310BD82-3049-4299-A206-5AC02481803C}"/>
    <cellStyle name="40% - Accent4 2 2 4 5" xfId="18085" xr:uid="{0B0A7C03-16A6-43E8-9D43-D4E8F318AA6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BFF9C6A1-6C04-433E-B340-6AC875EC726E}"/>
    <cellStyle name="40% - Accent4 2 2 5 2 2 3" xfId="24860" xr:uid="{22A3C9F4-B5B5-4156-AF81-21685E192366}"/>
    <cellStyle name="40% - Accent4 2 2 5 2 3" xfId="12195" xr:uid="{E1AE405F-53D8-4BF3-B25A-237454EA2FF3}"/>
    <cellStyle name="40% - Accent4 2 2 5 2 4" xfId="20643" xr:uid="{AE373B97-838D-420E-97A1-017A15B2DFEC}"/>
    <cellStyle name="40% - Accent4 2 2 5 3" xfId="5818" xr:uid="{00000000-0005-0000-0000-0000C3050000}"/>
    <cellStyle name="40% - Accent4 2 2 5 3 2" xfId="14268" xr:uid="{3EF99D89-7AF6-4DD4-A96C-7598B26B5CC8}"/>
    <cellStyle name="40% - Accent4 2 2 5 3 3" xfId="22715" xr:uid="{26A3901F-8D67-4048-B0D4-63A81D44F84B}"/>
    <cellStyle name="40% - Accent4 2 2 5 4" xfId="10050" xr:uid="{76B5C422-D430-48D8-BE56-7DCC5DC3DC18}"/>
    <cellStyle name="40% - Accent4 2 2 5 5" xfId="18498" xr:uid="{6637FFDC-7638-4ED6-966D-A4B0028E099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83597EF6-2445-4FEC-B5B0-933870BAA8FF}"/>
    <cellStyle name="40% - Accent4 2 2 6 2 2 3" xfId="25273" xr:uid="{C07BB0F6-920D-40EE-B58C-583B635D3ADE}"/>
    <cellStyle name="40% - Accent4 2 2 6 2 3" xfId="12608" xr:uid="{AF4F4800-3B23-4DE3-8696-8A03483E8008}"/>
    <cellStyle name="40% - Accent4 2 2 6 2 4" xfId="21056" xr:uid="{FC51F4DC-3DDA-4DE4-8085-F6FF8CDDD280}"/>
    <cellStyle name="40% - Accent4 2 2 6 3" xfId="6231" xr:uid="{00000000-0005-0000-0000-0000C7050000}"/>
    <cellStyle name="40% - Accent4 2 2 6 3 2" xfId="14681" xr:uid="{CCCEFF7D-C5A4-4194-B865-90492EFE036D}"/>
    <cellStyle name="40% - Accent4 2 2 6 3 3" xfId="23128" xr:uid="{E3141503-FB01-4880-9FBF-984BB47ABD8F}"/>
    <cellStyle name="40% - Accent4 2 2 6 4" xfId="10463" xr:uid="{F0F6F5B3-B806-4574-AA8A-7E5F32EEFDC0}"/>
    <cellStyle name="40% - Accent4 2 2 6 5" xfId="18911" xr:uid="{53F1A2D6-D7AB-4EBE-9D5F-48F3D3F9A9C6}"/>
    <cellStyle name="40% - Accent4 2 2 7" xfId="2338" xr:uid="{00000000-0005-0000-0000-0000C8050000}"/>
    <cellStyle name="40% - Accent4 2 2 7 2" xfId="6644" xr:uid="{00000000-0005-0000-0000-0000C9050000}"/>
    <cellStyle name="40% - Accent4 2 2 7 2 2" xfId="15094" xr:uid="{795D3761-3D6C-4369-A612-0E23DCDE30F3}"/>
    <cellStyle name="40% - Accent4 2 2 7 2 3" xfId="23541" xr:uid="{E78C9D84-6E66-4684-A9BA-89E38511EF77}"/>
    <cellStyle name="40% - Accent4 2 2 7 3" xfId="10876" xr:uid="{18D7E6B0-B95C-480C-A0BF-D2ACE69FE00F}"/>
    <cellStyle name="40% - Accent4 2 2 7 4" xfId="19324" xr:uid="{07BDCBA7-F5C0-4609-877A-74FBB62B5913}"/>
    <cellStyle name="40% - Accent4 2 2 8" xfId="4578" xr:uid="{00000000-0005-0000-0000-0000CA050000}"/>
    <cellStyle name="40% - Accent4 2 2 8 2" xfId="13028" xr:uid="{7BDA3A10-6E23-4461-99DE-7FA1D1B594EB}"/>
    <cellStyle name="40% - Accent4 2 2 8 3" xfId="21475" xr:uid="{764FDAB7-D1D6-4806-A7D0-BCB4099AFC3A}"/>
    <cellStyle name="40% - Accent4 2 2 9" xfId="8810" xr:uid="{16CE2AE6-C95D-4B7A-A765-B7A34DA4D911}"/>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B528031A-F714-4F02-BD83-A22D6B495CA3}"/>
    <cellStyle name="40% - Accent4 2 3 2 2 2 3" xfId="24036" xr:uid="{8F7015F6-7BA5-452D-B3E4-4268257D85FA}"/>
    <cellStyle name="40% - Accent4 2 3 2 2 3" xfId="11371" xr:uid="{76EF88A4-E613-4174-8FFA-A57D8EEF4635}"/>
    <cellStyle name="40% - Accent4 2 3 2 2 4" xfId="19819" xr:uid="{D7DC8C16-2A48-4044-9A2C-F9C92C52D132}"/>
    <cellStyle name="40% - Accent4 2 3 2 3" xfId="4994" xr:uid="{00000000-0005-0000-0000-0000CF050000}"/>
    <cellStyle name="40% - Accent4 2 3 2 3 2" xfId="13444" xr:uid="{0B31F2CC-1392-455B-9BF8-F9A4F515FAFA}"/>
    <cellStyle name="40% - Accent4 2 3 2 3 3" xfId="21891" xr:uid="{FB5AD78B-E236-45EF-AA43-6351FCAA55A9}"/>
    <cellStyle name="40% - Accent4 2 3 2 4" xfId="9226" xr:uid="{5897590A-94FF-49D1-B4E5-3C8F0B928D1F}"/>
    <cellStyle name="40% - Accent4 2 3 2 5" xfId="17674" xr:uid="{645D0466-2E9C-4D43-A5F1-10B71B3FBE31}"/>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0FC07D66-CDA6-4595-96AB-BFEC8095C85B}"/>
    <cellStyle name="40% - Accent4 2 3 3 2 2 3" xfId="24449" xr:uid="{B588AAC8-A294-474C-8FC0-593ED2B6EBEB}"/>
    <cellStyle name="40% - Accent4 2 3 3 2 3" xfId="11784" xr:uid="{6AACDFCA-5685-4C2D-9F9B-35C4699A8BE9}"/>
    <cellStyle name="40% - Accent4 2 3 3 2 4" xfId="20232" xr:uid="{100BA0ED-06CC-41EA-AE8C-DABA7472CE0C}"/>
    <cellStyle name="40% - Accent4 2 3 3 3" xfId="5407" xr:uid="{00000000-0005-0000-0000-0000D3050000}"/>
    <cellStyle name="40% - Accent4 2 3 3 3 2" xfId="13857" xr:uid="{6321DD52-60BD-43AB-904E-0224915A73BF}"/>
    <cellStyle name="40% - Accent4 2 3 3 3 3" xfId="22304" xr:uid="{DD12D16F-66B6-4028-B9D7-376BC6463F63}"/>
    <cellStyle name="40% - Accent4 2 3 3 4" xfId="9639" xr:uid="{E441075D-E4B2-4616-AFC3-2DC8A3A3DDE9}"/>
    <cellStyle name="40% - Accent4 2 3 3 5" xfId="18087" xr:uid="{4FB9EEBE-48A4-445D-AC77-EC96D163F5F6}"/>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B4B142E2-9ECC-49B7-BA68-7CF30CB9C18C}"/>
    <cellStyle name="40% - Accent4 2 3 4 2 2 3" xfId="24862" xr:uid="{18E8FA0A-D2E4-413E-BE25-3E2679F9CFC7}"/>
    <cellStyle name="40% - Accent4 2 3 4 2 3" xfId="12197" xr:uid="{1EE52CD4-3134-4D1F-AB63-D02A723604C4}"/>
    <cellStyle name="40% - Accent4 2 3 4 2 4" xfId="20645" xr:uid="{E8788506-E1B3-4A69-B901-1324983B543E}"/>
    <cellStyle name="40% - Accent4 2 3 4 3" xfId="5820" xr:uid="{00000000-0005-0000-0000-0000D7050000}"/>
    <cellStyle name="40% - Accent4 2 3 4 3 2" xfId="14270" xr:uid="{2A623EDD-A74A-4A46-8674-95B0D354CAE2}"/>
    <cellStyle name="40% - Accent4 2 3 4 3 3" xfId="22717" xr:uid="{7B04D103-B11C-42DF-9019-96B52FB6EDA4}"/>
    <cellStyle name="40% - Accent4 2 3 4 4" xfId="10052" xr:uid="{36EB4F49-988B-45BA-845E-6E867F7D5677}"/>
    <cellStyle name="40% - Accent4 2 3 4 5" xfId="18500" xr:uid="{AF081837-E1BD-46A2-AA94-44F2E6981E1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9D046924-685B-4718-8BED-50C65B18221A}"/>
    <cellStyle name="40% - Accent4 2 3 5 2 2 3" xfId="25275" xr:uid="{0EB55CDE-BA38-43D9-B7DE-BB6F65135FB8}"/>
    <cellStyle name="40% - Accent4 2 3 5 2 3" xfId="12610" xr:uid="{2728BD14-792E-4127-9E52-DB740E3D4A61}"/>
    <cellStyle name="40% - Accent4 2 3 5 2 4" xfId="21058" xr:uid="{FA533A89-01B3-49EF-8DEB-EEF1567F4920}"/>
    <cellStyle name="40% - Accent4 2 3 5 3" xfId="6233" xr:uid="{00000000-0005-0000-0000-0000DB050000}"/>
    <cellStyle name="40% - Accent4 2 3 5 3 2" xfId="14683" xr:uid="{82ECC7B0-BE00-4CD4-973D-444FC53DB28E}"/>
    <cellStyle name="40% - Accent4 2 3 5 3 3" xfId="23130" xr:uid="{E9538BE9-B91F-4A63-A3CF-BC3C48AA17ED}"/>
    <cellStyle name="40% - Accent4 2 3 5 4" xfId="10465" xr:uid="{E5AE15B4-E8F8-4C89-8D48-CF217F09161D}"/>
    <cellStyle name="40% - Accent4 2 3 5 5" xfId="18913" xr:uid="{C255B15B-3BBD-4B29-BCAD-511775568948}"/>
    <cellStyle name="40% - Accent4 2 3 6" xfId="2340" xr:uid="{00000000-0005-0000-0000-0000DC050000}"/>
    <cellStyle name="40% - Accent4 2 3 6 2" xfId="6646" xr:uid="{00000000-0005-0000-0000-0000DD050000}"/>
    <cellStyle name="40% - Accent4 2 3 6 2 2" xfId="15096" xr:uid="{45DAA58A-263B-4FEC-AE5A-0026F8888F3B}"/>
    <cellStyle name="40% - Accent4 2 3 6 2 3" xfId="23543" xr:uid="{0F3B6930-BD64-41AA-AA10-18D5BBD0ED81}"/>
    <cellStyle name="40% - Accent4 2 3 6 3" xfId="10878" xr:uid="{DA0DD8C9-7702-4A71-9DB0-59450C74496F}"/>
    <cellStyle name="40% - Accent4 2 3 6 4" xfId="19326" xr:uid="{3EC9F85C-209F-45CA-BE92-1B0FCE0D2A97}"/>
    <cellStyle name="40% - Accent4 2 3 7" xfId="4580" xr:uid="{00000000-0005-0000-0000-0000DE050000}"/>
    <cellStyle name="40% - Accent4 2 3 7 2" xfId="13030" xr:uid="{F5F7319D-9D09-47FA-B556-7B66D9532C44}"/>
    <cellStyle name="40% - Accent4 2 3 7 3" xfId="21477" xr:uid="{4FEFB39B-C21F-470D-8A4F-3A2834EF249E}"/>
    <cellStyle name="40% - Accent4 2 3 8" xfId="8812" xr:uid="{2C330A2F-5257-41D3-B7D2-4517A328B1E4}"/>
    <cellStyle name="40% - Accent4 2 3 9" xfId="17260" xr:uid="{1F5D86F0-02B9-479C-8AFE-486924599501}"/>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73BF76A8-20FE-425A-9527-F34C43621EAD}"/>
    <cellStyle name="40% - Accent4 2 4 2 2 3" xfId="24033" xr:uid="{E65DE36F-93F6-4338-98AB-2EB394EE0E85}"/>
    <cellStyle name="40% - Accent4 2 4 2 3" xfId="11368" xr:uid="{92E4D58C-50AB-40D6-B4CF-9AA62B221D57}"/>
    <cellStyle name="40% - Accent4 2 4 2 4" xfId="19816" xr:uid="{2980641A-45BF-46A7-B062-DE6D7234D88B}"/>
    <cellStyle name="40% - Accent4 2 4 3" xfId="4991" xr:uid="{00000000-0005-0000-0000-0000E2050000}"/>
    <cellStyle name="40% - Accent4 2 4 3 2" xfId="13441" xr:uid="{8F7E92DA-90A7-4A46-B225-AED3B140EA0F}"/>
    <cellStyle name="40% - Accent4 2 4 3 3" xfId="21888" xr:uid="{AFB2A57C-EE82-421E-BA05-833C72B5D1AF}"/>
    <cellStyle name="40% - Accent4 2 4 4" xfId="9223" xr:uid="{5A2F5130-77AF-40D0-8F25-4E202EAE7297}"/>
    <cellStyle name="40% - Accent4 2 4 5" xfId="17671" xr:uid="{2CD583A9-5BB7-4162-8030-2F7B4652963C}"/>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1EF89B8E-4424-475D-94FF-BA0996DD98A8}"/>
    <cellStyle name="40% - Accent4 2 5 2 2 3" xfId="24446" xr:uid="{D16353D1-5E02-46ED-89DF-8E63CCBDDCB2}"/>
    <cellStyle name="40% - Accent4 2 5 2 3" xfId="11781" xr:uid="{5A8A130E-8D92-44C1-B010-C0BC203D45F8}"/>
    <cellStyle name="40% - Accent4 2 5 2 4" xfId="20229" xr:uid="{6A7A4A6B-4BD1-4C77-8D25-BCA4C59AA6F5}"/>
    <cellStyle name="40% - Accent4 2 5 3" xfId="5404" xr:uid="{00000000-0005-0000-0000-0000E6050000}"/>
    <cellStyle name="40% - Accent4 2 5 3 2" xfId="13854" xr:uid="{8BBEDAFE-69BF-470D-B636-B274C43C1EF4}"/>
    <cellStyle name="40% - Accent4 2 5 3 3" xfId="22301" xr:uid="{3F9305F2-9245-47DF-A8B7-C7BB332CD060}"/>
    <cellStyle name="40% - Accent4 2 5 4" xfId="9636" xr:uid="{F116BFFB-A636-4D85-8C8B-18C8B3A9D35C}"/>
    <cellStyle name="40% - Accent4 2 5 5" xfId="18084" xr:uid="{58E6C5D2-AB37-4562-834B-4D2300B17BE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AD45E368-146C-43AA-A311-F5DA93D790D3}"/>
    <cellStyle name="40% - Accent4 2 6 2 2 3" xfId="24859" xr:uid="{B4FAD471-C324-4ED5-8FA9-505D1F6D8241}"/>
    <cellStyle name="40% - Accent4 2 6 2 3" xfId="12194" xr:uid="{38524FE3-25E6-45A5-8B50-41DE0C17E3D0}"/>
    <cellStyle name="40% - Accent4 2 6 2 4" xfId="20642" xr:uid="{29756575-C761-4571-A164-E84457FD88E4}"/>
    <cellStyle name="40% - Accent4 2 6 3" xfId="5817" xr:uid="{00000000-0005-0000-0000-0000EA050000}"/>
    <cellStyle name="40% - Accent4 2 6 3 2" xfId="14267" xr:uid="{28A31082-9F78-45C3-92F0-6EC185335C89}"/>
    <cellStyle name="40% - Accent4 2 6 3 3" xfId="22714" xr:uid="{153EBB58-8138-4195-8BC4-560614CE76EE}"/>
    <cellStyle name="40% - Accent4 2 6 4" xfId="10049" xr:uid="{EA48FDDF-A987-49CD-A0C4-17CE53E8F58A}"/>
    <cellStyle name="40% - Accent4 2 6 5" xfId="18497" xr:uid="{FCB45B94-2BE2-478B-922E-489339C7F56B}"/>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A67EC404-1030-40A9-A837-CB974686F56C}"/>
    <cellStyle name="40% - Accent4 2 7 2 2 3" xfId="25272" xr:uid="{6A3BB928-144E-4EA1-8BC5-46A7297165AF}"/>
    <cellStyle name="40% - Accent4 2 7 2 3" xfId="12607" xr:uid="{0D2360E2-EE38-441D-ABBA-DB62F4E53AB1}"/>
    <cellStyle name="40% - Accent4 2 7 2 4" xfId="21055" xr:uid="{AE8CD25D-0BA8-4415-8DAE-FF823114B103}"/>
    <cellStyle name="40% - Accent4 2 7 3" xfId="6230" xr:uid="{00000000-0005-0000-0000-0000EE050000}"/>
    <cellStyle name="40% - Accent4 2 7 3 2" xfId="14680" xr:uid="{E5426552-8123-4730-B075-3ACDAA55989F}"/>
    <cellStyle name="40% - Accent4 2 7 3 3" xfId="23127" xr:uid="{274FA89C-9026-4F36-8D09-3A1B944E0EAC}"/>
    <cellStyle name="40% - Accent4 2 7 4" xfId="10462" xr:uid="{2AADF5AC-4A4F-4EC8-9E47-BC64688558EF}"/>
    <cellStyle name="40% - Accent4 2 7 5" xfId="18910" xr:uid="{B544E226-372F-45CD-8527-D0DCDAB52CFB}"/>
    <cellStyle name="40% - Accent4 2 8" xfId="2337" xr:uid="{00000000-0005-0000-0000-0000EF050000}"/>
    <cellStyle name="40% - Accent4 2 8 2" xfId="6643" xr:uid="{00000000-0005-0000-0000-0000F0050000}"/>
    <cellStyle name="40% - Accent4 2 8 2 2" xfId="15093" xr:uid="{0A703DE4-FAD4-445A-9DEC-05BC2DA1F2D2}"/>
    <cellStyle name="40% - Accent4 2 8 2 3" xfId="23540" xr:uid="{6E8E838F-166C-47BA-82C1-61420D0A052C}"/>
    <cellStyle name="40% - Accent4 2 8 3" xfId="10875" xr:uid="{CB28D08A-E655-49FA-9754-3F5B3C788567}"/>
    <cellStyle name="40% - Accent4 2 8 4" xfId="19323" xr:uid="{40369605-8714-4C28-80E7-C7FBEA7F604F}"/>
    <cellStyle name="40% - Accent4 2 9" xfId="4577" xr:uid="{00000000-0005-0000-0000-0000F1050000}"/>
    <cellStyle name="40% - Accent4 2 9 2" xfId="13027" xr:uid="{4C1F2310-A00F-4CE2-A21A-A4CA3B5A109D}"/>
    <cellStyle name="40% - Accent4 2 9 3" xfId="21474" xr:uid="{78D99186-5DF4-4747-A334-3EB5809650F3}"/>
    <cellStyle name="40% - Accent4 3" xfId="78" xr:uid="{00000000-0005-0000-0000-0000F2050000}"/>
    <cellStyle name="40% - Accent4 3 10" xfId="17261" xr:uid="{5192E088-3E75-4B42-8C31-5CA8B1B03032}"/>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BABEB680-6735-4543-AB1F-E753DC591AA5}"/>
    <cellStyle name="40% - Accent4 3 2 2 2 2 3" xfId="24038" xr:uid="{051253AD-5772-4612-8547-32D4DEF59495}"/>
    <cellStyle name="40% - Accent4 3 2 2 2 3" xfId="11373" xr:uid="{21E96B36-877C-44EC-81F5-CE93B31F568B}"/>
    <cellStyle name="40% - Accent4 3 2 2 2 4" xfId="19821" xr:uid="{813B3C5D-B670-4CC8-9C39-1210C4553033}"/>
    <cellStyle name="40% - Accent4 3 2 2 3" xfId="4996" xr:uid="{00000000-0005-0000-0000-0000F7050000}"/>
    <cellStyle name="40% - Accent4 3 2 2 3 2" xfId="13446" xr:uid="{8B7078C2-8C0B-438E-8B5E-E70D112F7CD8}"/>
    <cellStyle name="40% - Accent4 3 2 2 3 3" xfId="21893" xr:uid="{0712A06B-28F0-4106-AC83-DCA6AA502677}"/>
    <cellStyle name="40% - Accent4 3 2 2 4" xfId="9228" xr:uid="{BE7432DA-8F69-44C1-9EF2-FE5FE6A1A538}"/>
    <cellStyle name="40% - Accent4 3 2 2 5" xfId="17676" xr:uid="{E058379F-E9C7-4D09-BA11-3874A1D45537}"/>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9CE84B78-78FC-4AE9-A1D1-8E3FB9EEF9D9}"/>
    <cellStyle name="40% - Accent4 3 2 3 2 2 3" xfId="24451" xr:uid="{22841EB1-6633-47EC-ABDF-B8FE88053BC8}"/>
    <cellStyle name="40% - Accent4 3 2 3 2 3" xfId="11786" xr:uid="{8542446D-77E1-4566-9098-62925A4D9BBA}"/>
    <cellStyle name="40% - Accent4 3 2 3 2 4" xfId="20234" xr:uid="{32F55F54-13C0-482F-BE8D-FEE1490F7C1D}"/>
    <cellStyle name="40% - Accent4 3 2 3 3" xfId="5409" xr:uid="{00000000-0005-0000-0000-0000FB050000}"/>
    <cellStyle name="40% - Accent4 3 2 3 3 2" xfId="13859" xr:uid="{C25CAB24-D13D-446B-B5EA-005703B24616}"/>
    <cellStyle name="40% - Accent4 3 2 3 3 3" xfId="22306" xr:uid="{96168F34-C783-43D1-9C7B-C7BA7A4F4F48}"/>
    <cellStyle name="40% - Accent4 3 2 3 4" xfId="9641" xr:uid="{B4A6FDD4-748F-483B-9C60-72C2A921D1C2}"/>
    <cellStyle name="40% - Accent4 3 2 3 5" xfId="18089" xr:uid="{592D78A8-1FF5-40EF-930A-5184505B7D0F}"/>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B8EE442F-16AC-44D4-BA78-C814455261D4}"/>
    <cellStyle name="40% - Accent4 3 2 4 2 2 3" xfId="24864" xr:uid="{7685EBEA-B677-4233-907C-DDEEEE02AECB}"/>
    <cellStyle name="40% - Accent4 3 2 4 2 3" xfId="12199" xr:uid="{1292EBD5-FAB9-41BA-8049-DAB5018C5E89}"/>
    <cellStyle name="40% - Accent4 3 2 4 2 4" xfId="20647" xr:uid="{F3DC95AA-167C-4C8E-A27D-FFE6BCAEA027}"/>
    <cellStyle name="40% - Accent4 3 2 4 3" xfId="5822" xr:uid="{00000000-0005-0000-0000-0000FF050000}"/>
    <cellStyle name="40% - Accent4 3 2 4 3 2" xfId="14272" xr:uid="{CCDA83F3-FE11-4DAA-B57B-4558C3A34B20}"/>
    <cellStyle name="40% - Accent4 3 2 4 3 3" xfId="22719" xr:uid="{2AAB9263-B440-482C-B4C9-A33A537A0C31}"/>
    <cellStyle name="40% - Accent4 3 2 4 4" xfId="10054" xr:uid="{38B17F20-78A9-4AD3-A949-04052736E61E}"/>
    <cellStyle name="40% - Accent4 3 2 4 5" xfId="18502" xr:uid="{4499F9ED-F014-4B1D-8C57-7C0813329B3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78E11E24-E53B-44FE-A4C0-9AB914209AD5}"/>
    <cellStyle name="40% - Accent4 3 2 5 2 2 3" xfId="25277" xr:uid="{F831885C-9172-41DF-BDB7-F5840DBB9135}"/>
    <cellStyle name="40% - Accent4 3 2 5 2 3" xfId="12612" xr:uid="{34606EA8-4C4E-4F72-9C3C-AB18860F6692}"/>
    <cellStyle name="40% - Accent4 3 2 5 2 4" xfId="21060" xr:uid="{9162425F-5FAC-442D-9330-B67C34AB52FD}"/>
    <cellStyle name="40% - Accent4 3 2 5 3" xfId="6235" xr:uid="{00000000-0005-0000-0000-000003060000}"/>
    <cellStyle name="40% - Accent4 3 2 5 3 2" xfId="14685" xr:uid="{A3BE3DA2-0801-4717-9F85-F5F61D761399}"/>
    <cellStyle name="40% - Accent4 3 2 5 3 3" xfId="23132" xr:uid="{D70C5FAB-166D-4FB5-B30A-08B810467302}"/>
    <cellStyle name="40% - Accent4 3 2 5 4" xfId="10467" xr:uid="{94A38D94-E09D-4DEC-9BF9-F9438BE119CD}"/>
    <cellStyle name="40% - Accent4 3 2 5 5" xfId="18915" xr:uid="{B6F8865F-C4CB-4CE9-993A-136ECB380C10}"/>
    <cellStyle name="40% - Accent4 3 2 6" xfId="2342" xr:uid="{00000000-0005-0000-0000-000004060000}"/>
    <cellStyle name="40% - Accent4 3 2 6 2" xfId="6648" xr:uid="{00000000-0005-0000-0000-000005060000}"/>
    <cellStyle name="40% - Accent4 3 2 6 2 2" xfId="15098" xr:uid="{86FD6B00-2EC9-44E8-A482-273769C05503}"/>
    <cellStyle name="40% - Accent4 3 2 6 2 3" xfId="23545" xr:uid="{52F8F944-2F87-4DA4-A517-A54502E7BEC2}"/>
    <cellStyle name="40% - Accent4 3 2 6 3" xfId="10880" xr:uid="{2689D4F9-7806-4648-8029-DFE02346623A}"/>
    <cellStyle name="40% - Accent4 3 2 6 4" xfId="19328" xr:uid="{1D0A000C-134C-4442-9B2D-68094DC16719}"/>
    <cellStyle name="40% - Accent4 3 2 7" xfId="4582" xr:uid="{00000000-0005-0000-0000-000006060000}"/>
    <cellStyle name="40% - Accent4 3 2 7 2" xfId="13032" xr:uid="{10275FAC-44C7-4CE7-A180-2B63A8262BBF}"/>
    <cellStyle name="40% - Accent4 3 2 7 3" xfId="21479" xr:uid="{8093D2FC-5A8A-422E-B141-77493835F047}"/>
    <cellStyle name="40% - Accent4 3 2 8" xfId="8814" xr:uid="{4ECAA40A-9151-4348-91FE-1CD3715DD2E4}"/>
    <cellStyle name="40% - Accent4 3 2 9" xfId="17262" xr:uid="{C8927EDA-3661-4E70-8467-9102DAFCE9D0}"/>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A6881DD6-9CC6-4396-87C9-77110C35C857}"/>
    <cellStyle name="40% - Accent4 3 3 2 2 3" xfId="24037" xr:uid="{05BFE686-A565-483C-9962-8D5B4045F7FC}"/>
    <cellStyle name="40% - Accent4 3 3 2 3" xfId="11372" xr:uid="{4CFED292-9C27-4DCD-BF55-D79B3F1FCBEA}"/>
    <cellStyle name="40% - Accent4 3 3 2 4" xfId="19820" xr:uid="{2B9D0F6F-D292-498F-859A-6CBEF72D18E2}"/>
    <cellStyle name="40% - Accent4 3 3 3" xfId="4995" xr:uid="{00000000-0005-0000-0000-00000A060000}"/>
    <cellStyle name="40% - Accent4 3 3 3 2" xfId="13445" xr:uid="{BFDFECB6-217C-40D9-94DF-A363384228E0}"/>
    <cellStyle name="40% - Accent4 3 3 3 3" xfId="21892" xr:uid="{5418B1DC-CB6D-4D15-8D3C-9D2F8C30CAD6}"/>
    <cellStyle name="40% - Accent4 3 3 4" xfId="9227" xr:uid="{B5208438-802B-491B-93CF-822406B6EF34}"/>
    <cellStyle name="40% - Accent4 3 3 5" xfId="17675" xr:uid="{832AD428-2566-4202-B25A-65C85A1D55C3}"/>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56A81ED1-3274-44BA-8833-B83CFA9F20A6}"/>
    <cellStyle name="40% - Accent4 3 4 2 2 3" xfId="24450" xr:uid="{6BABE00B-7886-4BE7-98C6-749362082482}"/>
    <cellStyle name="40% - Accent4 3 4 2 3" xfId="11785" xr:uid="{F8730811-994A-44C7-BC55-C0E5D52EF0F2}"/>
    <cellStyle name="40% - Accent4 3 4 2 4" xfId="20233" xr:uid="{E801B3ED-78D9-4032-80BF-ADE42B27F344}"/>
    <cellStyle name="40% - Accent4 3 4 3" xfId="5408" xr:uid="{00000000-0005-0000-0000-00000E060000}"/>
    <cellStyle name="40% - Accent4 3 4 3 2" xfId="13858" xr:uid="{61B59614-482F-4D09-9A50-99A8439DB455}"/>
    <cellStyle name="40% - Accent4 3 4 3 3" xfId="22305" xr:uid="{1D2F90B4-130C-48AC-92BF-FB9DB8129F23}"/>
    <cellStyle name="40% - Accent4 3 4 4" xfId="9640" xr:uid="{47BCBA1B-38F5-4C74-B8FA-26AB5329EAB1}"/>
    <cellStyle name="40% - Accent4 3 4 5" xfId="18088" xr:uid="{15746B40-84C2-4334-9928-25B41375B5B1}"/>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28B38C2E-11A5-47FF-AB73-89014203B0C8}"/>
    <cellStyle name="40% - Accent4 3 5 2 2 3" xfId="24863" xr:uid="{F2E2C8C0-889E-4139-94D6-C7027D6BD62C}"/>
    <cellStyle name="40% - Accent4 3 5 2 3" xfId="12198" xr:uid="{17461DD8-9F46-4C3D-86BC-F12BA54A10C5}"/>
    <cellStyle name="40% - Accent4 3 5 2 4" xfId="20646" xr:uid="{B732DE74-854A-48D7-972D-1E62ECB923FB}"/>
    <cellStyle name="40% - Accent4 3 5 3" xfId="5821" xr:uid="{00000000-0005-0000-0000-000012060000}"/>
    <cellStyle name="40% - Accent4 3 5 3 2" xfId="14271" xr:uid="{67B6CBB2-B3DC-41C6-B9B4-DCA38A7B4704}"/>
    <cellStyle name="40% - Accent4 3 5 3 3" xfId="22718" xr:uid="{4F7EAAE0-1635-4250-B39F-52A824AA759F}"/>
    <cellStyle name="40% - Accent4 3 5 4" xfId="10053" xr:uid="{6C2C8BC4-4F43-43F7-89BA-D2CFEFE7C2D8}"/>
    <cellStyle name="40% - Accent4 3 5 5" xfId="18501" xr:uid="{0FFDAE0D-CB33-4DF3-B895-35F440FBB4E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F46CE3FA-17C9-4F76-BF2D-57B1FC04C46D}"/>
    <cellStyle name="40% - Accent4 3 6 2 2 3" xfId="25276" xr:uid="{8667C482-D055-4E16-9648-BE88CFB96D23}"/>
    <cellStyle name="40% - Accent4 3 6 2 3" xfId="12611" xr:uid="{03FF24D0-7025-49A2-81B6-2BB9ED7FAAE8}"/>
    <cellStyle name="40% - Accent4 3 6 2 4" xfId="21059" xr:uid="{84B9DEE3-0EB5-4271-911A-F48EB6849E00}"/>
    <cellStyle name="40% - Accent4 3 6 3" xfId="6234" xr:uid="{00000000-0005-0000-0000-000016060000}"/>
    <cellStyle name="40% - Accent4 3 6 3 2" xfId="14684" xr:uid="{D0853D71-F506-4A6A-9198-7ACF9B058225}"/>
    <cellStyle name="40% - Accent4 3 6 3 3" xfId="23131" xr:uid="{5B100605-A341-4DCD-AC97-B9F19F3CC93B}"/>
    <cellStyle name="40% - Accent4 3 6 4" xfId="10466" xr:uid="{768E5DEA-0DD4-4AC6-8A1E-A087ACCF4294}"/>
    <cellStyle name="40% - Accent4 3 6 5" xfId="18914" xr:uid="{08328D2C-EF1F-4125-89AD-EF3450E9AE67}"/>
    <cellStyle name="40% - Accent4 3 7" xfId="2341" xr:uid="{00000000-0005-0000-0000-000017060000}"/>
    <cellStyle name="40% - Accent4 3 7 2" xfId="6647" xr:uid="{00000000-0005-0000-0000-000018060000}"/>
    <cellStyle name="40% - Accent4 3 7 2 2" xfId="15097" xr:uid="{75506C8C-D39F-425A-89D5-B4E9A7B0E001}"/>
    <cellStyle name="40% - Accent4 3 7 2 3" xfId="23544" xr:uid="{D6D31F2E-3CE0-4889-9355-8975BA80FE1E}"/>
    <cellStyle name="40% - Accent4 3 7 3" xfId="10879" xr:uid="{04694AA2-09F2-46F1-99A9-53A914004211}"/>
    <cellStyle name="40% - Accent4 3 7 4" xfId="19327" xr:uid="{4D70F2F9-650F-466D-A24F-5FB4ABEA5827}"/>
    <cellStyle name="40% - Accent4 3 8" xfId="4581" xr:uid="{00000000-0005-0000-0000-000019060000}"/>
    <cellStyle name="40% - Accent4 3 8 2" xfId="13031" xr:uid="{8607C160-B680-43BB-BADA-BFDEDE8935E1}"/>
    <cellStyle name="40% - Accent4 3 8 3" xfId="21478" xr:uid="{DF030186-F949-4CB3-BEC5-95869CF06191}"/>
    <cellStyle name="40% - Accent4 3 9" xfId="8813" xr:uid="{53646412-FBB6-426B-9A78-FC8727E51C31}"/>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0FF5725E-4030-47FE-8B20-CE92D1FA32C0}"/>
    <cellStyle name="40% - Accent4 4 2 2 2 3" xfId="24039" xr:uid="{B32AAC72-D56F-48EF-946E-987C37E36EC0}"/>
    <cellStyle name="40% - Accent4 4 2 2 3" xfId="11374" xr:uid="{07ADA893-2EA6-4A38-A737-31D33BC695B2}"/>
    <cellStyle name="40% - Accent4 4 2 2 4" xfId="19822" xr:uid="{B94329A0-A12F-45B8-AD57-A9A939CAE148}"/>
    <cellStyle name="40% - Accent4 4 2 3" xfId="4997" xr:uid="{00000000-0005-0000-0000-00001E060000}"/>
    <cellStyle name="40% - Accent4 4 2 3 2" xfId="13447" xr:uid="{5EDD17D7-B2C3-48A4-A306-C88D78F4FD36}"/>
    <cellStyle name="40% - Accent4 4 2 3 3" xfId="21894" xr:uid="{F9EDB588-1C1A-4CF3-B5DC-F1EA992ED53C}"/>
    <cellStyle name="40% - Accent4 4 2 4" xfId="9229" xr:uid="{E61CE068-27FF-4F66-B77E-EAEB7E1EC96F}"/>
    <cellStyle name="40% - Accent4 4 2 5" xfId="17677" xr:uid="{7FB2F529-7975-4E12-B741-ACDA3A19F20B}"/>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D4D0721B-73F8-42C0-A8C0-A3AFD7EBD1BA}"/>
    <cellStyle name="40% - Accent4 4 3 2 2 3" xfId="24452" xr:uid="{018A9369-44BB-4E35-BFC9-10A87D6BBC57}"/>
    <cellStyle name="40% - Accent4 4 3 2 3" xfId="11787" xr:uid="{5C2AF09B-0952-4233-AE11-69B5FA28FFA1}"/>
    <cellStyle name="40% - Accent4 4 3 2 4" xfId="20235" xr:uid="{FAF5A027-6D1F-46FA-A2DB-2E945630421E}"/>
    <cellStyle name="40% - Accent4 4 3 3" xfId="5410" xr:uid="{00000000-0005-0000-0000-000022060000}"/>
    <cellStyle name="40% - Accent4 4 3 3 2" xfId="13860" xr:uid="{53A17AC0-DFAA-4E00-A11E-0582ECFC9A3F}"/>
    <cellStyle name="40% - Accent4 4 3 3 3" xfId="22307" xr:uid="{572887F4-AC5F-406B-B656-73126BD24A33}"/>
    <cellStyle name="40% - Accent4 4 3 4" xfId="9642" xr:uid="{6D43A4F9-9CBA-450E-8B30-F3BCE9ECFB7A}"/>
    <cellStyle name="40% - Accent4 4 3 5" xfId="18090" xr:uid="{680D70CC-FB0D-40C6-B07C-C95D81017F62}"/>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4E817569-C4A7-4B85-A891-67404F55C295}"/>
    <cellStyle name="40% - Accent4 4 4 2 2 3" xfId="24865" xr:uid="{865C2D09-525A-4667-A9FC-84BA253EE980}"/>
    <cellStyle name="40% - Accent4 4 4 2 3" xfId="12200" xr:uid="{3CDBFD93-B658-4F5A-878A-9FEF4991B8A0}"/>
    <cellStyle name="40% - Accent4 4 4 2 4" xfId="20648" xr:uid="{4F38925D-8C7C-4A54-9D1E-8BF15519B7E5}"/>
    <cellStyle name="40% - Accent4 4 4 3" xfId="5823" xr:uid="{00000000-0005-0000-0000-000026060000}"/>
    <cellStyle name="40% - Accent4 4 4 3 2" xfId="14273" xr:uid="{561A8AE8-1D3C-42D8-8571-CF3ACBE305DC}"/>
    <cellStyle name="40% - Accent4 4 4 3 3" xfId="22720" xr:uid="{1E028028-1CC5-4649-AA4A-75B5459DE31B}"/>
    <cellStyle name="40% - Accent4 4 4 4" xfId="10055" xr:uid="{FAE2DDE1-A38E-43A2-A049-40B53B560BF9}"/>
    <cellStyle name="40% - Accent4 4 4 5" xfId="18503" xr:uid="{F6ACF4BD-560A-48C8-9A15-17BEF1C7284F}"/>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E6158210-3187-4AF3-B376-F411CED1B869}"/>
    <cellStyle name="40% - Accent4 4 5 2 2 3" xfId="25278" xr:uid="{9AA294A5-561D-4D13-BB44-F7CC0702BB04}"/>
    <cellStyle name="40% - Accent4 4 5 2 3" xfId="12613" xr:uid="{C1EF412B-DDA1-451B-9180-B94EFF7185E3}"/>
    <cellStyle name="40% - Accent4 4 5 2 4" xfId="21061" xr:uid="{379C3D7E-0274-4406-950A-D8D0DB72D637}"/>
    <cellStyle name="40% - Accent4 4 5 3" xfId="6236" xr:uid="{00000000-0005-0000-0000-00002A060000}"/>
    <cellStyle name="40% - Accent4 4 5 3 2" xfId="14686" xr:uid="{4FF84E81-352A-4DD5-95D3-81D6AF8956B6}"/>
    <cellStyle name="40% - Accent4 4 5 3 3" xfId="23133" xr:uid="{3DB3858D-6B67-4B00-AE7A-0F87CD73C88C}"/>
    <cellStyle name="40% - Accent4 4 5 4" xfId="10468" xr:uid="{E7E35969-0C52-40F3-82E0-C740681284C5}"/>
    <cellStyle name="40% - Accent4 4 5 5" xfId="18916" xr:uid="{2E137540-B1D0-4417-B16F-A3CA5AE4E77F}"/>
    <cellStyle name="40% - Accent4 4 6" xfId="2343" xr:uid="{00000000-0005-0000-0000-00002B060000}"/>
    <cellStyle name="40% - Accent4 4 6 2" xfId="6649" xr:uid="{00000000-0005-0000-0000-00002C060000}"/>
    <cellStyle name="40% - Accent4 4 6 2 2" xfId="15099" xr:uid="{ACFDB16C-8629-490D-A048-AB5271D4800D}"/>
    <cellStyle name="40% - Accent4 4 6 2 3" xfId="23546" xr:uid="{3E100E6A-F38C-4675-9361-D70451375697}"/>
    <cellStyle name="40% - Accent4 4 6 3" xfId="10881" xr:uid="{706DB017-9F18-44B7-83EA-7D3F1291FB7E}"/>
    <cellStyle name="40% - Accent4 4 6 4" xfId="19329" xr:uid="{F9EE5790-C09A-42AC-9FF9-38703D6BDF93}"/>
    <cellStyle name="40% - Accent4 4 7" xfId="4583" xr:uid="{00000000-0005-0000-0000-00002D060000}"/>
    <cellStyle name="40% - Accent4 4 7 2" xfId="13033" xr:uid="{3C510D5B-FCDB-4E96-BE13-37DB860E1C51}"/>
    <cellStyle name="40% - Accent4 4 7 3" xfId="21480" xr:uid="{B58F124B-3B1C-4ABF-9BA0-A3C8539F3238}"/>
    <cellStyle name="40% - Accent4 4 8" xfId="8815" xr:uid="{8B5A1941-EBF1-4A56-96A6-3AF715886C42}"/>
    <cellStyle name="40% - Accent4 4 9" xfId="17263" xr:uid="{62261938-878D-4AA3-A5C1-D676CB6169C2}"/>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16E30D8D-8F47-4BD3-9767-045613F64BAE}"/>
    <cellStyle name="40% - Accent4 5 2 2 3" xfId="24032" xr:uid="{E7DDA7FB-15A8-499E-AB12-C66CCC185B29}"/>
    <cellStyle name="40% - Accent4 5 2 3" xfId="11367" xr:uid="{7E4DE623-6FB7-455B-8625-44C02BA8FCB1}"/>
    <cellStyle name="40% - Accent4 5 2 4" xfId="19815" xr:uid="{E4F85011-22B3-4C8A-A712-8C46857CA650}"/>
    <cellStyle name="40% - Accent4 5 3" xfId="4990" xr:uid="{00000000-0005-0000-0000-000031060000}"/>
    <cellStyle name="40% - Accent4 5 3 2" xfId="13440" xr:uid="{0840A305-2FE9-4B33-8527-9133D4A43808}"/>
    <cellStyle name="40% - Accent4 5 3 3" xfId="21887" xr:uid="{1C125DCB-F1C2-41ED-B989-44570296334D}"/>
    <cellStyle name="40% - Accent4 5 4" xfId="9222" xr:uid="{6EF42BBC-4454-43C3-A88A-2829B6460F1C}"/>
    <cellStyle name="40% - Accent4 5 5" xfId="17670" xr:uid="{8B1C910E-6821-412F-9A24-A9FB518F5B60}"/>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C954284B-3A30-4929-A925-6F7B079CC729}"/>
    <cellStyle name="40% - Accent4 6 2 2 3" xfId="24445" xr:uid="{E31D171B-E831-4AF6-9750-8503187B3A1E}"/>
    <cellStyle name="40% - Accent4 6 2 3" xfId="11780" xr:uid="{52ACC7A9-9DD5-4D8C-9D43-7A0A9889246E}"/>
    <cellStyle name="40% - Accent4 6 2 4" xfId="20228" xr:uid="{7DA02E9A-D399-4609-AF86-77D72AF2EF5B}"/>
    <cellStyle name="40% - Accent4 6 3" xfId="5403" xr:uid="{00000000-0005-0000-0000-000035060000}"/>
    <cellStyle name="40% - Accent4 6 3 2" xfId="13853" xr:uid="{DE2E8F7E-5706-40F9-9AB3-A6331D145D56}"/>
    <cellStyle name="40% - Accent4 6 3 3" xfId="22300" xr:uid="{B6927E33-4975-4258-9B21-83B864E2E315}"/>
    <cellStyle name="40% - Accent4 6 4" xfId="9635" xr:uid="{31F8E487-3159-4E27-8E14-64C8568A1372}"/>
    <cellStyle name="40% - Accent4 6 5" xfId="18083" xr:uid="{CBF88A3D-5814-495B-9E0C-2638D12447E8}"/>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BDED75B3-D067-4C2B-B031-1FEF8A58AEF3}"/>
    <cellStyle name="40% - Accent4 7 2 2 3" xfId="24858" xr:uid="{894C6DC6-5B77-450A-B8BE-9691872AD2CA}"/>
    <cellStyle name="40% - Accent4 7 2 3" xfId="12193" xr:uid="{C84317A5-AB78-4CCE-A2DE-83C8F19C024C}"/>
    <cellStyle name="40% - Accent4 7 2 4" xfId="20641" xr:uid="{4E7E1A06-2712-4C22-85AB-A14CB1247BEE}"/>
    <cellStyle name="40% - Accent4 7 3" xfId="5816" xr:uid="{00000000-0005-0000-0000-000039060000}"/>
    <cellStyle name="40% - Accent4 7 3 2" xfId="14266" xr:uid="{804DB3E3-32B2-488A-B624-9DC648488B6F}"/>
    <cellStyle name="40% - Accent4 7 3 3" xfId="22713" xr:uid="{4D7FF394-1B25-48E3-8EFC-788AE694A1F8}"/>
    <cellStyle name="40% - Accent4 7 4" xfId="10048" xr:uid="{5FA4D019-27E7-486C-A3CA-A26D82A17201}"/>
    <cellStyle name="40% - Accent4 7 5" xfId="18496" xr:uid="{1E68FBB7-09AA-470C-BF59-1585A9713D82}"/>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5AE984D1-7347-41BF-AAD3-7B2507C2105D}"/>
    <cellStyle name="40% - Accent4 8 2 2 3" xfId="25271" xr:uid="{78330FC0-310F-471A-B2B3-51F947039701}"/>
    <cellStyle name="40% - Accent4 8 2 3" xfId="12606" xr:uid="{49B72CFE-47A7-4687-A05C-651A408F642B}"/>
    <cellStyle name="40% - Accent4 8 2 4" xfId="21054" xr:uid="{511B4285-491A-4E1B-8CB4-1BB7B7F33996}"/>
    <cellStyle name="40% - Accent4 8 3" xfId="6229" xr:uid="{00000000-0005-0000-0000-00003D060000}"/>
    <cellStyle name="40% - Accent4 8 3 2" xfId="14679" xr:uid="{FC4F51B3-615F-4FCA-8FBE-1E306E638765}"/>
    <cellStyle name="40% - Accent4 8 3 3" xfId="23126" xr:uid="{62033F05-F55D-4F04-8C4D-9698B2AAE200}"/>
    <cellStyle name="40% - Accent4 8 4" xfId="10461" xr:uid="{55BE4D5D-0DE6-44E8-8D70-60CC50200D46}"/>
    <cellStyle name="40% - Accent4 8 5" xfId="18909" xr:uid="{33F73799-3AA2-47CB-B984-7F145E1F4B16}"/>
    <cellStyle name="40% - Accent4 9" xfId="2336" xr:uid="{00000000-0005-0000-0000-00003E060000}"/>
    <cellStyle name="40% - Accent4 9 2" xfId="6642" xr:uid="{00000000-0005-0000-0000-00003F060000}"/>
    <cellStyle name="40% - Accent4 9 2 2" xfId="15092" xr:uid="{8A027E50-AA83-4A43-8F1C-7A10866E78E8}"/>
    <cellStyle name="40% - Accent4 9 2 3" xfId="23539" xr:uid="{1C4C3412-4076-4690-923F-6566CDFF3369}"/>
    <cellStyle name="40% - Accent4 9 3" xfId="10874" xr:uid="{81F0187E-3EED-4356-8022-5F724A1B1D08}"/>
    <cellStyle name="40% - Accent4 9 4" xfId="19322" xr:uid="{F5F90018-932F-464C-A524-EFD76CAA55E1}"/>
    <cellStyle name="40% - Accent5" xfId="81" builtinId="47" customBuiltin="1"/>
    <cellStyle name="40% - Accent5 10" xfId="4584" xr:uid="{00000000-0005-0000-0000-000041060000}"/>
    <cellStyle name="40% - Accent5 10 2" xfId="13034" xr:uid="{B35D9CD8-5B14-4C27-9BEF-6C29488F5A7E}"/>
    <cellStyle name="40% - Accent5 10 3" xfId="21481" xr:uid="{7463F5AF-991E-47EE-8EBC-DE4F12D01DB2}"/>
    <cellStyle name="40% - Accent5 11" xfId="8816" xr:uid="{98EB427F-C2C3-4A91-B6A3-A20494F3D633}"/>
    <cellStyle name="40% - Accent5 12" xfId="17264" xr:uid="{01A01CC1-52F9-4625-9E2D-5C81DD903897}"/>
    <cellStyle name="40% - Accent5 2" xfId="82" xr:uid="{00000000-0005-0000-0000-000042060000}"/>
    <cellStyle name="40% - Accent5 2 10" xfId="8817" xr:uid="{A72FFF15-C0F7-49D9-A8D5-631A4A6D5DF6}"/>
    <cellStyle name="40% - Accent5 2 11" xfId="17265" xr:uid="{6C77115F-3FB4-483A-A349-D15EB2A79045}"/>
    <cellStyle name="40% - Accent5 2 2" xfId="83" xr:uid="{00000000-0005-0000-0000-000043060000}"/>
    <cellStyle name="40% - Accent5 2 2 10" xfId="17266" xr:uid="{82B01FA7-BF55-4F16-884A-659B53E7747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1C04F300-3B7D-4380-80D2-41342F321EAC}"/>
    <cellStyle name="40% - Accent5 2 2 2 2 2 2 3" xfId="24043" xr:uid="{74FEF28A-8001-4F3C-A959-309B4D88B661}"/>
    <cellStyle name="40% - Accent5 2 2 2 2 2 3" xfId="11378" xr:uid="{A569730B-90A2-44F7-9FF4-D0CEDED3AAFB}"/>
    <cellStyle name="40% - Accent5 2 2 2 2 2 4" xfId="19826" xr:uid="{07BA80F7-E930-4F27-98E2-C4C1CB9631CC}"/>
    <cellStyle name="40% - Accent5 2 2 2 2 3" xfId="5001" xr:uid="{00000000-0005-0000-0000-000048060000}"/>
    <cellStyle name="40% - Accent5 2 2 2 2 3 2" xfId="13451" xr:uid="{14FF9A90-7C22-45F6-AE45-CD317AF67AF6}"/>
    <cellStyle name="40% - Accent5 2 2 2 2 3 3" xfId="21898" xr:uid="{EDE55E60-C352-4659-A9CC-9D70C5DDE669}"/>
    <cellStyle name="40% - Accent5 2 2 2 2 4" xfId="9233" xr:uid="{2A910111-D631-4C07-8A1B-A50F86670BBC}"/>
    <cellStyle name="40% - Accent5 2 2 2 2 5" xfId="17681" xr:uid="{150A21D2-26B0-461C-A4B7-EA634EFAF185}"/>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9F0987D9-6D6E-4CE8-AF07-4B8910D7B03C}"/>
    <cellStyle name="40% - Accent5 2 2 2 3 2 2 3" xfId="24456" xr:uid="{8D50145F-7147-4FB2-A804-3FEC4B0CD27B}"/>
    <cellStyle name="40% - Accent5 2 2 2 3 2 3" xfId="11791" xr:uid="{8EB32BA8-812A-46FA-95C8-E2A09BFB722C}"/>
    <cellStyle name="40% - Accent5 2 2 2 3 2 4" xfId="20239" xr:uid="{961D9F14-7627-4958-BF1E-CE0EAA24A588}"/>
    <cellStyle name="40% - Accent5 2 2 2 3 3" xfId="5414" xr:uid="{00000000-0005-0000-0000-00004C060000}"/>
    <cellStyle name="40% - Accent5 2 2 2 3 3 2" xfId="13864" xr:uid="{AF5D6B9B-E828-4BF3-BA01-6AD0F8F6D343}"/>
    <cellStyle name="40% - Accent5 2 2 2 3 3 3" xfId="22311" xr:uid="{6CBF4FED-9D6D-4BD3-9A6F-132CE4E7D2AF}"/>
    <cellStyle name="40% - Accent5 2 2 2 3 4" xfId="9646" xr:uid="{51B6C78F-7C8C-4663-982A-00B066E62B27}"/>
    <cellStyle name="40% - Accent5 2 2 2 3 5" xfId="18094" xr:uid="{5EC63969-7FAD-4950-BA67-427773DFD98F}"/>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78F7DD6A-9977-4822-A84F-789A42ED984A}"/>
    <cellStyle name="40% - Accent5 2 2 2 4 2 2 3" xfId="24869" xr:uid="{13912BE2-F52F-464A-BE6F-FFDD6DD7E448}"/>
    <cellStyle name="40% - Accent5 2 2 2 4 2 3" xfId="12204" xr:uid="{AB1CA1D6-88A5-42B1-9464-B33648226A3D}"/>
    <cellStyle name="40% - Accent5 2 2 2 4 2 4" xfId="20652" xr:uid="{69C4DB35-4A8E-4338-ADCC-74DB343BF89B}"/>
    <cellStyle name="40% - Accent5 2 2 2 4 3" xfId="5827" xr:uid="{00000000-0005-0000-0000-000050060000}"/>
    <cellStyle name="40% - Accent5 2 2 2 4 3 2" xfId="14277" xr:uid="{9136A7AB-BD18-445B-AFC8-6255B394ACC1}"/>
    <cellStyle name="40% - Accent5 2 2 2 4 3 3" xfId="22724" xr:uid="{C31B3101-7696-479D-B54D-E490F5E17917}"/>
    <cellStyle name="40% - Accent5 2 2 2 4 4" xfId="10059" xr:uid="{E0F6298E-DC56-4913-981C-058871FFD8BF}"/>
    <cellStyle name="40% - Accent5 2 2 2 4 5" xfId="18507" xr:uid="{5E6E06C6-1752-4BEA-9E3E-5F89CA01E143}"/>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E5CD10C1-2DD5-49F3-870B-9B6297921E14}"/>
    <cellStyle name="40% - Accent5 2 2 2 5 2 2 3" xfId="25282" xr:uid="{6124142D-6B9D-43A5-9C81-B6583A8B22F8}"/>
    <cellStyle name="40% - Accent5 2 2 2 5 2 3" xfId="12617" xr:uid="{1C7D16F2-8EEA-4278-AA74-7C09B608DD66}"/>
    <cellStyle name="40% - Accent5 2 2 2 5 2 4" xfId="21065" xr:uid="{F4FFD750-0FBE-4244-8A54-9011AAA20A45}"/>
    <cellStyle name="40% - Accent5 2 2 2 5 3" xfId="6240" xr:uid="{00000000-0005-0000-0000-000054060000}"/>
    <cellStyle name="40% - Accent5 2 2 2 5 3 2" xfId="14690" xr:uid="{A80434F1-128C-4810-8E8A-E4C638D286E2}"/>
    <cellStyle name="40% - Accent5 2 2 2 5 3 3" xfId="23137" xr:uid="{F4DF00A6-81EA-4742-A44B-D64A24FF821B}"/>
    <cellStyle name="40% - Accent5 2 2 2 5 4" xfId="10472" xr:uid="{B351E56F-B1AC-4C87-944A-90FC25FD6AD1}"/>
    <cellStyle name="40% - Accent5 2 2 2 5 5" xfId="18920" xr:uid="{C0FE44DE-DAF0-4F9F-9AC5-F8AD41E8A16D}"/>
    <cellStyle name="40% - Accent5 2 2 2 6" xfId="2347" xr:uid="{00000000-0005-0000-0000-000055060000}"/>
    <cellStyle name="40% - Accent5 2 2 2 6 2" xfId="6653" xr:uid="{00000000-0005-0000-0000-000056060000}"/>
    <cellStyle name="40% - Accent5 2 2 2 6 2 2" xfId="15103" xr:uid="{D774C7EE-BDC9-4A19-9D08-04D6FD19BAF1}"/>
    <cellStyle name="40% - Accent5 2 2 2 6 2 3" xfId="23550" xr:uid="{DF86310D-6BCD-4160-A242-E60B43FBA81A}"/>
    <cellStyle name="40% - Accent5 2 2 2 6 3" xfId="10885" xr:uid="{FFE0F190-D68C-424D-8120-80454811EAAE}"/>
    <cellStyle name="40% - Accent5 2 2 2 6 4" xfId="19333" xr:uid="{57C8E5D9-AAC1-4CDC-9FCE-90DC38EEFB70}"/>
    <cellStyle name="40% - Accent5 2 2 2 7" xfId="4587" xr:uid="{00000000-0005-0000-0000-000057060000}"/>
    <cellStyle name="40% - Accent5 2 2 2 7 2" xfId="13037" xr:uid="{8E6FEA64-84A9-44AB-8EF3-B156087B5DF1}"/>
    <cellStyle name="40% - Accent5 2 2 2 7 3" xfId="21484" xr:uid="{29CC49EC-AC23-45A3-9FF3-77D9C22D6840}"/>
    <cellStyle name="40% - Accent5 2 2 2 8" xfId="8819" xr:uid="{5504FEE1-8C1F-4506-B06E-18BC0C387EC6}"/>
    <cellStyle name="40% - Accent5 2 2 2 9" xfId="17267" xr:uid="{7387A535-EE94-4A4A-91AF-AB73D6543224}"/>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1801990A-0EE1-4259-849B-EA2B788E3FA1}"/>
    <cellStyle name="40% - Accent5 2 2 3 2 2 3" xfId="24042" xr:uid="{DEE81648-931D-4EF3-9622-CB7FDA04C3FD}"/>
    <cellStyle name="40% - Accent5 2 2 3 2 3" xfId="11377" xr:uid="{CD52A448-E1CC-44C2-92A1-B6903D026D0A}"/>
    <cellStyle name="40% - Accent5 2 2 3 2 4" xfId="19825" xr:uid="{7C3978D8-A00B-4BCD-AE53-C21BB00F4F79}"/>
    <cellStyle name="40% - Accent5 2 2 3 3" xfId="5000" xr:uid="{00000000-0005-0000-0000-00005B060000}"/>
    <cellStyle name="40% - Accent5 2 2 3 3 2" xfId="13450" xr:uid="{D103BA76-3458-415F-940F-1077B56E07BE}"/>
    <cellStyle name="40% - Accent5 2 2 3 3 3" xfId="21897" xr:uid="{B9C8EAB4-757A-4528-A352-EBD75071DD7D}"/>
    <cellStyle name="40% - Accent5 2 2 3 4" xfId="9232" xr:uid="{DC79038B-F24C-4FD0-974A-0259DD1781B2}"/>
    <cellStyle name="40% - Accent5 2 2 3 5" xfId="17680" xr:uid="{33370EDE-E5BD-457C-B20B-358AA1F8E1F9}"/>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F5CA7EF8-86FB-435E-AF01-455BCF42EF1F}"/>
    <cellStyle name="40% - Accent5 2 2 4 2 2 3" xfId="24455" xr:uid="{87D28750-8924-4C82-A56C-03525AB1E1EA}"/>
    <cellStyle name="40% - Accent5 2 2 4 2 3" xfId="11790" xr:uid="{5DDB2501-7E44-4B0D-83E1-6CE463CB2324}"/>
    <cellStyle name="40% - Accent5 2 2 4 2 4" xfId="20238" xr:uid="{8A91BEE2-1961-410B-9538-6477E10D4B96}"/>
    <cellStyle name="40% - Accent5 2 2 4 3" xfId="5413" xr:uid="{00000000-0005-0000-0000-00005F060000}"/>
    <cellStyle name="40% - Accent5 2 2 4 3 2" xfId="13863" xr:uid="{BAF9C583-A8AD-46C4-8054-3C84905043C6}"/>
    <cellStyle name="40% - Accent5 2 2 4 3 3" xfId="22310" xr:uid="{7F5BEF85-FE6A-4A65-BFD9-97708E0C9219}"/>
    <cellStyle name="40% - Accent5 2 2 4 4" xfId="9645" xr:uid="{4CC3F38C-2623-4FD5-8A15-1E2110925FCF}"/>
    <cellStyle name="40% - Accent5 2 2 4 5" xfId="18093" xr:uid="{DE68A1DE-F315-4465-9FF1-7D4ABAD375D7}"/>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E38B1A2F-86A8-4AA4-B92F-BB44EA7A2F82}"/>
    <cellStyle name="40% - Accent5 2 2 5 2 2 3" xfId="24868" xr:uid="{EE0C4D3C-E529-4B59-8D86-F083807DCA9D}"/>
    <cellStyle name="40% - Accent5 2 2 5 2 3" xfId="12203" xr:uid="{61A4B72B-6B7F-4340-B2CD-00C678360C10}"/>
    <cellStyle name="40% - Accent5 2 2 5 2 4" xfId="20651" xr:uid="{504AB30F-1A94-4BBB-8E60-879377542A11}"/>
    <cellStyle name="40% - Accent5 2 2 5 3" xfId="5826" xr:uid="{00000000-0005-0000-0000-000063060000}"/>
    <cellStyle name="40% - Accent5 2 2 5 3 2" xfId="14276" xr:uid="{EDF948CF-8572-4934-9143-259B866A11A3}"/>
    <cellStyle name="40% - Accent5 2 2 5 3 3" xfId="22723" xr:uid="{908A9B53-3AE2-468F-924D-62B1A0CE6D7A}"/>
    <cellStyle name="40% - Accent5 2 2 5 4" xfId="10058" xr:uid="{7298F64E-8608-4574-93A2-D62C00D30FA3}"/>
    <cellStyle name="40% - Accent5 2 2 5 5" xfId="18506" xr:uid="{27EB2FE1-27DC-4FF8-8971-79085E5B87C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D0206B9-1DED-41D4-9527-09EF52A1D7DE}"/>
    <cellStyle name="40% - Accent5 2 2 6 2 2 3" xfId="25281" xr:uid="{8BCDC131-BC0C-4F7C-A4ED-B91224ED7CDA}"/>
    <cellStyle name="40% - Accent5 2 2 6 2 3" xfId="12616" xr:uid="{8DFEEC9A-3B86-41D6-AB24-0E9FE7D48D8F}"/>
    <cellStyle name="40% - Accent5 2 2 6 2 4" xfId="21064" xr:uid="{B1D121CF-D268-4FD9-B45E-07A37A0B6594}"/>
    <cellStyle name="40% - Accent5 2 2 6 3" xfId="6239" xr:uid="{00000000-0005-0000-0000-000067060000}"/>
    <cellStyle name="40% - Accent5 2 2 6 3 2" xfId="14689" xr:uid="{784EDFAE-9A22-4766-AB10-8C1BBE9CD626}"/>
    <cellStyle name="40% - Accent5 2 2 6 3 3" xfId="23136" xr:uid="{1E2006A5-8CF2-4F8F-8673-6DDB77B16465}"/>
    <cellStyle name="40% - Accent5 2 2 6 4" xfId="10471" xr:uid="{8D2BEC26-D685-425D-9C09-0559B8C95C68}"/>
    <cellStyle name="40% - Accent5 2 2 6 5" xfId="18919" xr:uid="{CAFC5FF5-3698-4972-B213-89FA81E6DC4A}"/>
    <cellStyle name="40% - Accent5 2 2 7" xfId="2346" xr:uid="{00000000-0005-0000-0000-000068060000}"/>
    <cellStyle name="40% - Accent5 2 2 7 2" xfId="6652" xr:uid="{00000000-0005-0000-0000-000069060000}"/>
    <cellStyle name="40% - Accent5 2 2 7 2 2" xfId="15102" xr:uid="{AA687DC5-3BDD-43F1-A344-C6870484FADB}"/>
    <cellStyle name="40% - Accent5 2 2 7 2 3" xfId="23549" xr:uid="{77DF3750-340E-4630-A499-457CEE82EFBC}"/>
    <cellStyle name="40% - Accent5 2 2 7 3" xfId="10884" xr:uid="{D2758215-2CC5-41B1-A451-14923AC3CA41}"/>
    <cellStyle name="40% - Accent5 2 2 7 4" xfId="19332" xr:uid="{5E228D71-6D5B-4D2B-93DB-7DDDB6F7667D}"/>
    <cellStyle name="40% - Accent5 2 2 8" xfId="4586" xr:uid="{00000000-0005-0000-0000-00006A060000}"/>
    <cellStyle name="40% - Accent5 2 2 8 2" xfId="13036" xr:uid="{0AE53FF0-C840-4905-A10E-F5682C3C2E56}"/>
    <cellStyle name="40% - Accent5 2 2 8 3" xfId="21483" xr:uid="{9C45C316-8E35-45BF-AEEF-397576083645}"/>
    <cellStyle name="40% - Accent5 2 2 9" xfId="8818" xr:uid="{557037D5-B352-46BF-83D4-3BD2F85BD5D2}"/>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C6F2ADC9-8910-44F7-8B51-8853E637F334}"/>
    <cellStyle name="40% - Accent5 2 3 2 2 2 3" xfId="24044" xr:uid="{A3B5A8F3-776B-4BA9-8BA4-9899B164D0F3}"/>
    <cellStyle name="40% - Accent5 2 3 2 2 3" xfId="11379" xr:uid="{21C0ED49-6052-437A-931C-8C90F0C18C14}"/>
    <cellStyle name="40% - Accent5 2 3 2 2 4" xfId="19827" xr:uid="{5A6E86A9-2E36-4471-9F1D-2F84ACFCE49D}"/>
    <cellStyle name="40% - Accent5 2 3 2 3" xfId="5002" xr:uid="{00000000-0005-0000-0000-00006F060000}"/>
    <cellStyle name="40% - Accent5 2 3 2 3 2" xfId="13452" xr:uid="{E4CF51A5-30E3-4304-8755-09CEC19FAC88}"/>
    <cellStyle name="40% - Accent5 2 3 2 3 3" xfId="21899" xr:uid="{1A13255E-B97B-4373-B880-0A76E5868942}"/>
    <cellStyle name="40% - Accent5 2 3 2 4" xfId="9234" xr:uid="{48FC29E8-E20C-413E-8E62-05428550BDED}"/>
    <cellStyle name="40% - Accent5 2 3 2 5" xfId="17682" xr:uid="{CE4FAF62-160E-4AEB-B2F0-364913F95599}"/>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02ED7AAE-7158-49E2-85DF-CBC0C5191FE6}"/>
    <cellStyle name="40% - Accent5 2 3 3 2 2 3" xfId="24457" xr:uid="{36824A8B-82DC-458C-B360-26CC4372B27D}"/>
    <cellStyle name="40% - Accent5 2 3 3 2 3" xfId="11792" xr:uid="{0F5F5DC2-F8A9-431C-87C6-99BB8040153D}"/>
    <cellStyle name="40% - Accent5 2 3 3 2 4" xfId="20240" xr:uid="{F7570681-94C5-4D6F-8043-2875370DF4C6}"/>
    <cellStyle name="40% - Accent5 2 3 3 3" xfId="5415" xr:uid="{00000000-0005-0000-0000-000073060000}"/>
    <cellStyle name="40% - Accent5 2 3 3 3 2" xfId="13865" xr:uid="{20176E09-F0DF-44DE-92AB-FF92B5A50B13}"/>
    <cellStyle name="40% - Accent5 2 3 3 3 3" xfId="22312" xr:uid="{1700A24D-C0E1-40C2-A5A3-E2EEC4131343}"/>
    <cellStyle name="40% - Accent5 2 3 3 4" xfId="9647" xr:uid="{5B76DA2B-EF8B-41C9-B537-E3CF56823D2D}"/>
    <cellStyle name="40% - Accent5 2 3 3 5" xfId="18095" xr:uid="{FA060367-E6ED-4010-9CEA-EA3238E9235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484582AA-009C-48B7-AE00-9A7CEE59D7D1}"/>
    <cellStyle name="40% - Accent5 2 3 4 2 2 3" xfId="24870" xr:uid="{7EC67C27-1C42-4ACC-ADDA-5E5E1D74B95C}"/>
    <cellStyle name="40% - Accent5 2 3 4 2 3" xfId="12205" xr:uid="{1D6FC20D-5C7F-4136-8735-7FE784D9CA9F}"/>
    <cellStyle name="40% - Accent5 2 3 4 2 4" xfId="20653" xr:uid="{CCA76D7B-F014-4371-8335-C877110EA2F6}"/>
    <cellStyle name="40% - Accent5 2 3 4 3" xfId="5828" xr:uid="{00000000-0005-0000-0000-000077060000}"/>
    <cellStyle name="40% - Accent5 2 3 4 3 2" xfId="14278" xr:uid="{82A0F90A-7628-4628-A492-250A9FAC16EE}"/>
    <cellStyle name="40% - Accent5 2 3 4 3 3" xfId="22725" xr:uid="{B6CF1DFD-1712-4CE6-A844-F06DB750EBD1}"/>
    <cellStyle name="40% - Accent5 2 3 4 4" xfId="10060" xr:uid="{FC499625-02D8-487F-98B6-095A96A96DDB}"/>
    <cellStyle name="40% - Accent5 2 3 4 5" xfId="18508" xr:uid="{22844765-B349-46CF-A080-3339B214B87F}"/>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D8BCAB91-E55D-4A05-BAEE-F6EAFD718F25}"/>
    <cellStyle name="40% - Accent5 2 3 5 2 2 3" xfId="25283" xr:uid="{A9D12E1E-E9D5-4711-B603-87A2D4F625C4}"/>
    <cellStyle name="40% - Accent5 2 3 5 2 3" xfId="12618" xr:uid="{181D9A02-0698-4AA0-92D9-3B8077CE7C22}"/>
    <cellStyle name="40% - Accent5 2 3 5 2 4" xfId="21066" xr:uid="{9564D02E-5AF8-4BD8-AF74-C2457F77E2B3}"/>
    <cellStyle name="40% - Accent5 2 3 5 3" xfId="6241" xr:uid="{00000000-0005-0000-0000-00007B060000}"/>
    <cellStyle name="40% - Accent5 2 3 5 3 2" xfId="14691" xr:uid="{E222357F-53FF-4E9A-B899-A37450887796}"/>
    <cellStyle name="40% - Accent5 2 3 5 3 3" xfId="23138" xr:uid="{0417811A-9127-419D-86AE-351B9A2593CD}"/>
    <cellStyle name="40% - Accent5 2 3 5 4" xfId="10473" xr:uid="{9B6C5847-8DC9-407E-B1AF-15D6BA2CA1B6}"/>
    <cellStyle name="40% - Accent5 2 3 5 5" xfId="18921" xr:uid="{43B7E580-7B45-4015-BC92-98B3AC24AF21}"/>
    <cellStyle name="40% - Accent5 2 3 6" xfId="2348" xr:uid="{00000000-0005-0000-0000-00007C060000}"/>
    <cellStyle name="40% - Accent5 2 3 6 2" xfId="6654" xr:uid="{00000000-0005-0000-0000-00007D060000}"/>
    <cellStyle name="40% - Accent5 2 3 6 2 2" xfId="15104" xr:uid="{DF970DDF-FFFF-459F-89A2-EC86CB1C79C9}"/>
    <cellStyle name="40% - Accent5 2 3 6 2 3" xfId="23551" xr:uid="{EB3CE1DC-14B0-42ED-A96A-88B3DE63C089}"/>
    <cellStyle name="40% - Accent5 2 3 6 3" xfId="10886" xr:uid="{09E9D524-5DE6-4BBA-BAAC-7DC83FB1B4A5}"/>
    <cellStyle name="40% - Accent5 2 3 6 4" xfId="19334" xr:uid="{F19C7D98-42AB-469D-9DA2-99250E92AA97}"/>
    <cellStyle name="40% - Accent5 2 3 7" xfId="4588" xr:uid="{00000000-0005-0000-0000-00007E060000}"/>
    <cellStyle name="40% - Accent5 2 3 7 2" xfId="13038" xr:uid="{827CC7A7-A149-4AFF-A674-785B71DD8F97}"/>
    <cellStyle name="40% - Accent5 2 3 7 3" xfId="21485" xr:uid="{16DB89D8-16D4-4267-9F13-41145C57F4AF}"/>
    <cellStyle name="40% - Accent5 2 3 8" xfId="8820" xr:uid="{704A9FDB-230B-467B-9A84-6C0B27694004}"/>
    <cellStyle name="40% - Accent5 2 3 9" xfId="17268" xr:uid="{EA4EC78E-DE9D-4668-A5FC-82AF324A13B6}"/>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7B8956A0-83BA-43C7-A32F-B3E46CCB9F15}"/>
    <cellStyle name="40% - Accent5 2 4 2 2 3" xfId="24041" xr:uid="{5F2FC7BD-E323-4BAF-AEA3-3516C5495CE7}"/>
    <cellStyle name="40% - Accent5 2 4 2 3" xfId="11376" xr:uid="{6C79CABC-8241-4472-A0F1-2F4D29108B7C}"/>
    <cellStyle name="40% - Accent5 2 4 2 4" xfId="19824" xr:uid="{5C30BD1D-35B9-4257-9038-C928A42CE581}"/>
    <cellStyle name="40% - Accent5 2 4 3" xfId="4999" xr:uid="{00000000-0005-0000-0000-000082060000}"/>
    <cellStyle name="40% - Accent5 2 4 3 2" xfId="13449" xr:uid="{5059AE75-465F-433E-801E-ECF25FAE8C21}"/>
    <cellStyle name="40% - Accent5 2 4 3 3" xfId="21896" xr:uid="{8F55FB7E-F743-42E9-B976-AB4DCCF280F7}"/>
    <cellStyle name="40% - Accent5 2 4 4" xfId="9231" xr:uid="{13724D56-457C-42DC-8431-046466A3E7E9}"/>
    <cellStyle name="40% - Accent5 2 4 5" xfId="17679" xr:uid="{EFAC7C63-29F0-4F21-AEAF-90086B81214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E4932606-CEF7-4376-845A-5D839A3AF344}"/>
    <cellStyle name="40% - Accent5 2 5 2 2 3" xfId="24454" xr:uid="{C5970BC9-ADDE-401C-86F9-90B4BA5B1FBE}"/>
    <cellStyle name="40% - Accent5 2 5 2 3" xfId="11789" xr:uid="{34C3A4C6-A21F-4FA3-B982-007D119DE468}"/>
    <cellStyle name="40% - Accent5 2 5 2 4" xfId="20237" xr:uid="{6C164A3D-7B39-4160-B5C9-02C3A167A9B5}"/>
    <cellStyle name="40% - Accent5 2 5 3" xfId="5412" xr:uid="{00000000-0005-0000-0000-000086060000}"/>
    <cellStyle name="40% - Accent5 2 5 3 2" xfId="13862" xr:uid="{A538CCA3-4424-4BAB-A81D-3E19F24ADA8C}"/>
    <cellStyle name="40% - Accent5 2 5 3 3" xfId="22309" xr:uid="{5215496C-3CA4-4F32-A0F4-9CFFB4A81508}"/>
    <cellStyle name="40% - Accent5 2 5 4" xfId="9644" xr:uid="{A5C8CD8A-B2B6-4069-9BED-CBEEBCCA457B}"/>
    <cellStyle name="40% - Accent5 2 5 5" xfId="18092" xr:uid="{896C295E-FA48-4201-80BE-792AD4E5A209}"/>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D65EF1A9-EE8A-4D92-97C8-99F2414DC69E}"/>
    <cellStyle name="40% - Accent5 2 6 2 2 3" xfId="24867" xr:uid="{1293F709-12ED-4823-84B0-50159E706102}"/>
    <cellStyle name="40% - Accent5 2 6 2 3" xfId="12202" xr:uid="{8B784D35-2782-4152-BDB2-17B130099E93}"/>
    <cellStyle name="40% - Accent5 2 6 2 4" xfId="20650" xr:uid="{73C7CC6E-15E9-4DC6-9298-390664F349EE}"/>
    <cellStyle name="40% - Accent5 2 6 3" xfId="5825" xr:uid="{00000000-0005-0000-0000-00008A060000}"/>
    <cellStyle name="40% - Accent5 2 6 3 2" xfId="14275" xr:uid="{0D90D767-878A-472E-AF0F-BBD38EE2AD45}"/>
    <cellStyle name="40% - Accent5 2 6 3 3" xfId="22722" xr:uid="{DD9008C5-542D-412C-B69F-175F39E73CE7}"/>
    <cellStyle name="40% - Accent5 2 6 4" xfId="10057" xr:uid="{AF49A7E7-D649-4F6E-A496-A4499B18CD8F}"/>
    <cellStyle name="40% - Accent5 2 6 5" xfId="18505" xr:uid="{1E1047AF-4114-4BF1-872D-8360716A6157}"/>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BF77EC4A-CB1A-48EA-80B4-AE38B4E53752}"/>
    <cellStyle name="40% - Accent5 2 7 2 2 3" xfId="25280" xr:uid="{5C9B5A41-E175-4746-AE5B-1C25E1A80AC6}"/>
    <cellStyle name="40% - Accent5 2 7 2 3" xfId="12615" xr:uid="{209EA722-2E9E-4CF0-9D1E-7BA1CD0560F2}"/>
    <cellStyle name="40% - Accent5 2 7 2 4" xfId="21063" xr:uid="{DAD495E1-776B-4591-AFF7-FBFA5FF5A150}"/>
    <cellStyle name="40% - Accent5 2 7 3" xfId="6238" xr:uid="{00000000-0005-0000-0000-00008E060000}"/>
    <cellStyle name="40% - Accent5 2 7 3 2" xfId="14688" xr:uid="{8889DCBF-115F-414B-B987-50C05C071025}"/>
    <cellStyle name="40% - Accent5 2 7 3 3" xfId="23135" xr:uid="{7913222E-DC99-476C-B423-F5196B150A60}"/>
    <cellStyle name="40% - Accent5 2 7 4" xfId="10470" xr:uid="{A419582D-7F75-4B9D-A4CD-50CD0955884A}"/>
    <cellStyle name="40% - Accent5 2 7 5" xfId="18918" xr:uid="{DF55072C-0BAB-4274-82D1-E5075DF73677}"/>
    <cellStyle name="40% - Accent5 2 8" xfId="2345" xr:uid="{00000000-0005-0000-0000-00008F060000}"/>
    <cellStyle name="40% - Accent5 2 8 2" xfId="6651" xr:uid="{00000000-0005-0000-0000-000090060000}"/>
    <cellStyle name="40% - Accent5 2 8 2 2" xfId="15101" xr:uid="{A93FB5BB-FCFA-4341-AF78-70613B30BA6B}"/>
    <cellStyle name="40% - Accent5 2 8 2 3" xfId="23548" xr:uid="{4886D29D-C05F-468C-895F-695E66B6CBFE}"/>
    <cellStyle name="40% - Accent5 2 8 3" xfId="10883" xr:uid="{CAF38E02-8EF2-42FE-80C2-6685FA5D3C97}"/>
    <cellStyle name="40% - Accent5 2 8 4" xfId="19331" xr:uid="{610CFABB-0273-447F-A26F-3D26C8894335}"/>
    <cellStyle name="40% - Accent5 2 9" xfId="4585" xr:uid="{00000000-0005-0000-0000-000091060000}"/>
    <cellStyle name="40% - Accent5 2 9 2" xfId="13035" xr:uid="{EEC316BE-F7FF-47B5-AEE1-48390992B489}"/>
    <cellStyle name="40% - Accent5 2 9 3" xfId="21482" xr:uid="{F376C023-1B47-4ADC-9D28-4ADB99FFA5F3}"/>
    <cellStyle name="40% - Accent5 3" xfId="86" xr:uid="{00000000-0005-0000-0000-000092060000}"/>
    <cellStyle name="40% - Accent5 3 10" xfId="17269" xr:uid="{FF39918C-558F-4B7B-84AF-CCB52D488C8C}"/>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8C8676EB-2D96-40A8-BA10-D690E04F880F}"/>
    <cellStyle name="40% - Accent5 3 2 2 2 2 3" xfId="24046" xr:uid="{BBDC05AA-59B5-4309-8667-776105E5C7CC}"/>
    <cellStyle name="40% - Accent5 3 2 2 2 3" xfId="11381" xr:uid="{8C6CF27D-1EAF-4F53-BD7F-F685BB896210}"/>
    <cellStyle name="40% - Accent5 3 2 2 2 4" xfId="19829" xr:uid="{72A5F376-5A30-4FF0-A7A2-D9202FF94C23}"/>
    <cellStyle name="40% - Accent5 3 2 2 3" xfId="5004" xr:uid="{00000000-0005-0000-0000-000097060000}"/>
    <cellStyle name="40% - Accent5 3 2 2 3 2" xfId="13454" xr:uid="{D3ECBEA2-9096-40EE-9387-3AE6B3DEDAAE}"/>
    <cellStyle name="40% - Accent5 3 2 2 3 3" xfId="21901" xr:uid="{874F298B-4931-4225-99C6-4F7A1C869AE4}"/>
    <cellStyle name="40% - Accent5 3 2 2 4" xfId="9236" xr:uid="{D4412B6A-B91F-44F1-ADFA-3169357E2867}"/>
    <cellStyle name="40% - Accent5 3 2 2 5" xfId="17684" xr:uid="{F1702E39-2612-4A92-AC05-F46F64889FD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97A851A7-DA03-4921-824E-4F8A9FC421E2}"/>
    <cellStyle name="40% - Accent5 3 2 3 2 2 3" xfId="24459" xr:uid="{AB15BD3B-3D66-412A-AAAB-8C44766E2CFA}"/>
    <cellStyle name="40% - Accent5 3 2 3 2 3" xfId="11794" xr:uid="{FFDCA69C-6695-4031-9D98-222910033AEB}"/>
    <cellStyle name="40% - Accent5 3 2 3 2 4" xfId="20242" xr:uid="{286B23BD-C3B8-41CC-A6C6-AF648E68578F}"/>
    <cellStyle name="40% - Accent5 3 2 3 3" xfId="5417" xr:uid="{00000000-0005-0000-0000-00009B060000}"/>
    <cellStyle name="40% - Accent5 3 2 3 3 2" xfId="13867" xr:uid="{75C43188-CC65-48D7-A3E2-271CE6D4593B}"/>
    <cellStyle name="40% - Accent5 3 2 3 3 3" xfId="22314" xr:uid="{574930D8-6DE4-43FD-85FD-0420E5E8911F}"/>
    <cellStyle name="40% - Accent5 3 2 3 4" xfId="9649" xr:uid="{508607BD-241A-4089-8465-D4B12FCEA009}"/>
    <cellStyle name="40% - Accent5 3 2 3 5" xfId="18097" xr:uid="{3745114D-0F41-40B2-8B18-139676D0FD22}"/>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E19E5A7D-9E33-4F51-BBAE-462D040A729F}"/>
    <cellStyle name="40% - Accent5 3 2 4 2 2 3" xfId="24872" xr:uid="{CA0C06F9-28F0-4A01-8578-E8B626B7D910}"/>
    <cellStyle name="40% - Accent5 3 2 4 2 3" xfId="12207" xr:uid="{162FA14F-E195-4B4F-9024-65B60EB6D11F}"/>
    <cellStyle name="40% - Accent5 3 2 4 2 4" xfId="20655" xr:uid="{C97D460F-1C88-4E6D-B004-E95707BF5D11}"/>
    <cellStyle name="40% - Accent5 3 2 4 3" xfId="5830" xr:uid="{00000000-0005-0000-0000-00009F060000}"/>
    <cellStyle name="40% - Accent5 3 2 4 3 2" xfId="14280" xr:uid="{FC8F8D43-BA9F-447D-BF4E-247A9292FDEE}"/>
    <cellStyle name="40% - Accent5 3 2 4 3 3" xfId="22727" xr:uid="{0264A8E9-7C1A-4339-BA7E-37B9BB808724}"/>
    <cellStyle name="40% - Accent5 3 2 4 4" xfId="10062" xr:uid="{366F3008-2C0B-430F-A84C-0E0884C26744}"/>
    <cellStyle name="40% - Accent5 3 2 4 5" xfId="18510" xr:uid="{58E95BB3-EFAA-4045-8C25-A7AA7DD36C00}"/>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6013DFA7-03DC-404C-A871-8DBEAD1127D8}"/>
    <cellStyle name="40% - Accent5 3 2 5 2 2 3" xfId="25285" xr:uid="{FBCF6EC6-3EE3-4B8C-A857-CC65D7D86A67}"/>
    <cellStyle name="40% - Accent5 3 2 5 2 3" xfId="12620" xr:uid="{6F9A5202-CCE5-48F7-80E8-36B89121990C}"/>
    <cellStyle name="40% - Accent5 3 2 5 2 4" xfId="21068" xr:uid="{C81630D5-8D36-4332-821A-AD816F593D64}"/>
    <cellStyle name="40% - Accent5 3 2 5 3" xfId="6243" xr:uid="{00000000-0005-0000-0000-0000A3060000}"/>
    <cellStyle name="40% - Accent5 3 2 5 3 2" xfId="14693" xr:uid="{7E2B826E-99D3-4E10-8B6A-FA3D1E8DA6D5}"/>
    <cellStyle name="40% - Accent5 3 2 5 3 3" xfId="23140" xr:uid="{4E364F96-C9C3-43EC-BCEE-DB51A903B2B9}"/>
    <cellStyle name="40% - Accent5 3 2 5 4" xfId="10475" xr:uid="{93446950-4DF6-4A42-90C1-DF8A81E6FD1D}"/>
    <cellStyle name="40% - Accent5 3 2 5 5" xfId="18923" xr:uid="{EA097C8A-A4A0-444A-B5C4-C73CF2827FED}"/>
    <cellStyle name="40% - Accent5 3 2 6" xfId="2350" xr:uid="{00000000-0005-0000-0000-0000A4060000}"/>
    <cellStyle name="40% - Accent5 3 2 6 2" xfId="6656" xr:uid="{00000000-0005-0000-0000-0000A5060000}"/>
    <cellStyle name="40% - Accent5 3 2 6 2 2" xfId="15106" xr:uid="{E0B55A9D-3919-4A3B-8AB8-EBEE7AB36027}"/>
    <cellStyle name="40% - Accent5 3 2 6 2 3" xfId="23553" xr:uid="{7D450711-7E19-4898-A790-0AA47B1C8A7B}"/>
    <cellStyle name="40% - Accent5 3 2 6 3" xfId="10888" xr:uid="{43A8945C-AAD7-4E81-949F-937AAC8405EF}"/>
    <cellStyle name="40% - Accent5 3 2 6 4" xfId="19336" xr:uid="{66C883D3-0B96-490C-97F2-D9B48860C375}"/>
    <cellStyle name="40% - Accent5 3 2 7" xfId="4590" xr:uid="{00000000-0005-0000-0000-0000A6060000}"/>
    <cellStyle name="40% - Accent5 3 2 7 2" xfId="13040" xr:uid="{EDE466FF-AF94-486D-9486-D7A4D484F91F}"/>
    <cellStyle name="40% - Accent5 3 2 7 3" xfId="21487" xr:uid="{A36FA913-F27C-466A-BC68-2DA6E52CAA54}"/>
    <cellStyle name="40% - Accent5 3 2 8" xfId="8822" xr:uid="{8BCB36D6-3BBA-467A-90A1-745FEDBB02A7}"/>
    <cellStyle name="40% - Accent5 3 2 9" xfId="17270" xr:uid="{772062C6-4517-4B7A-82CB-88932D987A73}"/>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39EDF4D7-F758-4F95-AA41-D08E642F92F9}"/>
    <cellStyle name="40% - Accent5 3 3 2 2 3" xfId="24045" xr:uid="{E9C65F92-2BBD-446A-A48C-D14DE9DAACF3}"/>
    <cellStyle name="40% - Accent5 3 3 2 3" xfId="11380" xr:uid="{594CAD7A-36E4-4A6A-B090-EB5F1151F1E6}"/>
    <cellStyle name="40% - Accent5 3 3 2 4" xfId="19828" xr:uid="{AE0E4A46-0FB7-46E8-87A9-FB5A4F0FA977}"/>
    <cellStyle name="40% - Accent5 3 3 3" xfId="5003" xr:uid="{00000000-0005-0000-0000-0000AA060000}"/>
    <cellStyle name="40% - Accent5 3 3 3 2" xfId="13453" xr:uid="{06DD8E30-A1E2-4778-83CA-6650B8161AE4}"/>
    <cellStyle name="40% - Accent5 3 3 3 3" xfId="21900" xr:uid="{1155334A-CD9D-44D7-83D7-B54BE9D72195}"/>
    <cellStyle name="40% - Accent5 3 3 4" xfId="9235" xr:uid="{B665CC9A-428B-449F-98AF-34004ED30456}"/>
    <cellStyle name="40% - Accent5 3 3 5" xfId="17683" xr:uid="{FBAF19A3-7A9D-4472-B757-0D3F471F2E2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855DA498-4F37-409C-B9EB-F3A56EAA9353}"/>
    <cellStyle name="40% - Accent5 3 4 2 2 3" xfId="24458" xr:uid="{209D3052-FCD3-4870-B9C3-35F9F06F188F}"/>
    <cellStyle name="40% - Accent5 3 4 2 3" xfId="11793" xr:uid="{736DA78C-5D5C-49B2-A0AF-CB902D2FE20C}"/>
    <cellStyle name="40% - Accent5 3 4 2 4" xfId="20241" xr:uid="{1A3E333C-20A9-4B67-B0D9-8FEF160C0A1E}"/>
    <cellStyle name="40% - Accent5 3 4 3" xfId="5416" xr:uid="{00000000-0005-0000-0000-0000AE060000}"/>
    <cellStyle name="40% - Accent5 3 4 3 2" xfId="13866" xr:uid="{13A4B6C7-FAD4-43ED-8BDB-4F436ABA225E}"/>
    <cellStyle name="40% - Accent5 3 4 3 3" xfId="22313" xr:uid="{13604DCA-2E64-4EC0-A1C4-8929875BD1A0}"/>
    <cellStyle name="40% - Accent5 3 4 4" xfId="9648" xr:uid="{E2E31062-A2BF-4940-8551-E1961F6BCEB7}"/>
    <cellStyle name="40% - Accent5 3 4 5" xfId="18096" xr:uid="{9713FCDA-C5E7-444C-B21D-503DD730A57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8BEB0226-230A-4283-97BB-91D859EBABF9}"/>
    <cellStyle name="40% - Accent5 3 5 2 2 3" xfId="24871" xr:uid="{CFB16553-B7A0-41F4-BE57-D0A311198C2F}"/>
    <cellStyle name="40% - Accent5 3 5 2 3" xfId="12206" xr:uid="{725C292A-8A1A-45C3-B869-5F69D7B45810}"/>
    <cellStyle name="40% - Accent5 3 5 2 4" xfId="20654" xr:uid="{E4CC7BEB-D250-4DB6-AA9F-267C14CA22D9}"/>
    <cellStyle name="40% - Accent5 3 5 3" xfId="5829" xr:uid="{00000000-0005-0000-0000-0000B2060000}"/>
    <cellStyle name="40% - Accent5 3 5 3 2" xfId="14279" xr:uid="{850F1AED-2694-47E6-9CA0-6CCCD8ED1857}"/>
    <cellStyle name="40% - Accent5 3 5 3 3" xfId="22726" xr:uid="{CD03631A-85DE-4975-B28B-FC6E61F575BB}"/>
    <cellStyle name="40% - Accent5 3 5 4" xfId="10061" xr:uid="{6863F84C-30F2-416A-B8C0-6A0D389F04A2}"/>
    <cellStyle name="40% - Accent5 3 5 5" xfId="18509" xr:uid="{8D902FDA-BE04-49F1-82A2-A12266379C04}"/>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04C00CE8-C6E3-4CF4-952F-E24A27330035}"/>
    <cellStyle name="40% - Accent5 3 6 2 2 3" xfId="25284" xr:uid="{F8731443-5961-416E-94AB-203E4145AA6D}"/>
    <cellStyle name="40% - Accent5 3 6 2 3" xfId="12619" xr:uid="{C92A11A6-0E48-40FA-ACD1-2F77A7CFA3BB}"/>
    <cellStyle name="40% - Accent5 3 6 2 4" xfId="21067" xr:uid="{A5D49C7C-20E2-4AAE-9096-3534E9087ED4}"/>
    <cellStyle name="40% - Accent5 3 6 3" xfId="6242" xr:uid="{00000000-0005-0000-0000-0000B6060000}"/>
    <cellStyle name="40% - Accent5 3 6 3 2" xfId="14692" xr:uid="{B5AE7F6F-868D-4E7D-B8B9-B23AB68044B5}"/>
    <cellStyle name="40% - Accent5 3 6 3 3" xfId="23139" xr:uid="{C98AC3C0-BC81-4D8D-BE8D-C854BE80173C}"/>
    <cellStyle name="40% - Accent5 3 6 4" xfId="10474" xr:uid="{15C95D92-14B8-4F7B-BD6D-781B30E9FA91}"/>
    <cellStyle name="40% - Accent5 3 6 5" xfId="18922" xr:uid="{BD8F8E3B-3584-41D2-9C23-7A2169BAA08F}"/>
    <cellStyle name="40% - Accent5 3 7" xfId="2349" xr:uid="{00000000-0005-0000-0000-0000B7060000}"/>
    <cellStyle name="40% - Accent5 3 7 2" xfId="6655" xr:uid="{00000000-0005-0000-0000-0000B8060000}"/>
    <cellStyle name="40% - Accent5 3 7 2 2" xfId="15105" xr:uid="{C3453B93-1227-4A77-ABEA-2C03DCBD4BDE}"/>
    <cellStyle name="40% - Accent5 3 7 2 3" xfId="23552" xr:uid="{C82EBDAC-FCF4-4B4B-A596-EAE9B71C6E64}"/>
    <cellStyle name="40% - Accent5 3 7 3" xfId="10887" xr:uid="{8800BBC1-A529-451C-A948-66F2F30CF4AC}"/>
    <cellStyle name="40% - Accent5 3 7 4" xfId="19335" xr:uid="{FB93F19E-7309-4A2B-BAA8-90357AB6EFC9}"/>
    <cellStyle name="40% - Accent5 3 8" xfId="4589" xr:uid="{00000000-0005-0000-0000-0000B9060000}"/>
    <cellStyle name="40% - Accent5 3 8 2" xfId="13039" xr:uid="{55141734-EF66-438E-81A4-2F0F845A3FBC}"/>
    <cellStyle name="40% - Accent5 3 8 3" xfId="21486" xr:uid="{33E8CFB1-010B-4823-8E06-6CC2EED43B5A}"/>
    <cellStyle name="40% - Accent5 3 9" xfId="8821" xr:uid="{4DAF9DD9-AFC6-4ECD-B4A5-12FB46D6AA7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F36C87C6-C046-4773-BD05-336B2B853FCB}"/>
    <cellStyle name="40% - Accent5 4 2 2 2 3" xfId="24047" xr:uid="{1F306F19-93D7-40AB-A23B-222F88216024}"/>
    <cellStyle name="40% - Accent5 4 2 2 3" xfId="11382" xr:uid="{F374106E-808A-43D6-B67C-76F5C44AB4F7}"/>
    <cellStyle name="40% - Accent5 4 2 2 4" xfId="19830" xr:uid="{377ACA81-9C1F-4946-AF61-AB482C2DBD0F}"/>
    <cellStyle name="40% - Accent5 4 2 3" xfId="5005" xr:uid="{00000000-0005-0000-0000-0000BE060000}"/>
    <cellStyle name="40% - Accent5 4 2 3 2" xfId="13455" xr:uid="{4C1258B0-08AC-48B7-80F7-16CB6E7E9BE4}"/>
    <cellStyle name="40% - Accent5 4 2 3 3" xfId="21902" xr:uid="{2B90194E-73D3-4992-B096-86F1ECB92DF1}"/>
    <cellStyle name="40% - Accent5 4 2 4" xfId="9237" xr:uid="{A94E8419-D5B3-42FE-B873-3EC07A36E74D}"/>
    <cellStyle name="40% - Accent5 4 2 5" xfId="17685" xr:uid="{0D6CDBCC-12B4-4B74-ACEF-AC08571AD8AD}"/>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A2C0C6A1-610F-4AC1-B360-B8880D029C52}"/>
    <cellStyle name="40% - Accent5 4 3 2 2 3" xfId="24460" xr:uid="{EE106FFB-083C-4B11-913A-3D46B6F8A3C0}"/>
    <cellStyle name="40% - Accent5 4 3 2 3" xfId="11795" xr:uid="{01A90526-F7A7-4A3F-9AFA-EDC61726D434}"/>
    <cellStyle name="40% - Accent5 4 3 2 4" xfId="20243" xr:uid="{0E85F9F0-508B-4411-824A-7F9819596B77}"/>
    <cellStyle name="40% - Accent5 4 3 3" xfId="5418" xr:uid="{00000000-0005-0000-0000-0000C2060000}"/>
    <cellStyle name="40% - Accent5 4 3 3 2" xfId="13868" xr:uid="{193E3D80-1F34-481D-AAF2-E9B27CB52502}"/>
    <cellStyle name="40% - Accent5 4 3 3 3" xfId="22315" xr:uid="{A94195FE-B72E-432F-8DD6-8CA8187C570E}"/>
    <cellStyle name="40% - Accent5 4 3 4" xfId="9650" xr:uid="{EF71E785-E91A-4022-94C8-53B63066BF2B}"/>
    <cellStyle name="40% - Accent5 4 3 5" xfId="18098" xr:uid="{F9D79D1B-1A0A-4D3A-91E0-F52B5C09ED28}"/>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B12B8D11-07B2-4CCE-A5E1-EE44BD675420}"/>
    <cellStyle name="40% - Accent5 4 4 2 2 3" xfId="24873" xr:uid="{F750E8AB-CB49-45C1-9AF0-B0C252765898}"/>
    <cellStyle name="40% - Accent5 4 4 2 3" xfId="12208" xr:uid="{FFBCEC08-1C3B-4D15-A743-A0E66DF38BC6}"/>
    <cellStyle name="40% - Accent5 4 4 2 4" xfId="20656" xr:uid="{101D09DD-DA78-41CA-8E2A-1B4F1A4AFBB0}"/>
    <cellStyle name="40% - Accent5 4 4 3" xfId="5831" xr:uid="{00000000-0005-0000-0000-0000C6060000}"/>
    <cellStyle name="40% - Accent5 4 4 3 2" xfId="14281" xr:uid="{F5B455AF-538E-4AD9-A4B5-6E26BD370E4F}"/>
    <cellStyle name="40% - Accent5 4 4 3 3" xfId="22728" xr:uid="{D131CA69-6CF5-4419-BBAC-9361F01B768F}"/>
    <cellStyle name="40% - Accent5 4 4 4" xfId="10063" xr:uid="{BB229452-C192-4C03-8C84-8323F661B1BA}"/>
    <cellStyle name="40% - Accent5 4 4 5" xfId="18511" xr:uid="{49D7C810-6D8E-4A2C-842F-8E2E35CA2AB6}"/>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F2B2DF42-977A-42FD-A4E4-1265E8021259}"/>
    <cellStyle name="40% - Accent5 4 5 2 2 3" xfId="25286" xr:uid="{FEDDA7DC-D135-4470-BEE1-3CE792836404}"/>
    <cellStyle name="40% - Accent5 4 5 2 3" xfId="12621" xr:uid="{8D169614-DD16-43F4-A9CB-D94938EF6335}"/>
    <cellStyle name="40% - Accent5 4 5 2 4" xfId="21069" xr:uid="{21375907-2376-416B-A111-DB88B9798BA7}"/>
    <cellStyle name="40% - Accent5 4 5 3" xfId="6244" xr:uid="{00000000-0005-0000-0000-0000CA060000}"/>
    <cellStyle name="40% - Accent5 4 5 3 2" xfId="14694" xr:uid="{AB3289A1-E55B-4305-B4E4-3140B157EB2C}"/>
    <cellStyle name="40% - Accent5 4 5 3 3" xfId="23141" xr:uid="{8AE73853-AFF7-4985-B09C-47D877DDE6C2}"/>
    <cellStyle name="40% - Accent5 4 5 4" xfId="10476" xr:uid="{323F00E0-1605-4698-8616-FDF2EA1B2BA7}"/>
    <cellStyle name="40% - Accent5 4 5 5" xfId="18924" xr:uid="{3B37BC90-4686-4DE0-9603-F4457615444F}"/>
    <cellStyle name="40% - Accent5 4 6" xfId="2351" xr:uid="{00000000-0005-0000-0000-0000CB060000}"/>
    <cellStyle name="40% - Accent5 4 6 2" xfId="6657" xr:uid="{00000000-0005-0000-0000-0000CC060000}"/>
    <cellStyle name="40% - Accent5 4 6 2 2" xfId="15107" xr:uid="{B855A65E-409F-4F91-8E42-5665370CDED7}"/>
    <cellStyle name="40% - Accent5 4 6 2 3" xfId="23554" xr:uid="{A77FB04C-76C7-483A-A34E-3E34A19DCF5B}"/>
    <cellStyle name="40% - Accent5 4 6 3" xfId="10889" xr:uid="{0142B75B-C40D-4AAF-B17B-CBC632B4CC88}"/>
    <cellStyle name="40% - Accent5 4 6 4" xfId="19337" xr:uid="{228D5A9E-71B4-4C73-81E0-95F3E8F3F15D}"/>
    <cellStyle name="40% - Accent5 4 7" xfId="4591" xr:uid="{00000000-0005-0000-0000-0000CD060000}"/>
    <cellStyle name="40% - Accent5 4 7 2" xfId="13041" xr:uid="{61FA5343-A437-42A4-A900-C7CFD36F3AC6}"/>
    <cellStyle name="40% - Accent5 4 7 3" xfId="21488" xr:uid="{F81CEC77-F43A-4726-BE56-6006CD646568}"/>
    <cellStyle name="40% - Accent5 4 8" xfId="8823" xr:uid="{F9250C5F-CE10-400B-94B9-F997C814AF56}"/>
    <cellStyle name="40% - Accent5 4 9" xfId="17271" xr:uid="{F7A97822-0719-4429-8000-FA9EBA546E2D}"/>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F3AF9F79-BF18-46D1-A501-79E1EC1966C4}"/>
    <cellStyle name="40% - Accent5 5 2 2 3" xfId="24040" xr:uid="{FF513686-CD2C-49A7-ACBB-7259A8A0DF2C}"/>
    <cellStyle name="40% - Accent5 5 2 3" xfId="11375" xr:uid="{27E39B13-F853-40E1-9213-54516BC7B025}"/>
    <cellStyle name="40% - Accent5 5 2 4" xfId="19823" xr:uid="{96462C79-C4BD-4E97-89D0-9E17CC032E5D}"/>
    <cellStyle name="40% - Accent5 5 3" xfId="4998" xr:uid="{00000000-0005-0000-0000-0000D1060000}"/>
    <cellStyle name="40% - Accent5 5 3 2" xfId="13448" xr:uid="{1F803523-4256-42D7-9EC6-422AFC327F43}"/>
    <cellStyle name="40% - Accent5 5 3 3" xfId="21895" xr:uid="{93D825E9-B7DB-4502-B0C8-7F432BC1E3AA}"/>
    <cellStyle name="40% - Accent5 5 4" xfId="9230" xr:uid="{EDB5EFE4-0E18-4DD2-96CD-8B89953992D6}"/>
    <cellStyle name="40% - Accent5 5 5" xfId="17678" xr:uid="{E4F7C630-C576-4678-AAA3-72049A6FEDD5}"/>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3B5E1FA7-EE89-4E83-91B6-A1D9F4038773}"/>
    <cellStyle name="40% - Accent5 6 2 2 3" xfId="24453" xr:uid="{8AB3C2CF-ACFE-4F51-B691-0C7D22CAB223}"/>
    <cellStyle name="40% - Accent5 6 2 3" xfId="11788" xr:uid="{4774A5DD-38DA-457E-B0F5-9D4C52901E29}"/>
    <cellStyle name="40% - Accent5 6 2 4" xfId="20236" xr:uid="{2F3D1FFB-6040-453F-AF4A-6709E8CBFA76}"/>
    <cellStyle name="40% - Accent5 6 3" xfId="5411" xr:uid="{00000000-0005-0000-0000-0000D5060000}"/>
    <cellStyle name="40% - Accent5 6 3 2" xfId="13861" xr:uid="{67B811DC-6A0F-4106-9FE0-ABA3AA4AE7A2}"/>
    <cellStyle name="40% - Accent5 6 3 3" xfId="22308" xr:uid="{D63664DA-B542-4022-BEB3-1EBC80EDEFDB}"/>
    <cellStyle name="40% - Accent5 6 4" xfId="9643" xr:uid="{EE5C3A86-E2FE-49F4-8C61-AACDCC685E2E}"/>
    <cellStyle name="40% - Accent5 6 5" xfId="18091" xr:uid="{A87564DE-8386-46D7-A764-0782FF8AB3DB}"/>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392B7A69-1E95-4DF4-B5FF-0C51B0417FC9}"/>
    <cellStyle name="40% - Accent5 7 2 2 3" xfId="24866" xr:uid="{E904EC21-E607-4916-A795-EBD9295F4EDF}"/>
    <cellStyle name="40% - Accent5 7 2 3" xfId="12201" xr:uid="{89076699-6C9F-4EF1-8A0C-CB2EEB77EF52}"/>
    <cellStyle name="40% - Accent5 7 2 4" xfId="20649" xr:uid="{8E3D80BD-99CD-4118-8299-BEC8762F5AC9}"/>
    <cellStyle name="40% - Accent5 7 3" xfId="5824" xr:uid="{00000000-0005-0000-0000-0000D9060000}"/>
    <cellStyle name="40% - Accent5 7 3 2" xfId="14274" xr:uid="{1D3DA3E3-B361-4128-AD8F-427C84E94428}"/>
    <cellStyle name="40% - Accent5 7 3 3" xfId="22721" xr:uid="{D9B091AE-6D17-4F5A-975B-E15FD9785B4A}"/>
    <cellStyle name="40% - Accent5 7 4" xfId="10056" xr:uid="{C4F70C20-65C6-4F90-BF99-5106331D73A2}"/>
    <cellStyle name="40% - Accent5 7 5" xfId="18504" xr:uid="{659C94E4-C44B-4F9F-ACD0-A72A7060874F}"/>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4ED67CFD-EABF-4585-9D9E-61A0215A33F0}"/>
    <cellStyle name="40% - Accent5 8 2 2 3" xfId="25279" xr:uid="{D0169529-BF3F-4BAC-A288-C0F3B12099B7}"/>
    <cellStyle name="40% - Accent5 8 2 3" xfId="12614" xr:uid="{E7780781-18B9-4D07-9BAF-22578A15D06B}"/>
    <cellStyle name="40% - Accent5 8 2 4" xfId="21062" xr:uid="{6A589CAC-D8E3-4204-87F8-42D08AEDC608}"/>
    <cellStyle name="40% - Accent5 8 3" xfId="6237" xr:uid="{00000000-0005-0000-0000-0000DD060000}"/>
    <cellStyle name="40% - Accent5 8 3 2" xfId="14687" xr:uid="{5D85BCF4-C9A7-4FE7-8AA1-26F50787EE77}"/>
    <cellStyle name="40% - Accent5 8 3 3" xfId="23134" xr:uid="{98FBA173-28C0-4B66-AE26-5BE611CA7A02}"/>
    <cellStyle name="40% - Accent5 8 4" xfId="10469" xr:uid="{6FCD1852-4CEB-4B76-A03C-3E910996F6B0}"/>
    <cellStyle name="40% - Accent5 8 5" xfId="18917" xr:uid="{4CC391A0-584C-4CDF-A8E1-8FB13A503E6F}"/>
    <cellStyle name="40% - Accent5 9" xfId="2344" xr:uid="{00000000-0005-0000-0000-0000DE060000}"/>
    <cellStyle name="40% - Accent5 9 2" xfId="6650" xr:uid="{00000000-0005-0000-0000-0000DF060000}"/>
    <cellStyle name="40% - Accent5 9 2 2" xfId="15100" xr:uid="{D7F1EE0B-6A84-4D2A-9301-C5907CDF809D}"/>
    <cellStyle name="40% - Accent5 9 2 3" xfId="23547" xr:uid="{349C013F-3881-46D6-9F87-D6E626782082}"/>
    <cellStyle name="40% - Accent5 9 3" xfId="10882" xr:uid="{4F8A3F70-A316-4550-A3CF-A661C04DD20B}"/>
    <cellStyle name="40% - Accent5 9 4" xfId="19330" xr:uid="{6FC5D826-4F07-49C1-8FC3-2D7F0FB6BD55}"/>
    <cellStyle name="40% - Accent6" xfId="89" builtinId="51" customBuiltin="1"/>
    <cellStyle name="40% - Accent6 10" xfId="4592" xr:uid="{00000000-0005-0000-0000-0000E1060000}"/>
    <cellStyle name="40% - Accent6 10 2" xfId="13042" xr:uid="{1D15079A-ACF9-4BC0-B2B7-06058B6EFEE7}"/>
    <cellStyle name="40% - Accent6 10 3" xfId="21489" xr:uid="{D57429E7-6413-4F23-9FD5-FB7D8427A212}"/>
    <cellStyle name="40% - Accent6 11" xfId="8824" xr:uid="{64B25F9D-CBF3-4943-9E36-409EEBDBF56F}"/>
    <cellStyle name="40% - Accent6 12" xfId="17272" xr:uid="{E8B641A5-7509-489C-8919-DDDEBA987912}"/>
    <cellStyle name="40% - Accent6 2" xfId="90" xr:uid="{00000000-0005-0000-0000-0000E2060000}"/>
    <cellStyle name="40% - Accent6 2 10" xfId="8825" xr:uid="{81CB7C49-409C-4288-AE4D-83961C56F734}"/>
    <cellStyle name="40% - Accent6 2 11" xfId="17273" xr:uid="{A96E0A99-DD95-4BE7-83F5-45777B3C123B}"/>
    <cellStyle name="40% - Accent6 2 2" xfId="91" xr:uid="{00000000-0005-0000-0000-0000E3060000}"/>
    <cellStyle name="40% - Accent6 2 2 10" xfId="17274" xr:uid="{30BBF912-7326-4827-A960-DF98469B263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1E8D5BA2-2921-4B64-AEAC-CE1360BA82DD}"/>
    <cellStyle name="40% - Accent6 2 2 2 2 2 2 3" xfId="24051" xr:uid="{C254B054-A930-443F-B86F-49C6E78701BD}"/>
    <cellStyle name="40% - Accent6 2 2 2 2 2 3" xfId="11386" xr:uid="{D41113CF-3E58-45D4-90A8-291C213C4ACC}"/>
    <cellStyle name="40% - Accent6 2 2 2 2 2 4" xfId="19834" xr:uid="{C836FF8D-E305-4C20-B758-C9A2E890F331}"/>
    <cellStyle name="40% - Accent6 2 2 2 2 3" xfId="5009" xr:uid="{00000000-0005-0000-0000-0000E8060000}"/>
    <cellStyle name="40% - Accent6 2 2 2 2 3 2" xfId="13459" xr:uid="{7810CA66-EFD0-49E7-BB7E-527B961A4AAB}"/>
    <cellStyle name="40% - Accent6 2 2 2 2 3 3" xfId="21906" xr:uid="{7FD90A84-67D2-4C21-AF34-78375C5198DD}"/>
    <cellStyle name="40% - Accent6 2 2 2 2 4" xfId="9241" xr:uid="{EBE18DD6-362B-41BF-8F0D-738BE2CEE005}"/>
    <cellStyle name="40% - Accent6 2 2 2 2 5" xfId="17689" xr:uid="{1B430F90-0B59-490A-AA42-A2710F49C11B}"/>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E64CAEC5-55F1-4C58-AD98-83B318FDC80E}"/>
    <cellStyle name="40% - Accent6 2 2 2 3 2 2 3" xfId="24464" xr:uid="{F04291CA-2BDB-49C3-BDDA-E7A4E4028F5A}"/>
    <cellStyle name="40% - Accent6 2 2 2 3 2 3" xfId="11799" xr:uid="{4E10CD8D-E404-43A2-9FB3-5EBC6E4D5BD4}"/>
    <cellStyle name="40% - Accent6 2 2 2 3 2 4" xfId="20247" xr:uid="{7A2C7113-81CC-4D03-895F-4B4757C8E6A2}"/>
    <cellStyle name="40% - Accent6 2 2 2 3 3" xfId="5422" xr:uid="{00000000-0005-0000-0000-0000EC060000}"/>
    <cellStyle name="40% - Accent6 2 2 2 3 3 2" xfId="13872" xr:uid="{1242BDC2-234B-4502-A380-60CA42473467}"/>
    <cellStyle name="40% - Accent6 2 2 2 3 3 3" xfId="22319" xr:uid="{9E825E1C-7EBC-4E17-8FAD-235CAC76ECDC}"/>
    <cellStyle name="40% - Accent6 2 2 2 3 4" xfId="9654" xr:uid="{44148DF6-B5EC-405E-ADAD-BB406630CF52}"/>
    <cellStyle name="40% - Accent6 2 2 2 3 5" xfId="18102" xr:uid="{B2E567F5-B633-49BB-ADA0-85B79FF66931}"/>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8042B17F-C577-4894-AEA6-CEBF11633041}"/>
    <cellStyle name="40% - Accent6 2 2 2 4 2 2 3" xfId="24877" xr:uid="{E3696819-D339-401D-B323-B27338C044EE}"/>
    <cellStyle name="40% - Accent6 2 2 2 4 2 3" xfId="12212" xr:uid="{B6614205-6120-4D08-AF75-4ECD0538C6C5}"/>
    <cellStyle name="40% - Accent6 2 2 2 4 2 4" xfId="20660" xr:uid="{68C244C7-044F-40DC-ADF0-98E2A22F9A53}"/>
    <cellStyle name="40% - Accent6 2 2 2 4 3" xfId="5835" xr:uid="{00000000-0005-0000-0000-0000F0060000}"/>
    <cellStyle name="40% - Accent6 2 2 2 4 3 2" xfId="14285" xr:uid="{25CD0FF8-C69A-46D6-9D62-8392A2233C3A}"/>
    <cellStyle name="40% - Accent6 2 2 2 4 3 3" xfId="22732" xr:uid="{6C0EC0AA-6C19-4079-B31D-48B69570CB61}"/>
    <cellStyle name="40% - Accent6 2 2 2 4 4" xfId="10067" xr:uid="{2748E6C1-040C-488F-BEE5-31CF98175D39}"/>
    <cellStyle name="40% - Accent6 2 2 2 4 5" xfId="18515" xr:uid="{D91B4E0D-D8C3-4AD4-A0DE-0DFEE63DCA4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AF5BB58F-2926-4BD1-A558-D9D4549827F4}"/>
    <cellStyle name="40% - Accent6 2 2 2 5 2 2 3" xfId="25290" xr:uid="{DEF68AFE-C517-4098-9155-09E4FBFBE3D9}"/>
    <cellStyle name="40% - Accent6 2 2 2 5 2 3" xfId="12625" xr:uid="{3588FCEE-D41D-4078-AC77-DA21E005F8E4}"/>
    <cellStyle name="40% - Accent6 2 2 2 5 2 4" xfId="21073" xr:uid="{500DBFEB-390B-43BF-8F08-753B14736831}"/>
    <cellStyle name="40% - Accent6 2 2 2 5 3" xfId="6248" xr:uid="{00000000-0005-0000-0000-0000F4060000}"/>
    <cellStyle name="40% - Accent6 2 2 2 5 3 2" xfId="14698" xr:uid="{1406F79E-4472-422C-A038-52A06AB7A7B8}"/>
    <cellStyle name="40% - Accent6 2 2 2 5 3 3" xfId="23145" xr:uid="{F15B6529-7477-4D80-A552-D0337B712DA3}"/>
    <cellStyle name="40% - Accent6 2 2 2 5 4" xfId="10480" xr:uid="{DC347A5D-C2E1-4B4F-A3D3-105510C360CD}"/>
    <cellStyle name="40% - Accent6 2 2 2 5 5" xfId="18928" xr:uid="{CF095F65-122E-4DDD-8B93-1B4FC18063B4}"/>
    <cellStyle name="40% - Accent6 2 2 2 6" xfId="2355" xr:uid="{00000000-0005-0000-0000-0000F5060000}"/>
    <cellStyle name="40% - Accent6 2 2 2 6 2" xfId="6661" xr:uid="{00000000-0005-0000-0000-0000F6060000}"/>
    <cellStyle name="40% - Accent6 2 2 2 6 2 2" xfId="15111" xr:uid="{FCFBD21A-798A-494B-9A48-08462C3CAE4C}"/>
    <cellStyle name="40% - Accent6 2 2 2 6 2 3" xfId="23558" xr:uid="{8F6FFA78-5F41-4C4A-A4A7-DFE7260787D7}"/>
    <cellStyle name="40% - Accent6 2 2 2 6 3" xfId="10893" xr:uid="{BCB45F60-645A-471C-9F3E-64D95FFC548B}"/>
    <cellStyle name="40% - Accent6 2 2 2 6 4" xfId="19341" xr:uid="{228D9C02-EC31-4B89-84C4-E299A0DA00E9}"/>
    <cellStyle name="40% - Accent6 2 2 2 7" xfId="4595" xr:uid="{00000000-0005-0000-0000-0000F7060000}"/>
    <cellStyle name="40% - Accent6 2 2 2 7 2" xfId="13045" xr:uid="{4D6B546A-C8C1-4B52-8B98-530E1F3BE1B1}"/>
    <cellStyle name="40% - Accent6 2 2 2 7 3" xfId="21492" xr:uid="{5A357393-48D4-4B01-9022-B591E3BACAF0}"/>
    <cellStyle name="40% - Accent6 2 2 2 8" xfId="8827" xr:uid="{4B18A4EC-426A-43E5-8CB5-B1CFFFA8FC2C}"/>
    <cellStyle name="40% - Accent6 2 2 2 9" xfId="17275" xr:uid="{D8BAF7EC-82CD-4893-AAFD-0A85AE97EA2F}"/>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34EA1917-7FC2-412D-87D1-E5E43101AD26}"/>
    <cellStyle name="40% - Accent6 2 2 3 2 2 3" xfId="24050" xr:uid="{A5068D56-E5C2-4F3A-937C-247851BE79C7}"/>
    <cellStyle name="40% - Accent6 2 2 3 2 3" xfId="11385" xr:uid="{26475B28-073C-400B-8A21-A6248B7EE8F5}"/>
    <cellStyle name="40% - Accent6 2 2 3 2 4" xfId="19833" xr:uid="{66E6A138-82AD-4228-8A8D-058263DC857B}"/>
    <cellStyle name="40% - Accent6 2 2 3 3" xfId="5008" xr:uid="{00000000-0005-0000-0000-0000FB060000}"/>
    <cellStyle name="40% - Accent6 2 2 3 3 2" xfId="13458" xr:uid="{E24F76CC-AC82-48EB-BB4D-B9C2ED737F7A}"/>
    <cellStyle name="40% - Accent6 2 2 3 3 3" xfId="21905" xr:uid="{CC0D447E-FF61-44A3-BC7C-F7FF7D0681A6}"/>
    <cellStyle name="40% - Accent6 2 2 3 4" xfId="9240" xr:uid="{275C4D52-1EEC-4257-A9FA-7247C5F3D2D3}"/>
    <cellStyle name="40% - Accent6 2 2 3 5" xfId="17688" xr:uid="{ACF0E983-27F8-401B-852D-1D88F16F6666}"/>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8A841D92-B65D-4D99-8A72-F0E41CDBB033}"/>
    <cellStyle name="40% - Accent6 2 2 4 2 2 3" xfId="24463" xr:uid="{BE7A3474-B15E-43A4-A3BD-54B9FF8F3800}"/>
    <cellStyle name="40% - Accent6 2 2 4 2 3" xfId="11798" xr:uid="{0B14E06E-E35A-4A9A-908A-D747A56CAC17}"/>
    <cellStyle name="40% - Accent6 2 2 4 2 4" xfId="20246" xr:uid="{B74B8B44-FB8A-406F-BECD-69E8632B7204}"/>
    <cellStyle name="40% - Accent6 2 2 4 3" xfId="5421" xr:uid="{00000000-0005-0000-0000-0000FF060000}"/>
    <cellStyle name="40% - Accent6 2 2 4 3 2" xfId="13871" xr:uid="{8897AD67-3ADA-4B68-A46A-59AE15A66910}"/>
    <cellStyle name="40% - Accent6 2 2 4 3 3" xfId="22318" xr:uid="{BED4F1B3-3604-4293-8AB1-8A51642E9101}"/>
    <cellStyle name="40% - Accent6 2 2 4 4" xfId="9653" xr:uid="{BF5E105F-E9BC-40C2-9D1F-B850CAF338A0}"/>
    <cellStyle name="40% - Accent6 2 2 4 5" xfId="18101" xr:uid="{9723BFB4-C805-4682-AB81-0D57C178253E}"/>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3BCA67CD-1EEB-4E54-980E-B4D84AE867A4}"/>
    <cellStyle name="40% - Accent6 2 2 5 2 2 3" xfId="24876" xr:uid="{DD2CC011-128C-46C8-B7EB-EFAE10341148}"/>
    <cellStyle name="40% - Accent6 2 2 5 2 3" xfId="12211" xr:uid="{18777CF9-FE15-469C-9D4D-6733683F91A6}"/>
    <cellStyle name="40% - Accent6 2 2 5 2 4" xfId="20659" xr:uid="{357359B8-987F-4847-8D3A-B90F39C4A370}"/>
    <cellStyle name="40% - Accent6 2 2 5 3" xfId="5834" xr:uid="{00000000-0005-0000-0000-000003070000}"/>
    <cellStyle name="40% - Accent6 2 2 5 3 2" xfId="14284" xr:uid="{963665EE-7E5E-49CB-9626-E9C4EBB37DEF}"/>
    <cellStyle name="40% - Accent6 2 2 5 3 3" xfId="22731" xr:uid="{D8DD3D7D-2F87-4FD5-8C1B-189355D35701}"/>
    <cellStyle name="40% - Accent6 2 2 5 4" xfId="10066" xr:uid="{4D6BB5C8-AACA-4AAB-AA56-4B653C6CC90C}"/>
    <cellStyle name="40% - Accent6 2 2 5 5" xfId="18514" xr:uid="{86A92FF0-9D4B-4EE8-8318-59C7EE4B1DD2}"/>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603EA75F-8340-4B88-8D01-1265C0CD79BE}"/>
    <cellStyle name="40% - Accent6 2 2 6 2 2 3" xfId="25289" xr:uid="{A32CDED2-C1DC-49D3-BBB3-6B3D5E7FD253}"/>
    <cellStyle name="40% - Accent6 2 2 6 2 3" xfId="12624" xr:uid="{677B03F4-EC84-4BAF-B2AC-1EFF80EC2B9D}"/>
    <cellStyle name="40% - Accent6 2 2 6 2 4" xfId="21072" xr:uid="{E45B8740-D7AC-497B-BCB8-EBB6A4C5455F}"/>
    <cellStyle name="40% - Accent6 2 2 6 3" xfId="6247" xr:uid="{00000000-0005-0000-0000-000007070000}"/>
    <cellStyle name="40% - Accent6 2 2 6 3 2" xfId="14697" xr:uid="{AEF3A4AD-905A-4270-8EA8-594943F98C7B}"/>
    <cellStyle name="40% - Accent6 2 2 6 3 3" xfId="23144" xr:uid="{B6275471-3E9B-4387-A9D2-BF104DDEB87E}"/>
    <cellStyle name="40% - Accent6 2 2 6 4" xfId="10479" xr:uid="{715BFF08-333D-4CC3-B52D-57B51C9DCB19}"/>
    <cellStyle name="40% - Accent6 2 2 6 5" xfId="18927" xr:uid="{F1C957BD-763A-4A42-8CCE-81449B3AEE98}"/>
    <cellStyle name="40% - Accent6 2 2 7" xfId="2354" xr:uid="{00000000-0005-0000-0000-000008070000}"/>
    <cellStyle name="40% - Accent6 2 2 7 2" xfId="6660" xr:uid="{00000000-0005-0000-0000-000009070000}"/>
    <cellStyle name="40% - Accent6 2 2 7 2 2" xfId="15110" xr:uid="{490CAD95-B909-45C1-A8A3-05F4596A10E8}"/>
    <cellStyle name="40% - Accent6 2 2 7 2 3" xfId="23557" xr:uid="{E1A91DEC-C546-4C45-88A7-CE1C5ADA7DBE}"/>
    <cellStyle name="40% - Accent6 2 2 7 3" xfId="10892" xr:uid="{03DA4ABE-77B5-4CD6-BCE4-0C7D4E8F7957}"/>
    <cellStyle name="40% - Accent6 2 2 7 4" xfId="19340" xr:uid="{633094B1-B524-48E6-A89C-88F900600EB0}"/>
    <cellStyle name="40% - Accent6 2 2 8" xfId="4594" xr:uid="{00000000-0005-0000-0000-00000A070000}"/>
    <cellStyle name="40% - Accent6 2 2 8 2" xfId="13044" xr:uid="{B3B12CE9-300E-4FAE-976E-7596EE8D4CDD}"/>
    <cellStyle name="40% - Accent6 2 2 8 3" xfId="21491" xr:uid="{F7EF770F-B991-4A31-9BD1-6B48D58EB393}"/>
    <cellStyle name="40% - Accent6 2 2 9" xfId="8826" xr:uid="{C21C9E52-E867-4AE2-8963-878A276E99BE}"/>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2B0F6EB1-4E3F-4D0B-8E1C-7CFFB660FCCD}"/>
    <cellStyle name="40% - Accent6 2 3 2 2 2 3" xfId="24052" xr:uid="{6AAA20CB-98BA-4AB3-AF1A-05C8AF2AD2E3}"/>
    <cellStyle name="40% - Accent6 2 3 2 2 3" xfId="11387" xr:uid="{4D79B3B9-1753-4835-85BF-B4A112DDAA59}"/>
    <cellStyle name="40% - Accent6 2 3 2 2 4" xfId="19835" xr:uid="{F8315A45-1A8B-49CD-AC72-EBC01B61EF4E}"/>
    <cellStyle name="40% - Accent6 2 3 2 3" xfId="5010" xr:uid="{00000000-0005-0000-0000-00000F070000}"/>
    <cellStyle name="40% - Accent6 2 3 2 3 2" xfId="13460" xr:uid="{6CD6C0A0-5624-4BC4-852C-3DE3243AE887}"/>
    <cellStyle name="40% - Accent6 2 3 2 3 3" xfId="21907" xr:uid="{48E4EE6A-9C81-4341-B488-EA8F266351F2}"/>
    <cellStyle name="40% - Accent6 2 3 2 4" xfId="9242" xr:uid="{98F823AE-9143-4324-958A-0BAF4AAC5B27}"/>
    <cellStyle name="40% - Accent6 2 3 2 5" xfId="17690" xr:uid="{B52C002F-F2B4-441B-8C85-39C2DA7F9D11}"/>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332BA6A9-AB37-47B3-B5D4-8496F1A7BA8C}"/>
    <cellStyle name="40% - Accent6 2 3 3 2 2 3" xfId="24465" xr:uid="{929981F8-9AAA-41D1-B3CE-45840FAEBC6B}"/>
    <cellStyle name="40% - Accent6 2 3 3 2 3" xfId="11800" xr:uid="{67DFE584-002D-41C2-BB2A-D4702E662AD6}"/>
    <cellStyle name="40% - Accent6 2 3 3 2 4" xfId="20248" xr:uid="{E6698FC5-E519-4F53-B858-DDE1E7AF81BE}"/>
    <cellStyle name="40% - Accent6 2 3 3 3" xfId="5423" xr:uid="{00000000-0005-0000-0000-000013070000}"/>
    <cellStyle name="40% - Accent6 2 3 3 3 2" xfId="13873" xr:uid="{346C78C3-2F1A-4E0D-958E-33A428FCDE19}"/>
    <cellStyle name="40% - Accent6 2 3 3 3 3" xfId="22320" xr:uid="{75646116-5D89-4A52-BFF8-7E13D551D5CB}"/>
    <cellStyle name="40% - Accent6 2 3 3 4" xfId="9655" xr:uid="{BDCFD7DB-5D4D-4227-9A17-74D120C3140B}"/>
    <cellStyle name="40% - Accent6 2 3 3 5" xfId="18103" xr:uid="{3412142D-CAAF-4F2F-B43F-46CC441F4A5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C4834B3C-9B80-4F1B-95E2-0A92DF072789}"/>
    <cellStyle name="40% - Accent6 2 3 4 2 2 3" xfId="24878" xr:uid="{8454F376-9E16-4178-B5A5-37F774023156}"/>
    <cellStyle name="40% - Accent6 2 3 4 2 3" xfId="12213" xr:uid="{BEED9CED-864A-430C-AD28-9C46A98DF104}"/>
    <cellStyle name="40% - Accent6 2 3 4 2 4" xfId="20661" xr:uid="{BF253F4F-B34F-4883-81B9-7F9FA578D5C4}"/>
    <cellStyle name="40% - Accent6 2 3 4 3" xfId="5836" xr:uid="{00000000-0005-0000-0000-000017070000}"/>
    <cellStyle name="40% - Accent6 2 3 4 3 2" xfId="14286" xr:uid="{F81CE379-3FE9-480B-80BD-B04D501FBD53}"/>
    <cellStyle name="40% - Accent6 2 3 4 3 3" xfId="22733" xr:uid="{185A3E71-1D46-40B5-86DA-5A396A6CEBEB}"/>
    <cellStyle name="40% - Accent6 2 3 4 4" xfId="10068" xr:uid="{404C1F95-712B-473D-82BD-C4081F3AA9A3}"/>
    <cellStyle name="40% - Accent6 2 3 4 5" xfId="18516" xr:uid="{DC0ABF36-0DC8-455F-8629-293A34C1E8F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AB226778-7053-47F1-BB76-5DC0E060D69A}"/>
    <cellStyle name="40% - Accent6 2 3 5 2 2 3" xfId="25291" xr:uid="{AC21BA19-BB27-4461-85AD-684F8F52156E}"/>
    <cellStyle name="40% - Accent6 2 3 5 2 3" xfId="12626" xr:uid="{3D0B0797-E546-47B6-8A99-8F1506254F12}"/>
    <cellStyle name="40% - Accent6 2 3 5 2 4" xfId="21074" xr:uid="{99A11A89-B1D1-42C2-B621-81AD43446013}"/>
    <cellStyle name="40% - Accent6 2 3 5 3" xfId="6249" xr:uid="{00000000-0005-0000-0000-00001B070000}"/>
    <cellStyle name="40% - Accent6 2 3 5 3 2" xfId="14699" xr:uid="{571DF592-79A6-480A-A966-C31E4389A0F8}"/>
    <cellStyle name="40% - Accent6 2 3 5 3 3" xfId="23146" xr:uid="{76886642-582F-4078-AD3C-F2AA5FDE0B72}"/>
    <cellStyle name="40% - Accent6 2 3 5 4" xfId="10481" xr:uid="{84CC9B35-0609-4361-A0B6-270865EBBEED}"/>
    <cellStyle name="40% - Accent6 2 3 5 5" xfId="18929" xr:uid="{91A5A715-B5C6-4D04-B22A-3C7B128F01F6}"/>
    <cellStyle name="40% - Accent6 2 3 6" xfId="2356" xr:uid="{00000000-0005-0000-0000-00001C070000}"/>
    <cellStyle name="40% - Accent6 2 3 6 2" xfId="6662" xr:uid="{00000000-0005-0000-0000-00001D070000}"/>
    <cellStyle name="40% - Accent6 2 3 6 2 2" xfId="15112" xr:uid="{28EE5992-1571-44D3-B968-1EAC9F9E3A57}"/>
    <cellStyle name="40% - Accent6 2 3 6 2 3" xfId="23559" xr:uid="{00FF0210-9E7B-4A60-AE06-CE3DCA2FC2C1}"/>
    <cellStyle name="40% - Accent6 2 3 6 3" xfId="10894" xr:uid="{3FA95BF1-89B8-42BF-9D25-D34BD7A013E2}"/>
    <cellStyle name="40% - Accent6 2 3 6 4" xfId="19342" xr:uid="{B4C30AAF-A276-4466-A451-6C686A73CA2F}"/>
    <cellStyle name="40% - Accent6 2 3 7" xfId="4596" xr:uid="{00000000-0005-0000-0000-00001E070000}"/>
    <cellStyle name="40% - Accent6 2 3 7 2" xfId="13046" xr:uid="{73A5A480-F779-4425-AE5D-D1E6E7ACCCF1}"/>
    <cellStyle name="40% - Accent6 2 3 7 3" xfId="21493" xr:uid="{4B829D55-574C-4FAF-A432-78DD3D4D429B}"/>
    <cellStyle name="40% - Accent6 2 3 8" xfId="8828" xr:uid="{B62D2C93-2F39-4D5F-A4C2-4CB58AFBC06D}"/>
    <cellStyle name="40% - Accent6 2 3 9" xfId="17276" xr:uid="{998E35AB-16E9-4BD7-A41C-A15641A32B4E}"/>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61D211F8-D076-48EB-A062-8F8E32850493}"/>
    <cellStyle name="40% - Accent6 2 4 2 2 3" xfId="24049" xr:uid="{48828736-2BBE-4A15-A524-1B15BDED1654}"/>
    <cellStyle name="40% - Accent6 2 4 2 3" xfId="11384" xr:uid="{8EA799A5-2CD6-48DA-B89E-38ED839143A2}"/>
    <cellStyle name="40% - Accent6 2 4 2 4" xfId="19832" xr:uid="{3B25CFBD-F5FB-4A3C-993E-134A0615C2A0}"/>
    <cellStyle name="40% - Accent6 2 4 3" xfId="5007" xr:uid="{00000000-0005-0000-0000-000022070000}"/>
    <cellStyle name="40% - Accent6 2 4 3 2" xfId="13457" xr:uid="{96F967BA-6FEC-470A-B9D5-766501A881D9}"/>
    <cellStyle name="40% - Accent6 2 4 3 3" xfId="21904" xr:uid="{935CC2C2-39BD-4300-8BBE-588C1DDEAD41}"/>
    <cellStyle name="40% - Accent6 2 4 4" xfId="9239" xr:uid="{AAD042C1-BCE8-4887-832D-42D04694AAF3}"/>
    <cellStyle name="40% - Accent6 2 4 5" xfId="17687" xr:uid="{D2CCF2EF-7BB6-4391-BECD-32628C56A500}"/>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F5EC4FD1-3DA6-4D9D-BA4B-7CF4C7EDE7E2}"/>
    <cellStyle name="40% - Accent6 2 5 2 2 3" xfId="24462" xr:uid="{FBAF6FF0-991A-4AE5-9F84-633F5947DA92}"/>
    <cellStyle name="40% - Accent6 2 5 2 3" xfId="11797" xr:uid="{57EA3DD9-72F4-461A-BFE0-8727DBE7DFBC}"/>
    <cellStyle name="40% - Accent6 2 5 2 4" xfId="20245" xr:uid="{77A7DE54-CD76-4B99-9A9A-B2F48E51AA99}"/>
    <cellStyle name="40% - Accent6 2 5 3" xfId="5420" xr:uid="{00000000-0005-0000-0000-000026070000}"/>
    <cellStyle name="40% - Accent6 2 5 3 2" xfId="13870" xr:uid="{DED0A9C0-5F3D-4424-9000-FE836EC8E78E}"/>
    <cellStyle name="40% - Accent6 2 5 3 3" xfId="22317" xr:uid="{6E993575-AB61-4715-BC2E-478957D0494F}"/>
    <cellStyle name="40% - Accent6 2 5 4" xfId="9652" xr:uid="{BBFB3745-E810-45C6-83F3-5A0AEBBDC188}"/>
    <cellStyle name="40% - Accent6 2 5 5" xfId="18100" xr:uid="{9EB2E4A4-F6DD-4E4F-9710-32BABEB62E83}"/>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F3428BB0-DA8E-4A77-BACB-0F121F4F1517}"/>
    <cellStyle name="40% - Accent6 2 6 2 2 3" xfId="24875" xr:uid="{B268ED73-259F-4174-8A08-A4DB984CFAD6}"/>
    <cellStyle name="40% - Accent6 2 6 2 3" xfId="12210" xr:uid="{0F507DA0-4DCD-413F-B34C-209504D53537}"/>
    <cellStyle name="40% - Accent6 2 6 2 4" xfId="20658" xr:uid="{E8F9A2EC-D887-46E7-94E3-346E00D82599}"/>
    <cellStyle name="40% - Accent6 2 6 3" xfId="5833" xr:uid="{00000000-0005-0000-0000-00002A070000}"/>
    <cellStyle name="40% - Accent6 2 6 3 2" xfId="14283" xr:uid="{233600AC-491E-439D-9C1A-0E50B2BF52EC}"/>
    <cellStyle name="40% - Accent6 2 6 3 3" xfId="22730" xr:uid="{E2B7764A-9AE2-427B-BEAF-78EE66EC10C5}"/>
    <cellStyle name="40% - Accent6 2 6 4" xfId="10065" xr:uid="{B7A17C36-F45B-4B04-97CB-F7C5261CEFA9}"/>
    <cellStyle name="40% - Accent6 2 6 5" xfId="18513" xr:uid="{78606547-2556-441D-874D-7C318394BCD8}"/>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E5C0D181-EC5A-475F-83F8-9B1B1A0A1B22}"/>
    <cellStyle name="40% - Accent6 2 7 2 2 3" xfId="25288" xr:uid="{8D6C0468-7E47-456A-A243-3BB4F2BF75D5}"/>
    <cellStyle name="40% - Accent6 2 7 2 3" xfId="12623" xr:uid="{83DB6B01-4C34-47D5-8390-5BDC093786C1}"/>
    <cellStyle name="40% - Accent6 2 7 2 4" xfId="21071" xr:uid="{EFCE48BC-9021-4913-ADD1-07B4A6268AE9}"/>
    <cellStyle name="40% - Accent6 2 7 3" xfId="6246" xr:uid="{00000000-0005-0000-0000-00002E070000}"/>
    <cellStyle name="40% - Accent6 2 7 3 2" xfId="14696" xr:uid="{7C041878-4431-489E-AC37-BEB5B32B2B1B}"/>
    <cellStyle name="40% - Accent6 2 7 3 3" xfId="23143" xr:uid="{CAB9D9EB-1962-47AE-AED7-09D8C84928E7}"/>
    <cellStyle name="40% - Accent6 2 7 4" xfId="10478" xr:uid="{9EE28DA6-43A5-430E-93E7-7A44F7F25F35}"/>
    <cellStyle name="40% - Accent6 2 7 5" xfId="18926" xr:uid="{D20B4E79-4C1E-4EF6-ADFB-472C05404ED3}"/>
    <cellStyle name="40% - Accent6 2 8" xfId="2353" xr:uid="{00000000-0005-0000-0000-00002F070000}"/>
    <cellStyle name="40% - Accent6 2 8 2" xfId="6659" xr:uid="{00000000-0005-0000-0000-000030070000}"/>
    <cellStyle name="40% - Accent6 2 8 2 2" xfId="15109" xr:uid="{FF9B2358-17F8-47EA-9D85-A21D6090659E}"/>
    <cellStyle name="40% - Accent6 2 8 2 3" xfId="23556" xr:uid="{8FCE791F-44BA-491F-9792-2FC4F687ED8C}"/>
    <cellStyle name="40% - Accent6 2 8 3" xfId="10891" xr:uid="{FD9B63E2-FCFC-4784-906B-4FDADE9D143C}"/>
    <cellStyle name="40% - Accent6 2 8 4" xfId="19339" xr:uid="{C5B75E29-63CB-49A2-9196-C3C325964AA4}"/>
    <cellStyle name="40% - Accent6 2 9" xfId="4593" xr:uid="{00000000-0005-0000-0000-000031070000}"/>
    <cellStyle name="40% - Accent6 2 9 2" xfId="13043" xr:uid="{98FE3882-F9A1-4AF7-A4C2-4586FF38635A}"/>
    <cellStyle name="40% - Accent6 2 9 3" xfId="21490" xr:uid="{0BD3DFCB-36D1-40EC-8E09-84FD8C1DED94}"/>
    <cellStyle name="40% - Accent6 3" xfId="94" xr:uid="{00000000-0005-0000-0000-000032070000}"/>
    <cellStyle name="40% - Accent6 3 10" xfId="17277" xr:uid="{53B2A37B-F387-4547-A624-CC8F2748E0D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67EAC085-C76A-4EEF-A746-503AD6D4438A}"/>
    <cellStyle name="40% - Accent6 3 2 2 2 2 3" xfId="24054" xr:uid="{DCC60425-F633-47AC-881B-5B413EF5A0CA}"/>
    <cellStyle name="40% - Accent6 3 2 2 2 3" xfId="11389" xr:uid="{5385F1E3-85EA-4162-8F18-7E5571D6F39C}"/>
    <cellStyle name="40% - Accent6 3 2 2 2 4" xfId="19837" xr:uid="{F01D26B8-A597-4566-95B1-3E77A5D880DA}"/>
    <cellStyle name="40% - Accent6 3 2 2 3" xfId="5012" xr:uid="{00000000-0005-0000-0000-000037070000}"/>
    <cellStyle name="40% - Accent6 3 2 2 3 2" xfId="13462" xr:uid="{B99CCF42-243A-4491-A4DB-6C11E8656874}"/>
    <cellStyle name="40% - Accent6 3 2 2 3 3" xfId="21909" xr:uid="{4F226013-45B9-4EDD-932C-BE9353891A5B}"/>
    <cellStyle name="40% - Accent6 3 2 2 4" xfId="9244" xr:uid="{989AE747-729C-4434-B185-BF7E9A16D024}"/>
    <cellStyle name="40% - Accent6 3 2 2 5" xfId="17692" xr:uid="{DEBF10DF-B2F8-4030-9A51-BFA5316E4294}"/>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1E2E099E-80F7-42D2-8B60-1A2E973F7665}"/>
    <cellStyle name="40% - Accent6 3 2 3 2 2 3" xfId="24467" xr:uid="{78150DC6-3793-410C-ACFA-9DA47992C390}"/>
    <cellStyle name="40% - Accent6 3 2 3 2 3" xfId="11802" xr:uid="{33572983-F0B2-4954-B1D3-08F4A7B83D72}"/>
    <cellStyle name="40% - Accent6 3 2 3 2 4" xfId="20250" xr:uid="{C396C4F4-0C29-406F-A64C-D2B95F370EE4}"/>
    <cellStyle name="40% - Accent6 3 2 3 3" xfId="5425" xr:uid="{00000000-0005-0000-0000-00003B070000}"/>
    <cellStyle name="40% - Accent6 3 2 3 3 2" xfId="13875" xr:uid="{062B2C94-0A89-4FBB-B9C5-6B369146954F}"/>
    <cellStyle name="40% - Accent6 3 2 3 3 3" xfId="22322" xr:uid="{C2AC0644-EF62-4B52-8DCF-8AC243ADD45F}"/>
    <cellStyle name="40% - Accent6 3 2 3 4" xfId="9657" xr:uid="{8EF1C23E-DEBF-4F00-A89A-C55E6E57D7AC}"/>
    <cellStyle name="40% - Accent6 3 2 3 5" xfId="18105" xr:uid="{3C5C1B91-8737-42A4-9B3A-82E965FEB7E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A7B73571-783E-402D-AD1F-8BD239D92DA3}"/>
    <cellStyle name="40% - Accent6 3 2 4 2 2 3" xfId="24880" xr:uid="{857E8590-FC5E-4D2F-A4FB-318869467D9C}"/>
    <cellStyle name="40% - Accent6 3 2 4 2 3" xfId="12215" xr:uid="{9BD53FA8-B8BD-49E1-87B6-27FF6C29CD0D}"/>
    <cellStyle name="40% - Accent6 3 2 4 2 4" xfId="20663" xr:uid="{7FD056CC-818F-4E62-9960-44059A7136AA}"/>
    <cellStyle name="40% - Accent6 3 2 4 3" xfId="5838" xr:uid="{00000000-0005-0000-0000-00003F070000}"/>
    <cellStyle name="40% - Accent6 3 2 4 3 2" xfId="14288" xr:uid="{D86CBD65-BE59-4D67-94F4-F4598803DA89}"/>
    <cellStyle name="40% - Accent6 3 2 4 3 3" xfId="22735" xr:uid="{8B5138A7-7C12-4B87-AB43-AF66ED834A53}"/>
    <cellStyle name="40% - Accent6 3 2 4 4" xfId="10070" xr:uid="{F4259CFD-4F41-478B-851C-C6FFAFD21A8E}"/>
    <cellStyle name="40% - Accent6 3 2 4 5" xfId="18518" xr:uid="{8A9C4726-D7A3-467B-ABA0-645699F1FCEB}"/>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5DBCA4D0-1A0B-451A-AE83-86A51077FF10}"/>
    <cellStyle name="40% - Accent6 3 2 5 2 2 3" xfId="25293" xr:uid="{58C2133E-0133-4525-ABEC-8EC1D8336439}"/>
    <cellStyle name="40% - Accent6 3 2 5 2 3" xfId="12628" xr:uid="{704BB12A-ACEE-49AE-B303-8C7535FFA1F1}"/>
    <cellStyle name="40% - Accent6 3 2 5 2 4" xfId="21076" xr:uid="{A42F0EA6-0CEF-470D-8C94-5A59C945B157}"/>
    <cellStyle name="40% - Accent6 3 2 5 3" xfId="6251" xr:uid="{00000000-0005-0000-0000-000043070000}"/>
    <cellStyle name="40% - Accent6 3 2 5 3 2" xfId="14701" xr:uid="{8823D782-CF06-42CB-9F4E-638AE3C89D75}"/>
    <cellStyle name="40% - Accent6 3 2 5 3 3" xfId="23148" xr:uid="{D89E39AF-6EE7-4EFC-AADB-3AED9139A019}"/>
    <cellStyle name="40% - Accent6 3 2 5 4" xfId="10483" xr:uid="{14E9593E-A0C8-47A7-AD26-0965F6BA3C37}"/>
    <cellStyle name="40% - Accent6 3 2 5 5" xfId="18931" xr:uid="{855A13E6-E12F-460C-86F6-C08F7969E665}"/>
    <cellStyle name="40% - Accent6 3 2 6" xfId="2358" xr:uid="{00000000-0005-0000-0000-000044070000}"/>
    <cellStyle name="40% - Accent6 3 2 6 2" xfId="6664" xr:uid="{00000000-0005-0000-0000-000045070000}"/>
    <cellStyle name="40% - Accent6 3 2 6 2 2" xfId="15114" xr:uid="{8873830F-451A-436C-B2DA-18F66073748F}"/>
    <cellStyle name="40% - Accent6 3 2 6 2 3" xfId="23561" xr:uid="{107D0709-2CA4-4645-B8B9-9F7F42AF6FB6}"/>
    <cellStyle name="40% - Accent6 3 2 6 3" xfId="10896" xr:uid="{6F52A446-BA38-40FB-99E4-672997FAA6EB}"/>
    <cellStyle name="40% - Accent6 3 2 6 4" xfId="19344" xr:uid="{1F1577AF-CA05-41E3-9944-64B9FE1159A3}"/>
    <cellStyle name="40% - Accent6 3 2 7" xfId="4598" xr:uid="{00000000-0005-0000-0000-000046070000}"/>
    <cellStyle name="40% - Accent6 3 2 7 2" xfId="13048" xr:uid="{07316964-9ECB-4E7C-83D0-9B1910055CE7}"/>
    <cellStyle name="40% - Accent6 3 2 7 3" xfId="21495" xr:uid="{852AD31F-B56E-437E-8A03-D2E8EF3AC70E}"/>
    <cellStyle name="40% - Accent6 3 2 8" xfId="8830" xr:uid="{0EC4926C-62CD-4AA6-B5C7-15599D7B345C}"/>
    <cellStyle name="40% - Accent6 3 2 9" xfId="17278" xr:uid="{10A25CCA-4EA2-4926-B6CD-FBB58248E519}"/>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2A47A10F-B299-4151-A797-A9C412BD66E2}"/>
    <cellStyle name="40% - Accent6 3 3 2 2 3" xfId="24053" xr:uid="{E62CBF13-B123-419E-8F08-6DBF6852ABF5}"/>
    <cellStyle name="40% - Accent6 3 3 2 3" xfId="11388" xr:uid="{12AC694F-C117-4B5A-BBDD-9435FE92D1DC}"/>
    <cellStyle name="40% - Accent6 3 3 2 4" xfId="19836" xr:uid="{747736D9-C370-4B96-BC37-FAE9F7C38D21}"/>
    <cellStyle name="40% - Accent6 3 3 3" xfId="5011" xr:uid="{00000000-0005-0000-0000-00004A070000}"/>
    <cellStyle name="40% - Accent6 3 3 3 2" xfId="13461" xr:uid="{667C60E5-1EEB-4CD3-A9DA-4BFAB8380F02}"/>
    <cellStyle name="40% - Accent6 3 3 3 3" xfId="21908" xr:uid="{22F28115-DB30-4D97-BCDC-B14A43071EB0}"/>
    <cellStyle name="40% - Accent6 3 3 4" xfId="9243" xr:uid="{E95543F3-AFBC-4D1F-BFEA-F268EFE7ED28}"/>
    <cellStyle name="40% - Accent6 3 3 5" xfId="17691" xr:uid="{91CC8FC5-E1EE-4642-A06F-48F60E1DFD62}"/>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B25C6B15-D10C-4F48-93A5-32A80D6CE23C}"/>
    <cellStyle name="40% - Accent6 3 4 2 2 3" xfId="24466" xr:uid="{266B0EFA-605B-4C8A-9AEB-C6BB837EA32C}"/>
    <cellStyle name="40% - Accent6 3 4 2 3" xfId="11801" xr:uid="{885F6C56-02E4-4B0D-8EF3-56BEB454DA9E}"/>
    <cellStyle name="40% - Accent6 3 4 2 4" xfId="20249" xr:uid="{166FEDBC-2F16-44F3-B948-D129ECD387A3}"/>
    <cellStyle name="40% - Accent6 3 4 3" xfId="5424" xr:uid="{00000000-0005-0000-0000-00004E070000}"/>
    <cellStyle name="40% - Accent6 3 4 3 2" xfId="13874" xr:uid="{A9FFBDE1-1E59-44A6-9248-2D73E1087ED2}"/>
    <cellStyle name="40% - Accent6 3 4 3 3" xfId="22321" xr:uid="{DC04A6D9-C01F-46ED-9D9C-01813B145EAD}"/>
    <cellStyle name="40% - Accent6 3 4 4" xfId="9656" xr:uid="{0D0DFA95-14C9-4B61-87AC-79998951D203}"/>
    <cellStyle name="40% - Accent6 3 4 5" xfId="18104" xr:uid="{6E219D0D-8225-479D-8E9F-D1F919DF8B6C}"/>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7D4C07B7-33FA-4CF9-BD86-05DC7CB9CE56}"/>
    <cellStyle name="40% - Accent6 3 5 2 2 3" xfId="24879" xr:uid="{FEAF5B62-6389-4FDD-87FE-AAFCF444D226}"/>
    <cellStyle name="40% - Accent6 3 5 2 3" xfId="12214" xr:uid="{AF73A937-6B4C-4F37-AB59-59CADB034475}"/>
    <cellStyle name="40% - Accent6 3 5 2 4" xfId="20662" xr:uid="{5FB2AF34-7A92-4EA7-B8BB-109D313E20A7}"/>
    <cellStyle name="40% - Accent6 3 5 3" xfId="5837" xr:uid="{00000000-0005-0000-0000-000052070000}"/>
    <cellStyle name="40% - Accent6 3 5 3 2" xfId="14287" xr:uid="{9965A003-73C8-47C6-8533-9C0097251D1C}"/>
    <cellStyle name="40% - Accent6 3 5 3 3" xfId="22734" xr:uid="{70BDC883-F9A3-4410-A45C-45BDB4A6DD50}"/>
    <cellStyle name="40% - Accent6 3 5 4" xfId="10069" xr:uid="{F38F626E-8110-4116-817D-45036489F485}"/>
    <cellStyle name="40% - Accent6 3 5 5" xfId="18517" xr:uid="{7599AAFA-F8FC-4102-885E-7E0C1C3E0EDA}"/>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F8CAC0A1-B234-47DF-8EDE-4542FDBD7BC0}"/>
    <cellStyle name="40% - Accent6 3 6 2 2 3" xfId="25292" xr:uid="{B529BF3E-EBC4-4213-B795-993A2CF8AB7A}"/>
    <cellStyle name="40% - Accent6 3 6 2 3" xfId="12627" xr:uid="{95078363-3730-4876-AC6D-F5601E453249}"/>
    <cellStyle name="40% - Accent6 3 6 2 4" xfId="21075" xr:uid="{E93E8536-EC0D-4CC2-9ABB-FE19AFFCABAE}"/>
    <cellStyle name="40% - Accent6 3 6 3" xfId="6250" xr:uid="{00000000-0005-0000-0000-000056070000}"/>
    <cellStyle name="40% - Accent6 3 6 3 2" xfId="14700" xr:uid="{8A639EB3-64D8-45CF-97AC-4157900B8DA1}"/>
    <cellStyle name="40% - Accent6 3 6 3 3" xfId="23147" xr:uid="{4271335D-3B54-4464-8BA1-B97E6ABFDB47}"/>
    <cellStyle name="40% - Accent6 3 6 4" xfId="10482" xr:uid="{63533228-3925-46EE-A613-098E747CABAE}"/>
    <cellStyle name="40% - Accent6 3 6 5" xfId="18930" xr:uid="{ED8486A0-E456-4E73-B6DB-0FB0C66D412B}"/>
    <cellStyle name="40% - Accent6 3 7" xfId="2357" xr:uid="{00000000-0005-0000-0000-000057070000}"/>
    <cellStyle name="40% - Accent6 3 7 2" xfId="6663" xr:uid="{00000000-0005-0000-0000-000058070000}"/>
    <cellStyle name="40% - Accent6 3 7 2 2" xfId="15113" xr:uid="{21C13591-EFE4-48DF-B912-F81CDFC13D48}"/>
    <cellStyle name="40% - Accent6 3 7 2 3" xfId="23560" xr:uid="{639FD6A7-8D60-49DC-8C28-525376816BA8}"/>
    <cellStyle name="40% - Accent6 3 7 3" xfId="10895" xr:uid="{EAE6063E-2DD9-4C71-A31D-5018A3D3D7D1}"/>
    <cellStyle name="40% - Accent6 3 7 4" xfId="19343" xr:uid="{0E3E8D24-0BC7-4517-B9C9-3A33D82CAAA4}"/>
    <cellStyle name="40% - Accent6 3 8" xfId="4597" xr:uid="{00000000-0005-0000-0000-000059070000}"/>
    <cellStyle name="40% - Accent6 3 8 2" xfId="13047" xr:uid="{4A63A865-8F76-4787-89F0-4C841F744F70}"/>
    <cellStyle name="40% - Accent6 3 8 3" xfId="21494" xr:uid="{4E6B273E-E736-45B2-BA34-051986BF452F}"/>
    <cellStyle name="40% - Accent6 3 9" xfId="8829" xr:uid="{30FBDEDC-B7F5-4B9F-BEAF-2CAD6A2C5C16}"/>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FF48E9C9-4A9E-4835-9230-3302C3F08CEA}"/>
    <cellStyle name="40% - Accent6 4 2 2 2 3" xfId="24055" xr:uid="{11A5D9F6-6E8E-4590-8740-A2812D0066B9}"/>
    <cellStyle name="40% - Accent6 4 2 2 3" xfId="11390" xr:uid="{21803CE0-3C75-4D47-8CC9-C151F70969D0}"/>
    <cellStyle name="40% - Accent6 4 2 2 4" xfId="19838" xr:uid="{F02942B1-8265-4127-9A73-DFAD18D5D6B3}"/>
    <cellStyle name="40% - Accent6 4 2 3" xfId="5013" xr:uid="{00000000-0005-0000-0000-00005E070000}"/>
    <cellStyle name="40% - Accent6 4 2 3 2" xfId="13463" xr:uid="{783D96ED-D0B8-4568-8AFB-F7068A75BEA7}"/>
    <cellStyle name="40% - Accent6 4 2 3 3" xfId="21910" xr:uid="{9C10266E-442B-4093-A38E-E9221F1015D1}"/>
    <cellStyle name="40% - Accent6 4 2 4" xfId="9245" xr:uid="{E504E427-FA56-4DDB-9090-DA33D083AF02}"/>
    <cellStyle name="40% - Accent6 4 2 5" xfId="17693" xr:uid="{C6ADCE05-DDBC-43AB-AF79-6CAE260FF1D0}"/>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CC194492-8E86-43CA-85A3-4FDA1B500830}"/>
    <cellStyle name="40% - Accent6 4 3 2 2 3" xfId="24468" xr:uid="{3DA9E7F6-2D7C-439A-9A11-E9BB2DAF2E57}"/>
    <cellStyle name="40% - Accent6 4 3 2 3" xfId="11803" xr:uid="{D1A46AF3-9957-46AF-ACE7-191A219B92DB}"/>
    <cellStyle name="40% - Accent6 4 3 2 4" xfId="20251" xr:uid="{3CAB268B-2ADF-4AC4-A971-5348F59981A6}"/>
    <cellStyle name="40% - Accent6 4 3 3" xfId="5426" xr:uid="{00000000-0005-0000-0000-000062070000}"/>
    <cellStyle name="40% - Accent6 4 3 3 2" xfId="13876" xr:uid="{8161263D-3F3D-4518-99E5-6EBB590143A7}"/>
    <cellStyle name="40% - Accent6 4 3 3 3" xfId="22323" xr:uid="{642A8AA7-B50D-4223-8CA6-9D24F197F17B}"/>
    <cellStyle name="40% - Accent6 4 3 4" xfId="9658" xr:uid="{CDFB75ED-4E57-44B5-AC8B-70E5C69FA420}"/>
    <cellStyle name="40% - Accent6 4 3 5" xfId="18106" xr:uid="{33578AD9-444D-4039-94FD-58534F14C99C}"/>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96677D5E-B4A5-4E06-A551-64CB22F0CBCD}"/>
    <cellStyle name="40% - Accent6 4 4 2 2 3" xfId="24881" xr:uid="{0B280706-70D8-4F0F-9087-A7DDA395E55B}"/>
    <cellStyle name="40% - Accent6 4 4 2 3" xfId="12216" xr:uid="{8CA539BE-B2BE-407B-9BF9-9EA231B7D4CC}"/>
    <cellStyle name="40% - Accent6 4 4 2 4" xfId="20664" xr:uid="{1C9D0E56-2D06-4288-A010-4EFCDBD0F3B9}"/>
    <cellStyle name="40% - Accent6 4 4 3" xfId="5839" xr:uid="{00000000-0005-0000-0000-000066070000}"/>
    <cellStyle name="40% - Accent6 4 4 3 2" xfId="14289" xr:uid="{5ABECC67-5620-4C58-938A-964C22097235}"/>
    <cellStyle name="40% - Accent6 4 4 3 3" xfId="22736" xr:uid="{24F65A9A-4B3A-45D4-8ED7-E0E1A75E25C5}"/>
    <cellStyle name="40% - Accent6 4 4 4" xfId="10071" xr:uid="{FCD99905-CD3F-49B0-9765-BA4DD920AF0A}"/>
    <cellStyle name="40% - Accent6 4 4 5" xfId="18519" xr:uid="{164502A9-59DD-4A63-8FFE-8DEAA78BEAA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09EA823D-088D-47A4-86A1-F43928A6D70D}"/>
    <cellStyle name="40% - Accent6 4 5 2 2 3" xfId="25294" xr:uid="{BABC5268-F5AC-4480-9498-72E809CFEA48}"/>
    <cellStyle name="40% - Accent6 4 5 2 3" xfId="12629" xr:uid="{7C83306C-9E6E-4A01-9458-308E5F06881A}"/>
    <cellStyle name="40% - Accent6 4 5 2 4" xfId="21077" xr:uid="{F2AA035A-6C8C-4494-AA3C-FC61531E7AD1}"/>
    <cellStyle name="40% - Accent6 4 5 3" xfId="6252" xr:uid="{00000000-0005-0000-0000-00006A070000}"/>
    <cellStyle name="40% - Accent6 4 5 3 2" xfId="14702" xr:uid="{21A280EF-5516-41B6-80F3-7EC1107F71B9}"/>
    <cellStyle name="40% - Accent6 4 5 3 3" xfId="23149" xr:uid="{58D347CC-1483-4FE8-B8A7-CA344CA7464A}"/>
    <cellStyle name="40% - Accent6 4 5 4" xfId="10484" xr:uid="{5DFC64EC-169A-40BD-9864-9D200BF3D917}"/>
    <cellStyle name="40% - Accent6 4 5 5" xfId="18932" xr:uid="{357CAADA-283B-4064-A8D7-D6A96DE64D74}"/>
    <cellStyle name="40% - Accent6 4 6" xfId="2359" xr:uid="{00000000-0005-0000-0000-00006B070000}"/>
    <cellStyle name="40% - Accent6 4 6 2" xfId="6665" xr:uid="{00000000-0005-0000-0000-00006C070000}"/>
    <cellStyle name="40% - Accent6 4 6 2 2" xfId="15115" xr:uid="{A1DD3CBE-2C2A-47FA-A029-8CCA9845C479}"/>
    <cellStyle name="40% - Accent6 4 6 2 3" xfId="23562" xr:uid="{7B03BCEE-2446-47BA-82DA-50C956546AC8}"/>
    <cellStyle name="40% - Accent6 4 6 3" xfId="10897" xr:uid="{C8BFE8D2-1ED3-4FDE-8519-3155CE57BB29}"/>
    <cellStyle name="40% - Accent6 4 6 4" xfId="19345" xr:uid="{F0380EF2-091F-43E0-AC19-27E1E63C0472}"/>
    <cellStyle name="40% - Accent6 4 7" xfId="4599" xr:uid="{00000000-0005-0000-0000-00006D070000}"/>
    <cellStyle name="40% - Accent6 4 7 2" xfId="13049" xr:uid="{1DD1B336-BCAA-4275-A7BE-4E0A8862D579}"/>
    <cellStyle name="40% - Accent6 4 7 3" xfId="21496" xr:uid="{DE6A63ED-F8BE-46C6-BF2F-459CE120DF61}"/>
    <cellStyle name="40% - Accent6 4 8" xfId="8831" xr:uid="{1EAD30D8-0D58-4C6B-904D-6D9245B9E513}"/>
    <cellStyle name="40% - Accent6 4 9" xfId="17279" xr:uid="{F1E6FE85-3F6F-4051-9A0A-47A61D5009A8}"/>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D0D7485D-C122-4D84-87F3-F874C88D470B}"/>
    <cellStyle name="40% - Accent6 5 2 2 3" xfId="24048" xr:uid="{F3A4BF44-673B-4DFF-8CE3-40CF19EBB305}"/>
    <cellStyle name="40% - Accent6 5 2 3" xfId="11383" xr:uid="{5AEAF191-BB1F-49BD-8651-9D87D349A193}"/>
    <cellStyle name="40% - Accent6 5 2 4" xfId="19831" xr:uid="{4FB39381-ED81-469A-AAAD-EA8F4C30FE03}"/>
    <cellStyle name="40% - Accent6 5 3" xfId="5006" xr:uid="{00000000-0005-0000-0000-000071070000}"/>
    <cellStyle name="40% - Accent6 5 3 2" xfId="13456" xr:uid="{B37941D5-2729-4BB3-9411-94CA8354C96E}"/>
    <cellStyle name="40% - Accent6 5 3 3" xfId="21903" xr:uid="{E486AFE4-47EB-4BE1-B6BB-2C07472CA36D}"/>
    <cellStyle name="40% - Accent6 5 4" xfId="9238" xr:uid="{519B19C8-49BB-452E-8D87-8A8CFACC0C97}"/>
    <cellStyle name="40% - Accent6 5 5" xfId="17686" xr:uid="{4535E54F-E9BC-4D85-BA2C-499F7DB7A943}"/>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DDAC0B02-DF13-4EA7-86CF-54B9D4973863}"/>
    <cellStyle name="40% - Accent6 6 2 2 3" xfId="24461" xr:uid="{045D7AD0-DE0B-4931-92E5-0D4B55D69393}"/>
    <cellStyle name="40% - Accent6 6 2 3" xfId="11796" xr:uid="{6CE03BBC-59F1-4DBB-BF00-87C2325D774A}"/>
    <cellStyle name="40% - Accent6 6 2 4" xfId="20244" xr:uid="{1CAAA533-9FAC-4AF6-BA6E-C57694AA7824}"/>
    <cellStyle name="40% - Accent6 6 3" xfId="5419" xr:uid="{00000000-0005-0000-0000-000075070000}"/>
    <cellStyle name="40% - Accent6 6 3 2" xfId="13869" xr:uid="{C206CFA7-5CCD-4FB7-83F5-E9FE97C546F6}"/>
    <cellStyle name="40% - Accent6 6 3 3" xfId="22316" xr:uid="{691206DC-5E5B-4FAE-8B1B-608975DBAF22}"/>
    <cellStyle name="40% - Accent6 6 4" xfId="9651" xr:uid="{F7E001EC-8A54-4997-92B5-79014DBDE5A3}"/>
    <cellStyle name="40% - Accent6 6 5" xfId="18099" xr:uid="{B3165900-F045-4B58-B928-7C42ABD0BDDF}"/>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405197CE-CE7B-4F88-95ED-FD93FB099265}"/>
    <cellStyle name="40% - Accent6 7 2 2 3" xfId="24874" xr:uid="{E117F6B4-BDD4-4982-9483-4E711AEABD06}"/>
    <cellStyle name="40% - Accent6 7 2 3" xfId="12209" xr:uid="{F5CBEE5D-1DB0-493A-9867-41B52163988B}"/>
    <cellStyle name="40% - Accent6 7 2 4" xfId="20657" xr:uid="{B83A8804-E482-4F14-8C69-2CDDF13CF453}"/>
    <cellStyle name="40% - Accent6 7 3" xfId="5832" xr:uid="{00000000-0005-0000-0000-000079070000}"/>
    <cellStyle name="40% - Accent6 7 3 2" xfId="14282" xr:uid="{6265A00D-06D1-431F-BC72-3736D67A9907}"/>
    <cellStyle name="40% - Accent6 7 3 3" xfId="22729" xr:uid="{CC78C2EB-E3B5-49E2-B343-59B75461D029}"/>
    <cellStyle name="40% - Accent6 7 4" xfId="10064" xr:uid="{551641AB-5434-4D1E-91F1-62091CF4DA88}"/>
    <cellStyle name="40% - Accent6 7 5" xfId="18512" xr:uid="{526FBA8B-8452-48EC-B225-0443F9F4A47E}"/>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0A40918A-DD4C-4359-A492-0AFF1A2A1692}"/>
    <cellStyle name="40% - Accent6 8 2 2 3" xfId="25287" xr:uid="{6C1DF441-CD4F-4F55-9267-9A6FA97FB7EE}"/>
    <cellStyle name="40% - Accent6 8 2 3" xfId="12622" xr:uid="{C161AA30-0DD0-4CB3-B124-0ECE9E89C519}"/>
    <cellStyle name="40% - Accent6 8 2 4" xfId="21070" xr:uid="{4F9CEE27-8030-402E-835A-A2041EC74115}"/>
    <cellStyle name="40% - Accent6 8 3" xfId="6245" xr:uid="{00000000-0005-0000-0000-00007D070000}"/>
    <cellStyle name="40% - Accent6 8 3 2" xfId="14695" xr:uid="{3E63B16A-528C-48B4-8072-B6EC2B5BF4D1}"/>
    <cellStyle name="40% - Accent6 8 3 3" xfId="23142" xr:uid="{610BDD44-18FD-4C27-A7FD-9BCE301AF63F}"/>
    <cellStyle name="40% - Accent6 8 4" xfId="10477" xr:uid="{12497948-044A-4199-BADB-E4F455DF6FA0}"/>
    <cellStyle name="40% - Accent6 8 5" xfId="18925" xr:uid="{D33463E4-5964-4D17-9201-8E4ACE03E4EF}"/>
    <cellStyle name="40% - Accent6 9" xfId="2352" xr:uid="{00000000-0005-0000-0000-00007E070000}"/>
    <cellStyle name="40% - Accent6 9 2" xfId="6658" xr:uid="{00000000-0005-0000-0000-00007F070000}"/>
    <cellStyle name="40% - Accent6 9 2 2" xfId="15108" xr:uid="{35EA8AC9-2190-4AA4-B281-A8DFE2A25A8D}"/>
    <cellStyle name="40% - Accent6 9 2 3" xfId="23555" xr:uid="{BF2A9727-528C-40C8-B664-90ABE212D54B}"/>
    <cellStyle name="40% - Accent6 9 3" xfId="10890" xr:uid="{8A27D6E4-1B9C-43C2-AD9E-180D1DCC401B}"/>
    <cellStyle name="40% - Accent6 9 4" xfId="19338" xr:uid="{5F9DAC05-216C-4CB8-BE0D-586DC149A19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2774C70B-AB48-4D52-A42B-5633F3029FCF}"/>
    <cellStyle name="Comma 4 2 2 2 10 2 3" xfId="23880" xr:uid="{766C584B-54B4-48FE-979E-E2FB47E5A47F}"/>
    <cellStyle name="Comma 4 2 2 2 10 3" xfId="11215" xr:uid="{008C61BE-7709-4076-8063-85C5B2665E8F}"/>
    <cellStyle name="Comma 4 2 2 2 10 4" xfId="19663" xr:uid="{FF8EA0A0-AF2C-4627-A54E-C38DF6A147F3}"/>
    <cellStyle name="Comma 4 2 2 2 11" xfId="4600" xr:uid="{00000000-0005-0000-0000-0000A3070000}"/>
    <cellStyle name="Comma 4 2 2 2 11 2" xfId="13050" xr:uid="{E8061BB6-0520-4F71-9060-8A62FDB323DF}"/>
    <cellStyle name="Comma 4 2 2 2 11 3" xfId="21497" xr:uid="{A213FDCC-FDDE-4832-B277-4B5019F4937D}"/>
    <cellStyle name="Comma 4 2 2 2 12" xfId="8832" xr:uid="{555DE695-5AF2-4030-87C0-B9AE2640C84B}"/>
    <cellStyle name="Comma 4 2 2 2 13" xfId="17280" xr:uid="{9775B96D-39BF-4B58-A9A8-1957BB0CF8FA}"/>
    <cellStyle name="Comma 4 2 2 2 2" xfId="129" xr:uid="{00000000-0005-0000-0000-0000A4070000}"/>
    <cellStyle name="Comma 4 2 2 2 2 10" xfId="4601" xr:uid="{00000000-0005-0000-0000-0000A5070000}"/>
    <cellStyle name="Comma 4 2 2 2 2 10 2" xfId="13051" xr:uid="{48911266-C16A-49BC-9429-CA163E9FB40D}"/>
    <cellStyle name="Comma 4 2 2 2 2 10 3" xfId="21498" xr:uid="{14A402E0-39FD-4614-82C7-635E2D68F19B}"/>
    <cellStyle name="Comma 4 2 2 2 2 11" xfId="8833" xr:uid="{AB73D514-A827-4ED8-AEF4-BD84151C4629}"/>
    <cellStyle name="Comma 4 2 2 2 2 12" xfId="17281" xr:uid="{9F344C6B-C794-4BFE-B1F4-18B4987052F6}"/>
    <cellStyle name="Comma 4 2 2 2 2 2" xfId="130" xr:uid="{00000000-0005-0000-0000-0000A6070000}"/>
    <cellStyle name="Comma 4 2 2 2 2 2 10" xfId="8834" xr:uid="{99F01354-CED0-4939-9384-8DDCE4AABD58}"/>
    <cellStyle name="Comma 4 2 2 2 2 2 11" xfId="17282" xr:uid="{D75ADF88-BDF9-4A21-98D6-B8E24122ED4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7E28FEB7-8344-4A75-80CF-44E2DF5F7E77}"/>
    <cellStyle name="Comma 4 2 2 2 2 2 2 2 2 3" xfId="24058" xr:uid="{C79F6B0B-C79A-4A20-9239-ED2FFF5803BE}"/>
    <cellStyle name="Comma 4 2 2 2 2 2 2 2 3" xfId="11393" xr:uid="{776E1F1B-8FAB-4A71-958B-8DB8076C3386}"/>
    <cellStyle name="Comma 4 2 2 2 2 2 2 2 4" xfId="19841" xr:uid="{19F930FA-14FE-4DE9-BE86-84401712CA8D}"/>
    <cellStyle name="Comma 4 2 2 2 2 2 2 3" xfId="5016" xr:uid="{00000000-0005-0000-0000-0000AA070000}"/>
    <cellStyle name="Comma 4 2 2 2 2 2 2 3 2" xfId="13466" xr:uid="{2D66E0DF-C364-4DF2-B07E-CC1D193010E4}"/>
    <cellStyle name="Comma 4 2 2 2 2 2 2 3 3" xfId="21913" xr:uid="{DC937811-52EF-4BDB-8600-2353FD03ABDA}"/>
    <cellStyle name="Comma 4 2 2 2 2 2 2 4" xfId="9248" xr:uid="{E8E67444-84E7-4DF7-B147-716ECA4DB110}"/>
    <cellStyle name="Comma 4 2 2 2 2 2 2 5" xfId="17696" xr:uid="{A5913434-99EC-4F73-B2F4-84B7DA131ABE}"/>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B47651D4-EBDE-4746-B38A-AE30CE174749}"/>
    <cellStyle name="Comma 4 2 2 2 2 2 3 2 2 3" xfId="24471" xr:uid="{3688EAF8-13AF-4E8F-9573-894ACA60B8E7}"/>
    <cellStyle name="Comma 4 2 2 2 2 2 3 2 3" xfId="11806" xr:uid="{137689D4-33D4-4FCD-BBC2-35C8677F52FF}"/>
    <cellStyle name="Comma 4 2 2 2 2 2 3 2 4" xfId="20254" xr:uid="{B56CFE00-226B-4F57-A882-725AFB33B3F3}"/>
    <cellStyle name="Comma 4 2 2 2 2 2 3 3" xfId="5429" xr:uid="{00000000-0005-0000-0000-0000AE070000}"/>
    <cellStyle name="Comma 4 2 2 2 2 2 3 3 2" xfId="13879" xr:uid="{C1F4DA27-6C6A-42B8-A017-42D794520E90}"/>
    <cellStyle name="Comma 4 2 2 2 2 2 3 3 3" xfId="22326" xr:uid="{930C55B2-9A8B-4104-AA23-6F44F31E9612}"/>
    <cellStyle name="Comma 4 2 2 2 2 2 3 4" xfId="9661" xr:uid="{A375B9AB-F3AB-4FF7-8C27-DD2085D3E6CB}"/>
    <cellStyle name="Comma 4 2 2 2 2 2 3 5" xfId="18109" xr:uid="{C291432C-96C1-459B-AC86-AEAB17C8588C}"/>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EA55D3EF-47ED-4FA3-8D6C-76D1F10508A7}"/>
    <cellStyle name="Comma 4 2 2 2 2 2 4 2 2 3" xfId="24884" xr:uid="{876B483A-FD41-4774-9D16-1AE49B807536}"/>
    <cellStyle name="Comma 4 2 2 2 2 2 4 2 3" xfId="12219" xr:uid="{6A10F397-E645-476E-8360-BF1B77E59D8B}"/>
    <cellStyle name="Comma 4 2 2 2 2 2 4 2 4" xfId="20667" xr:uid="{052AC967-0F3A-41CC-8897-47C242F96385}"/>
    <cellStyle name="Comma 4 2 2 2 2 2 4 3" xfId="5842" xr:uid="{00000000-0005-0000-0000-0000B2070000}"/>
    <cellStyle name="Comma 4 2 2 2 2 2 4 3 2" xfId="14292" xr:uid="{56B6FD1E-8DE6-45C0-807A-1C81D4854002}"/>
    <cellStyle name="Comma 4 2 2 2 2 2 4 3 3" xfId="22739" xr:uid="{38D72E2A-B74C-4D94-9760-F49CD0DE58E1}"/>
    <cellStyle name="Comma 4 2 2 2 2 2 4 4" xfId="10074" xr:uid="{779A0A7D-7706-4AA6-A42E-57D4A6B6540F}"/>
    <cellStyle name="Comma 4 2 2 2 2 2 4 5" xfId="18522" xr:uid="{7A52D1CF-1A96-48DE-8AC8-8AEFF6C6759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EC8510DE-DCFF-48B9-A5CA-999E156A639C}"/>
    <cellStyle name="Comma 4 2 2 2 2 2 5 2 2 3" xfId="25297" xr:uid="{3AC4FC21-70EF-4E7E-B51B-C85CBCF3E896}"/>
    <cellStyle name="Comma 4 2 2 2 2 2 5 2 3" xfId="12632" xr:uid="{AAD81749-7589-4A9F-8A0F-97C577D62B82}"/>
    <cellStyle name="Comma 4 2 2 2 2 2 5 2 4" xfId="21080" xr:uid="{55470982-33E2-434F-9A19-3F307FE55830}"/>
    <cellStyle name="Comma 4 2 2 2 2 2 5 3" xfId="6255" xr:uid="{00000000-0005-0000-0000-0000B6070000}"/>
    <cellStyle name="Comma 4 2 2 2 2 2 5 3 2" xfId="14705" xr:uid="{E0CA4845-5A1A-464E-A1A2-7A14F060C288}"/>
    <cellStyle name="Comma 4 2 2 2 2 2 5 3 3" xfId="23152" xr:uid="{1ED7F53B-51A7-4D89-956B-680798B28E56}"/>
    <cellStyle name="Comma 4 2 2 2 2 2 5 4" xfId="10487" xr:uid="{ECF07467-62DC-43FC-ABDF-3539C9DACA4F}"/>
    <cellStyle name="Comma 4 2 2 2 2 2 5 5" xfId="18935" xr:uid="{F0349366-2A88-4D49-A2D0-DD5E27264E37}"/>
    <cellStyle name="Comma 4 2 2 2 2 2 6" xfId="2384" xr:uid="{00000000-0005-0000-0000-0000B7070000}"/>
    <cellStyle name="Comma 4 2 2 2 2 2 6 2" xfId="6668" xr:uid="{00000000-0005-0000-0000-0000B8070000}"/>
    <cellStyle name="Comma 4 2 2 2 2 2 6 2 2" xfId="15118" xr:uid="{83D5E645-37BE-4DB8-9D48-E26AF623E194}"/>
    <cellStyle name="Comma 4 2 2 2 2 2 6 2 3" xfId="23565" xr:uid="{5561BC3E-6665-4201-96F0-E0D581A77D52}"/>
    <cellStyle name="Comma 4 2 2 2 2 2 6 3" xfId="10900" xr:uid="{5F6E43F7-A2E1-4C1A-8A9F-B1AD7DA354EB}"/>
    <cellStyle name="Comma 4 2 2 2 2 2 6 4" xfId="19348" xr:uid="{FA91758D-6200-4FA0-BDD0-24D13DBFEAC3}"/>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013D14B3-7268-45A2-BB9F-42069368CF3A}"/>
    <cellStyle name="Comma 4 2 2 2 2 2 8 2 3" xfId="23882" xr:uid="{14D20302-FA53-4C4F-AF60-C14349136059}"/>
    <cellStyle name="Comma 4 2 2 2 2 2 8 3" xfId="11217" xr:uid="{492945E1-5D75-401F-AB16-FC5A7E0DD6A2}"/>
    <cellStyle name="Comma 4 2 2 2 2 2 8 4" xfId="19665" xr:uid="{9958D757-0DCA-4B30-8C1F-190EE412FECC}"/>
    <cellStyle name="Comma 4 2 2 2 2 2 9" xfId="4602" xr:uid="{00000000-0005-0000-0000-0000BC070000}"/>
    <cellStyle name="Comma 4 2 2 2 2 2 9 2" xfId="13052" xr:uid="{6F6F7118-12D4-4E99-9F33-FEB1F5B6F0BC}"/>
    <cellStyle name="Comma 4 2 2 2 2 2 9 3" xfId="21499" xr:uid="{7AA0FF03-DC57-428F-BF6D-78A2BE04578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AF6E4F0D-AB80-43BE-9230-E3AD252F87DC}"/>
    <cellStyle name="Comma 4 2 2 2 2 3 2 2 3" xfId="24057" xr:uid="{74C6BB3B-FA34-407C-A061-8FE1B8C808D5}"/>
    <cellStyle name="Comma 4 2 2 2 2 3 2 3" xfId="11392" xr:uid="{AFCA680B-6ACA-4A17-834E-2DF18E0DC826}"/>
    <cellStyle name="Comma 4 2 2 2 2 3 2 4" xfId="19840" xr:uid="{B7B5EE7C-C006-4DA8-A0E0-D5117BFFA28D}"/>
    <cellStyle name="Comma 4 2 2 2 2 3 3" xfId="5015" xr:uid="{00000000-0005-0000-0000-0000C0070000}"/>
    <cellStyle name="Comma 4 2 2 2 2 3 3 2" xfId="13465" xr:uid="{3D851F24-322B-4044-8132-C56DB298409A}"/>
    <cellStyle name="Comma 4 2 2 2 2 3 3 3" xfId="21912" xr:uid="{1556FE76-16EA-4DDA-9DC1-220D0600EE51}"/>
    <cellStyle name="Comma 4 2 2 2 2 3 4" xfId="9247" xr:uid="{F3AD4FCD-0633-4623-80D8-65D56543E998}"/>
    <cellStyle name="Comma 4 2 2 2 2 3 5" xfId="17695" xr:uid="{5BBB76AB-7652-48ED-9CEC-7D9A9C61132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E75B8088-A0A6-40AC-8981-6FBA8A61F91B}"/>
    <cellStyle name="Comma 4 2 2 2 2 4 2 2 3" xfId="24470" xr:uid="{D94ECB4E-6E6A-4C5B-B6C8-E54CE26B1925}"/>
    <cellStyle name="Comma 4 2 2 2 2 4 2 3" xfId="11805" xr:uid="{A1FC1844-2B12-4335-A37E-0B3718A9A58C}"/>
    <cellStyle name="Comma 4 2 2 2 2 4 2 4" xfId="20253" xr:uid="{ED52C6CF-96C4-41FD-8440-4EA04E480140}"/>
    <cellStyle name="Comma 4 2 2 2 2 4 3" xfId="5428" xr:uid="{00000000-0005-0000-0000-0000C4070000}"/>
    <cellStyle name="Comma 4 2 2 2 2 4 3 2" xfId="13878" xr:uid="{2B7CD05C-B6B4-4748-B1BF-735B9274E157}"/>
    <cellStyle name="Comma 4 2 2 2 2 4 3 3" xfId="22325" xr:uid="{9661149A-8928-41E8-938D-D65D876354D3}"/>
    <cellStyle name="Comma 4 2 2 2 2 4 4" xfId="9660" xr:uid="{9466C339-3E5E-47F6-9163-7F138B8AA11E}"/>
    <cellStyle name="Comma 4 2 2 2 2 4 5" xfId="18108" xr:uid="{B0EAB3F3-3614-4C5B-8BB2-E0812AA969B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DC5113DC-15DC-4702-B422-F6E91D9E496F}"/>
    <cellStyle name="Comma 4 2 2 2 2 5 2 2 3" xfId="24883" xr:uid="{0B604E99-9F7E-454B-B84E-FB0BBBFEECDC}"/>
    <cellStyle name="Comma 4 2 2 2 2 5 2 3" xfId="12218" xr:uid="{289E52CC-45BA-4D29-A632-CA55CBEA277A}"/>
    <cellStyle name="Comma 4 2 2 2 2 5 2 4" xfId="20666" xr:uid="{738FCF31-3443-4D2A-808C-857415CB86D7}"/>
    <cellStyle name="Comma 4 2 2 2 2 5 3" xfId="5841" xr:uid="{00000000-0005-0000-0000-0000C8070000}"/>
    <cellStyle name="Comma 4 2 2 2 2 5 3 2" xfId="14291" xr:uid="{7BFE4556-15F1-4392-86BE-91FBA6BA186D}"/>
    <cellStyle name="Comma 4 2 2 2 2 5 3 3" xfId="22738" xr:uid="{E7485577-1895-4389-95C6-181747EB6AA2}"/>
    <cellStyle name="Comma 4 2 2 2 2 5 4" xfId="10073" xr:uid="{47E1BA84-9052-4618-B6A3-F94D7E96A8CC}"/>
    <cellStyle name="Comma 4 2 2 2 2 5 5" xfId="18521" xr:uid="{CCC4187A-C71F-4773-9675-AA89687C733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DEB3C86B-BB24-4F67-A860-2E65BC0C84BD}"/>
    <cellStyle name="Comma 4 2 2 2 2 6 2 2 3" xfId="25296" xr:uid="{124D9E05-9AE5-4CD9-A95A-F34FD974A285}"/>
    <cellStyle name="Comma 4 2 2 2 2 6 2 3" xfId="12631" xr:uid="{C9B82F67-24A2-4300-B103-5D545AEE9943}"/>
    <cellStyle name="Comma 4 2 2 2 2 6 2 4" xfId="21079" xr:uid="{8CD16BCB-5D49-4DE0-871A-76DC8DC00710}"/>
    <cellStyle name="Comma 4 2 2 2 2 6 3" xfId="6254" xr:uid="{00000000-0005-0000-0000-0000CC070000}"/>
    <cellStyle name="Comma 4 2 2 2 2 6 3 2" xfId="14704" xr:uid="{A7E6A967-C194-44DA-A42C-473306F1A78C}"/>
    <cellStyle name="Comma 4 2 2 2 2 6 3 3" xfId="23151" xr:uid="{459538E6-40C6-4CEC-89F3-9C8FF020293C}"/>
    <cellStyle name="Comma 4 2 2 2 2 6 4" xfId="10486" xr:uid="{E7E440BB-91E7-4BA7-856E-2A10EB6139B2}"/>
    <cellStyle name="Comma 4 2 2 2 2 6 5" xfId="18934" xr:uid="{E0888B61-AB1F-41D4-9D27-425E64C9C9EC}"/>
    <cellStyle name="Comma 4 2 2 2 2 7" xfId="2383" xr:uid="{00000000-0005-0000-0000-0000CD070000}"/>
    <cellStyle name="Comma 4 2 2 2 2 7 2" xfId="6667" xr:uid="{00000000-0005-0000-0000-0000CE070000}"/>
    <cellStyle name="Comma 4 2 2 2 2 7 2 2" xfId="15117" xr:uid="{DC54E112-C3B3-4844-9E67-E914D95833B0}"/>
    <cellStyle name="Comma 4 2 2 2 2 7 2 3" xfId="23564" xr:uid="{A7D3DA02-7283-4033-A44F-5C35A6F6529F}"/>
    <cellStyle name="Comma 4 2 2 2 2 7 3" xfId="10899" xr:uid="{6E3CDFBA-BCAF-4758-93D7-EFDDEBEB8C0B}"/>
    <cellStyle name="Comma 4 2 2 2 2 7 4" xfId="19347" xr:uid="{46D070C8-C554-480A-AA6E-BE8C2D59856E}"/>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E67F71DC-486C-49EB-8050-F593FB2585F8}"/>
    <cellStyle name="Comma 4 2 2 2 2 9 2 3" xfId="23881" xr:uid="{A886139A-DADA-4CCB-BCCC-F6E478758751}"/>
    <cellStyle name="Comma 4 2 2 2 2 9 3" xfId="11216" xr:uid="{2617E828-2F22-4170-AB78-142608C3F895}"/>
    <cellStyle name="Comma 4 2 2 2 2 9 4" xfId="19664" xr:uid="{834177B8-EE3F-43DC-82F7-8C361A198A86}"/>
    <cellStyle name="Comma 4 2 2 2 3" xfId="131" xr:uid="{00000000-0005-0000-0000-0000D2070000}"/>
    <cellStyle name="Comma 4 2 2 2 3 10" xfId="8835" xr:uid="{9FB1AC64-AD21-4358-8518-AABDBD73D262}"/>
    <cellStyle name="Comma 4 2 2 2 3 11" xfId="17283" xr:uid="{A7C241F2-0BB6-4927-9C2C-AEBFEA104CA8}"/>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90C41AB9-C3BF-41C4-8838-82940B424CBD}"/>
    <cellStyle name="Comma 4 2 2 2 3 2 2 2 3" xfId="24059" xr:uid="{13361D6B-A873-4E2F-BF69-26DFD53B626D}"/>
    <cellStyle name="Comma 4 2 2 2 3 2 2 3" xfId="11394" xr:uid="{99A29529-F85A-413A-9C5C-446183BD42E1}"/>
    <cellStyle name="Comma 4 2 2 2 3 2 2 4" xfId="19842" xr:uid="{9D16C653-05FB-4F5A-9B36-AE22A039C612}"/>
    <cellStyle name="Comma 4 2 2 2 3 2 3" xfId="5017" xr:uid="{00000000-0005-0000-0000-0000D6070000}"/>
    <cellStyle name="Comma 4 2 2 2 3 2 3 2" xfId="13467" xr:uid="{708295AB-FBD2-489A-A1F1-93B17B501A8D}"/>
    <cellStyle name="Comma 4 2 2 2 3 2 3 3" xfId="21914" xr:uid="{667566F2-EFCC-46E0-A12D-791E34A5D952}"/>
    <cellStyle name="Comma 4 2 2 2 3 2 4" xfId="9249" xr:uid="{C2BAF78B-C5F9-40D6-A370-7DB77A72A756}"/>
    <cellStyle name="Comma 4 2 2 2 3 2 5" xfId="17697" xr:uid="{D66C8F20-16E4-4080-810E-6C74F7899A89}"/>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A8274AAF-7731-424A-8C42-0680AEE390C4}"/>
    <cellStyle name="Comma 4 2 2 2 3 3 2 2 3" xfId="24472" xr:uid="{8DFF1A3D-3438-4BB8-9522-B4C16F69B939}"/>
    <cellStyle name="Comma 4 2 2 2 3 3 2 3" xfId="11807" xr:uid="{C1F63FEF-5C99-49B8-8BCF-75060495DD9A}"/>
    <cellStyle name="Comma 4 2 2 2 3 3 2 4" xfId="20255" xr:uid="{07F92C6A-153B-4965-995F-E071880EB997}"/>
    <cellStyle name="Comma 4 2 2 2 3 3 3" xfId="5430" xr:uid="{00000000-0005-0000-0000-0000DA070000}"/>
    <cellStyle name="Comma 4 2 2 2 3 3 3 2" xfId="13880" xr:uid="{B837C285-8534-4FFC-AFF1-C9037408D45D}"/>
    <cellStyle name="Comma 4 2 2 2 3 3 3 3" xfId="22327" xr:uid="{DA57A7F1-43F0-42B1-8942-7A1FC25D08DA}"/>
    <cellStyle name="Comma 4 2 2 2 3 3 4" xfId="9662" xr:uid="{48132EAE-4755-4BFA-9E03-5B36DDB6305B}"/>
    <cellStyle name="Comma 4 2 2 2 3 3 5" xfId="18110" xr:uid="{E0B2DE55-E4D8-4C92-87FE-BC76266C63C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F5DB4319-ED1F-4ED5-87EA-679DECB0FA60}"/>
    <cellStyle name="Comma 4 2 2 2 3 4 2 2 3" xfId="24885" xr:uid="{33DABCD0-2B17-443F-885D-DEC628167407}"/>
    <cellStyle name="Comma 4 2 2 2 3 4 2 3" xfId="12220" xr:uid="{E6F80661-FCFE-4223-B220-63529643FA0D}"/>
    <cellStyle name="Comma 4 2 2 2 3 4 2 4" xfId="20668" xr:uid="{6EA9C068-799D-497B-A498-076E8B6556D4}"/>
    <cellStyle name="Comma 4 2 2 2 3 4 3" xfId="5843" xr:uid="{00000000-0005-0000-0000-0000DE070000}"/>
    <cellStyle name="Comma 4 2 2 2 3 4 3 2" xfId="14293" xr:uid="{AB4F5747-72B6-4151-850A-EEBEE9C76A87}"/>
    <cellStyle name="Comma 4 2 2 2 3 4 3 3" xfId="22740" xr:uid="{6AD32F8B-26A3-441F-A7F2-6CD06E08903E}"/>
    <cellStyle name="Comma 4 2 2 2 3 4 4" xfId="10075" xr:uid="{1A10267D-13A8-4296-8095-9D306D2EB7C2}"/>
    <cellStyle name="Comma 4 2 2 2 3 4 5" xfId="18523" xr:uid="{2357CE9C-AE85-4D44-B1E6-6AE3F50F338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84F7BEB3-01EF-4492-AC81-213918108121}"/>
    <cellStyle name="Comma 4 2 2 2 3 5 2 2 3" xfId="25298" xr:uid="{C183D0FE-C200-4C02-AAF6-C501BFAEFFC2}"/>
    <cellStyle name="Comma 4 2 2 2 3 5 2 3" xfId="12633" xr:uid="{5681D908-8066-456D-B854-D08052ED7053}"/>
    <cellStyle name="Comma 4 2 2 2 3 5 2 4" xfId="21081" xr:uid="{2EE11891-9552-451F-A1A9-2FA9904966F6}"/>
    <cellStyle name="Comma 4 2 2 2 3 5 3" xfId="6256" xr:uid="{00000000-0005-0000-0000-0000E2070000}"/>
    <cellStyle name="Comma 4 2 2 2 3 5 3 2" xfId="14706" xr:uid="{F914A26E-BDEE-4217-8686-6525E9CABEEA}"/>
    <cellStyle name="Comma 4 2 2 2 3 5 3 3" xfId="23153" xr:uid="{DF1A4D4E-5E5D-439B-A97E-E2E28E997461}"/>
    <cellStyle name="Comma 4 2 2 2 3 5 4" xfId="10488" xr:uid="{851C08E8-A8DF-45E0-B7D0-68728DC259B5}"/>
    <cellStyle name="Comma 4 2 2 2 3 5 5" xfId="18936" xr:uid="{A60E6F45-0FB9-49CE-8BDC-C48959C5C1CF}"/>
    <cellStyle name="Comma 4 2 2 2 3 6" xfId="2385" xr:uid="{00000000-0005-0000-0000-0000E3070000}"/>
    <cellStyle name="Comma 4 2 2 2 3 6 2" xfId="6669" xr:uid="{00000000-0005-0000-0000-0000E4070000}"/>
    <cellStyle name="Comma 4 2 2 2 3 6 2 2" xfId="15119" xr:uid="{CB80EE66-4589-4FAC-8A0A-7E451D8587DD}"/>
    <cellStyle name="Comma 4 2 2 2 3 6 2 3" xfId="23566" xr:uid="{669D5689-252F-4C3A-8202-F041CB81EF40}"/>
    <cellStyle name="Comma 4 2 2 2 3 6 3" xfId="10901" xr:uid="{0BD6E25C-3ED7-4EF4-B4DC-485F2627ECCB}"/>
    <cellStyle name="Comma 4 2 2 2 3 6 4" xfId="19349" xr:uid="{201530DE-F888-4413-A129-FECC881B6E13}"/>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C1F59378-4E13-4AD6-A5F5-8117DE322FED}"/>
    <cellStyle name="Comma 4 2 2 2 3 8 2 3" xfId="23883" xr:uid="{02AB5440-F67B-4216-8F17-FF31048B3B82}"/>
    <cellStyle name="Comma 4 2 2 2 3 8 3" xfId="11218" xr:uid="{FE8BD3A9-209B-4F71-861F-F485EEAAC1FE}"/>
    <cellStyle name="Comma 4 2 2 2 3 8 4" xfId="19666" xr:uid="{16C8509B-320A-40CA-BF65-19AE43F3274D}"/>
    <cellStyle name="Comma 4 2 2 2 3 9" xfId="4603" xr:uid="{00000000-0005-0000-0000-0000E8070000}"/>
    <cellStyle name="Comma 4 2 2 2 3 9 2" xfId="13053" xr:uid="{E986922F-8003-45B5-9737-0B799619556A}"/>
    <cellStyle name="Comma 4 2 2 2 3 9 3" xfId="21500" xr:uid="{3FE968EA-E31B-49ED-A2F1-592CEC6522D3}"/>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877BAABE-E03E-4111-BE9C-1F0E0356B8F1}"/>
    <cellStyle name="Comma 4 2 2 2 4 2 2 3" xfId="24056" xr:uid="{D9245697-63D1-46BA-B88B-8E8DDE2824E7}"/>
    <cellStyle name="Comma 4 2 2 2 4 2 3" xfId="11391" xr:uid="{D864A334-EF5B-41AF-847E-887A272D6F12}"/>
    <cellStyle name="Comma 4 2 2 2 4 2 4" xfId="19839" xr:uid="{D487D7F1-4248-4584-BDC2-5FF6F4DADCCB}"/>
    <cellStyle name="Comma 4 2 2 2 4 3" xfId="5014" xr:uid="{00000000-0005-0000-0000-0000EC070000}"/>
    <cellStyle name="Comma 4 2 2 2 4 3 2" xfId="13464" xr:uid="{FDB5C233-1259-449D-9C45-24026FC6B7D0}"/>
    <cellStyle name="Comma 4 2 2 2 4 3 3" xfId="21911" xr:uid="{86669912-CFD9-4559-B7C6-000E5CA6E84E}"/>
    <cellStyle name="Comma 4 2 2 2 4 4" xfId="9246" xr:uid="{D8E5E377-3929-4030-A794-F737843094B8}"/>
    <cellStyle name="Comma 4 2 2 2 4 5" xfId="17694" xr:uid="{B03D290B-DC57-42B1-9BE9-396A98CC5D13}"/>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AD7C2839-C78A-4B45-84E5-2BDAD8E02441}"/>
    <cellStyle name="Comma 4 2 2 2 5 2 2 3" xfId="24469" xr:uid="{B184DA09-E2A7-4F58-AE23-262DDF7AA678}"/>
    <cellStyle name="Comma 4 2 2 2 5 2 3" xfId="11804" xr:uid="{E8A8BD16-F288-4936-9D17-26744D884807}"/>
    <cellStyle name="Comma 4 2 2 2 5 2 4" xfId="20252" xr:uid="{83627D4F-D6C1-4125-9318-28CEE323A14E}"/>
    <cellStyle name="Comma 4 2 2 2 5 3" xfId="5427" xr:uid="{00000000-0005-0000-0000-0000F0070000}"/>
    <cellStyle name="Comma 4 2 2 2 5 3 2" xfId="13877" xr:uid="{7737918B-B7AD-420C-81BF-B2BD0FEBEC30}"/>
    <cellStyle name="Comma 4 2 2 2 5 3 3" xfId="22324" xr:uid="{1DE21E42-A088-483D-9784-E505DB0F2B65}"/>
    <cellStyle name="Comma 4 2 2 2 5 4" xfId="9659" xr:uid="{F4995304-6A2E-4865-A3FB-E43ED2AC57F1}"/>
    <cellStyle name="Comma 4 2 2 2 5 5" xfId="18107" xr:uid="{4A4BC374-850D-4204-A861-0E7A7649CE76}"/>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560D1D2F-A555-4996-91DA-EC99FAAF3578}"/>
    <cellStyle name="Comma 4 2 2 2 6 2 2 3" xfId="24882" xr:uid="{78AA0B9F-BC04-41AD-AC34-061F91DAAB4F}"/>
    <cellStyle name="Comma 4 2 2 2 6 2 3" xfId="12217" xr:uid="{4EFF042F-96B2-4A9E-B05E-819B3A4462AC}"/>
    <cellStyle name="Comma 4 2 2 2 6 2 4" xfId="20665" xr:uid="{35A93944-DCAF-4528-8082-CAAE96CEE64C}"/>
    <cellStyle name="Comma 4 2 2 2 6 3" xfId="5840" xr:uid="{00000000-0005-0000-0000-0000F4070000}"/>
    <cellStyle name="Comma 4 2 2 2 6 3 2" xfId="14290" xr:uid="{9C5A1138-BDB0-46A5-8927-26FD71A0DD13}"/>
    <cellStyle name="Comma 4 2 2 2 6 3 3" xfId="22737" xr:uid="{F6D00446-CC3C-41B3-89A4-68A0EA7A7917}"/>
    <cellStyle name="Comma 4 2 2 2 6 4" xfId="10072" xr:uid="{2C0BBBCB-BAF7-488C-9E39-2604F26278E1}"/>
    <cellStyle name="Comma 4 2 2 2 6 5" xfId="18520" xr:uid="{F8DBF6D8-126D-438A-B650-97F0C49DA8F1}"/>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32581927-C400-48BD-8402-78ECC26F8DCA}"/>
    <cellStyle name="Comma 4 2 2 2 7 2 2 3" xfId="25295" xr:uid="{E2A3A562-B20D-4CE3-8F8A-14563DD6E7B8}"/>
    <cellStyle name="Comma 4 2 2 2 7 2 3" xfId="12630" xr:uid="{68F10E89-5766-4615-94AD-BB294DC91D08}"/>
    <cellStyle name="Comma 4 2 2 2 7 2 4" xfId="21078" xr:uid="{F535FFA7-CFC1-4A37-9319-13E0DD0DA7DB}"/>
    <cellStyle name="Comma 4 2 2 2 7 3" xfId="6253" xr:uid="{00000000-0005-0000-0000-0000F8070000}"/>
    <cellStyle name="Comma 4 2 2 2 7 3 2" xfId="14703" xr:uid="{11BF8160-49CA-4F3C-A427-882632B13F23}"/>
    <cellStyle name="Comma 4 2 2 2 7 3 3" xfId="23150" xr:uid="{3276CFC0-C759-486C-81DC-9872D11F29EE}"/>
    <cellStyle name="Comma 4 2 2 2 7 4" xfId="10485" xr:uid="{14DC7FA8-5E2D-4836-95A9-4C26358DFA9F}"/>
    <cellStyle name="Comma 4 2 2 2 7 5" xfId="18933" xr:uid="{E63AFF43-CC23-4E4B-9042-94875B616B25}"/>
    <cellStyle name="Comma 4 2 2 2 8" xfId="2382" xr:uid="{00000000-0005-0000-0000-0000F9070000}"/>
    <cellStyle name="Comma 4 2 2 2 8 2" xfId="6666" xr:uid="{00000000-0005-0000-0000-0000FA070000}"/>
    <cellStyle name="Comma 4 2 2 2 8 2 2" xfId="15116" xr:uid="{482D831B-CDBB-4BAC-8083-F87C1CE4CB4D}"/>
    <cellStyle name="Comma 4 2 2 2 8 2 3" xfId="23563" xr:uid="{2D3222D7-5FD6-48C4-BD98-819428B8ECDF}"/>
    <cellStyle name="Comma 4 2 2 2 8 3" xfId="10898" xr:uid="{DD1C8299-91A0-403B-82E7-28C13036195D}"/>
    <cellStyle name="Comma 4 2 2 2 8 4" xfId="19346" xr:uid="{642108E3-1243-4033-B635-EE23FDDE2032}"/>
    <cellStyle name="Comma 4 2 2 2 9" xfId="2381" xr:uid="{00000000-0005-0000-0000-0000FB070000}"/>
    <cellStyle name="Comma 4 2 2 3" xfId="132" xr:uid="{00000000-0005-0000-0000-0000FC070000}"/>
    <cellStyle name="Comma 4 2 2 3 10" xfId="4604" xr:uid="{00000000-0005-0000-0000-0000FD070000}"/>
    <cellStyle name="Comma 4 2 2 3 10 2" xfId="13054" xr:uid="{76A380F2-526B-47C4-8EBD-FC200DB256E0}"/>
    <cellStyle name="Comma 4 2 2 3 10 3" xfId="21501" xr:uid="{051BD3F2-CAC8-48D2-9002-6FF55ED3E33D}"/>
    <cellStyle name="Comma 4 2 2 3 11" xfId="8836" xr:uid="{EC5FC8B3-EA89-4C12-8E5D-E6085D436AC3}"/>
    <cellStyle name="Comma 4 2 2 3 12" xfId="17284" xr:uid="{54458EEC-9146-4F9D-BABD-170AA3DD990B}"/>
    <cellStyle name="Comma 4 2 2 3 2" xfId="133" xr:uid="{00000000-0005-0000-0000-0000FE070000}"/>
    <cellStyle name="Comma 4 2 2 3 2 10" xfId="8837" xr:uid="{E72FA968-41AD-48BA-86E0-6D46D6A081C4}"/>
    <cellStyle name="Comma 4 2 2 3 2 11" xfId="17285" xr:uid="{C07C31A8-DC2C-45AB-9713-B03ED4A08816}"/>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FF6A79AE-3939-41F9-B2DB-BA7BD28830E5}"/>
    <cellStyle name="Comma 4 2 2 3 2 2 2 2 3" xfId="24061" xr:uid="{A8E674E1-5C46-4EBA-88F7-37BB25A20C68}"/>
    <cellStyle name="Comma 4 2 2 3 2 2 2 3" xfId="11396" xr:uid="{4F899AF2-1326-4326-B1FC-1E4691AC1BA3}"/>
    <cellStyle name="Comma 4 2 2 3 2 2 2 4" xfId="19844" xr:uid="{8D60FF32-C4DF-4E3B-8BBF-5C1EC0921E7F}"/>
    <cellStyle name="Comma 4 2 2 3 2 2 3" xfId="5019" xr:uid="{00000000-0005-0000-0000-000002080000}"/>
    <cellStyle name="Comma 4 2 2 3 2 2 3 2" xfId="13469" xr:uid="{9A5D1CA9-BA92-41C1-9790-6D70B3AE358E}"/>
    <cellStyle name="Comma 4 2 2 3 2 2 3 3" xfId="21916" xr:uid="{15759D41-D403-49AA-851F-608B58B0D5E4}"/>
    <cellStyle name="Comma 4 2 2 3 2 2 4" xfId="9251" xr:uid="{B7A0C9F0-263B-4184-AA48-6AFF11921CA3}"/>
    <cellStyle name="Comma 4 2 2 3 2 2 5" xfId="17699" xr:uid="{F45DC56B-200D-4B5A-87D5-FD64E96C4B2C}"/>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A5A6894E-C612-4CC3-9144-A01BB9AD2C22}"/>
    <cellStyle name="Comma 4 2 2 3 2 3 2 2 3" xfId="24474" xr:uid="{A4CF15E1-AE99-488B-9CEA-EEB39CE557BA}"/>
    <cellStyle name="Comma 4 2 2 3 2 3 2 3" xfId="11809" xr:uid="{4114634E-02F2-4CD2-8EAD-36816956B418}"/>
    <cellStyle name="Comma 4 2 2 3 2 3 2 4" xfId="20257" xr:uid="{31E8B6AE-14EC-46EA-963F-E7F1F9FD8828}"/>
    <cellStyle name="Comma 4 2 2 3 2 3 3" xfId="5432" xr:uid="{00000000-0005-0000-0000-000006080000}"/>
    <cellStyle name="Comma 4 2 2 3 2 3 3 2" xfId="13882" xr:uid="{91B273DF-A87C-4AF5-8DED-4C06D9E35390}"/>
    <cellStyle name="Comma 4 2 2 3 2 3 3 3" xfId="22329" xr:uid="{86D4B43D-4B91-472A-9C51-35C31FB7BDC1}"/>
    <cellStyle name="Comma 4 2 2 3 2 3 4" xfId="9664" xr:uid="{CD7D3435-47C9-434C-B385-B79FB7FF030F}"/>
    <cellStyle name="Comma 4 2 2 3 2 3 5" xfId="18112" xr:uid="{972200D3-84F2-43AF-8145-005753FBAB78}"/>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F5DFCEAA-3BBA-4E53-89BE-7FA7DA085E12}"/>
    <cellStyle name="Comma 4 2 2 3 2 4 2 2 3" xfId="24887" xr:uid="{DBFBA5C5-0BC3-4AB7-93A6-B238241B2CF9}"/>
    <cellStyle name="Comma 4 2 2 3 2 4 2 3" xfId="12222" xr:uid="{0D5A008D-2E95-4AE5-B662-83879E963731}"/>
    <cellStyle name="Comma 4 2 2 3 2 4 2 4" xfId="20670" xr:uid="{844B92A4-5F09-41F3-A741-6DA070353F65}"/>
    <cellStyle name="Comma 4 2 2 3 2 4 3" xfId="5845" xr:uid="{00000000-0005-0000-0000-00000A080000}"/>
    <cellStyle name="Comma 4 2 2 3 2 4 3 2" xfId="14295" xr:uid="{7B830369-9A64-4B88-9979-571B3E0544A6}"/>
    <cellStyle name="Comma 4 2 2 3 2 4 3 3" xfId="22742" xr:uid="{AB0A8E9B-22FF-4751-82C3-F303DDDFCB24}"/>
    <cellStyle name="Comma 4 2 2 3 2 4 4" xfId="10077" xr:uid="{5B6CBE57-3777-4160-BA08-1EB7FFF38ABD}"/>
    <cellStyle name="Comma 4 2 2 3 2 4 5" xfId="18525" xr:uid="{6A09B7F3-025A-4600-9F7A-9000D8792303}"/>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29D204E0-4CC7-4F65-8132-84AF744E51C1}"/>
    <cellStyle name="Comma 4 2 2 3 2 5 2 2 3" xfId="25300" xr:uid="{B34D92B6-26F1-4DCF-A63C-8DBB46B777BF}"/>
    <cellStyle name="Comma 4 2 2 3 2 5 2 3" xfId="12635" xr:uid="{19DBC7EF-8EB2-43E6-8E46-27B0C0F8BBA0}"/>
    <cellStyle name="Comma 4 2 2 3 2 5 2 4" xfId="21083" xr:uid="{6B494D81-4D2B-47B6-A2AE-00599C013726}"/>
    <cellStyle name="Comma 4 2 2 3 2 5 3" xfId="6258" xr:uid="{00000000-0005-0000-0000-00000E080000}"/>
    <cellStyle name="Comma 4 2 2 3 2 5 3 2" xfId="14708" xr:uid="{255ACB15-274B-4CDE-8D5E-E3DFF11568BF}"/>
    <cellStyle name="Comma 4 2 2 3 2 5 3 3" xfId="23155" xr:uid="{7090272D-EAFC-400B-899F-2050C5395749}"/>
    <cellStyle name="Comma 4 2 2 3 2 5 4" xfId="10490" xr:uid="{2936D769-59BD-4DEE-8787-9E63D4B37108}"/>
    <cellStyle name="Comma 4 2 2 3 2 5 5" xfId="18938" xr:uid="{00BDDAE2-7FAA-4810-86B2-E9BD0FA90CA8}"/>
    <cellStyle name="Comma 4 2 2 3 2 6" xfId="2387" xr:uid="{00000000-0005-0000-0000-00000F080000}"/>
    <cellStyle name="Comma 4 2 2 3 2 6 2" xfId="6671" xr:uid="{00000000-0005-0000-0000-000010080000}"/>
    <cellStyle name="Comma 4 2 2 3 2 6 2 2" xfId="15121" xr:uid="{9D99193E-2C22-44BB-B5A5-926AF9731BCE}"/>
    <cellStyle name="Comma 4 2 2 3 2 6 2 3" xfId="23568" xr:uid="{91EDD8F0-59E5-4512-B23B-B4A65D136502}"/>
    <cellStyle name="Comma 4 2 2 3 2 6 3" xfId="10903" xr:uid="{5BDC1BD3-EC7F-441B-A500-AA6F596C83C7}"/>
    <cellStyle name="Comma 4 2 2 3 2 6 4" xfId="19351" xr:uid="{D256FF53-50B3-4081-8110-F4FF4458979E}"/>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D1DE29E2-3715-4091-9F52-7D3AF5C4B6E2}"/>
    <cellStyle name="Comma 4 2 2 3 2 8 2 3" xfId="23885" xr:uid="{4E1E80D4-F405-4EA7-9315-F07329E76EAE}"/>
    <cellStyle name="Comma 4 2 2 3 2 8 3" xfId="11220" xr:uid="{65CF8F32-12D5-4FD3-8402-42C423A6ECDC}"/>
    <cellStyle name="Comma 4 2 2 3 2 8 4" xfId="19668" xr:uid="{56D885BA-09F4-47A1-AE72-93FE9068B18E}"/>
    <cellStyle name="Comma 4 2 2 3 2 9" xfId="4605" xr:uid="{00000000-0005-0000-0000-000014080000}"/>
    <cellStyle name="Comma 4 2 2 3 2 9 2" xfId="13055" xr:uid="{0754EA18-C224-4C8A-A30C-CB553C3F4E3C}"/>
    <cellStyle name="Comma 4 2 2 3 2 9 3" xfId="21502" xr:uid="{99B070C5-6CB8-4E9D-9322-063B33EC5379}"/>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8211679B-48C2-474E-818C-EE30CE9FBA64}"/>
    <cellStyle name="Comma 4 2 2 3 3 2 2 3" xfId="24060" xr:uid="{FE57FB27-9C2C-42A9-AEDA-EC1D4F65D75E}"/>
    <cellStyle name="Comma 4 2 2 3 3 2 3" xfId="11395" xr:uid="{8BA4F989-3C17-42C9-8F0B-969A88AB762D}"/>
    <cellStyle name="Comma 4 2 2 3 3 2 4" xfId="19843" xr:uid="{F613789E-9AE7-40AB-8CA5-6784B85C7BD9}"/>
    <cellStyle name="Comma 4 2 2 3 3 3" xfId="5018" xr:uid="{00000000-0005-0000-0000-000018080000}"/>
    <cellStyle name="Comma 4 2 2 3 3 3 2" xfId="13468" xr:uid="{1FB6CF52-F9DA-4AD7-BB4E-6FECA216302C}"/>
    <cellStyle name="Comma 4 2 2 3 3 3 3" xfId="21915" xr:uid="{EF1007BB-3D62-45C6-AEDC-AFC2810217BD}"/>
    <cellStyle name="Comma 4 2 2 3 3 4" xfId="9250" xr:uid="{930EFA95-F28F-4A60-AA27-73A0B162F593}"/>
    <cellStyle name="Comma 4 2 2 3 3 5" xfId="17698" xr:uid="{9A4CC0C2-BBFB-45F9-A6B9-3A1BC5754D97}"/>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8CDB9E8E-6776-4605-8B2C-412FFC38F727}"/>
    <cellStyle name="Comma 4 2 2 3 4 2 2 3" xfId="24473" xr:uid="{660B0792-C242-4453-B72E-9BB8124D89EC}"/>
    <cellStyle name="Comma 4 2 2 3 4 2 3" xfId="11808" xr:uid="{DBC506E3-5BB0-4D65-A0C6-369750F08229}"/>
    <cellStyle name="Comma 4 2 2 3 4 2 4" xfId="20256" xr:uid="{69638343-B3B4-405A-B5F0-6CC6E47927C9}"/>
    <cellStyle name="Comma 4 2 2 3 4 3" xfId="5431" xr:uid="{00000000-0005-0000-0000-00001C080000}"/>
    <cellStyle name="Comma 4 2 2 3 4 3 2" xfId="13881" xr:uid="{1D0E40D3-3184-4BB6-8B16-966C2276BC8A}"/>
    <cellStyle name="Comma 4 2 2 3 4 3 3" xfId="22328" xr:uid="{F6BB3D87-D870-4853-AB8F-9101B97E769B}"/>
    <cellStyle name="Comma 4 2 2 3 4 4" xfId="9663" xr:uid="{19E64BE3-5B81-469E-B996-8397DD1F41D3}"/>
    <cellStyle name="Comma 4 2 2 3 4 5" xfId="18111" xr:uid="{C91C52E6-0B92-4E44-83BE-3D9CC094456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106CA36E-2B33-422B-8BE7-20AC7B9C3222}"/>
    <cellStyle name="Comma 4 2 2 3 5 2 2 3" xfId="24886" xr:uid="{7C5A8B8D-EACC-4D25-AD05-E96A4A2F1485}"/>
    <cellStyle name="Comma 4 2 2 3 5 2 3" xfId="12221" xr:uid="{76C90F1F-3DB5-420E-9B68-668897B1C03C}"/>
    <cellStyle name="Comma 4 2 2 3 5 2 4" xfId="20669" xr:uid="{885F23B9-5C27-4068-96FC-7EC889FC501A}"/>
    <cellStyle name="Comma 4 2 2 3 5 3" xfId="5844" xr:uid="{00000000-0005-0000-0000-000020080000}"/>
    <cellStyle name="Comma 4 2 2 3 5 3 2" xfId="14294" xr:uid="{24E6552A-4D01-4744-B079-D2CCEB3B057F}"/>
    <cellStyle name="Comma 4 2 2 3 5 3 3" xfId="22741" xr:uid="{C2102432-A8E0-430A-8D52-1FDBE69DD167}"/>
    <cellStyle name="Comma 4 2 2 3 5 4" xfId="10076" xr:uid="{9C68C9BC-38AE-4B90-A43B-1230C5D0E282}"/>
    <cellStyle name="Comma 4 2 2 3 5 5" xfId="18524" xr:uid="{A20AAE83-5108-4708-B6AF-9450EA7B34B8}"/>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DF333131-F6B2-4770-A472-A3CC88FBC1BD}"/>
    <cellStyle name="Comma 4 2 2 3 6 2 2 3" xfId="25299" xr:uid="{659A50AB-E216-43FE-8480-1AE7D348E3AF}"/>
    <cellStyle name="Comma 4 2 2 3 6 2 3" xfId="12634" xr:uid="{B22CD669-D29F-42FC-B2E7-C8F8A617A29D}"/>
    <cellStyle name="Comma 4 2 2 3 6 2 4" xfId="21082" xr:uid="{A65D05A9-4DA2-4009-953D-983056889C35}"/>
    <cellStyle name="Comma 4 2 2 3 6 3" xfId="6257" xr:uid="{00000000-0005-0000-0000-000024080000}"/>
    <cellStyle name="Comma 4 2 2 3 6 3 2" xfId="14707" xr:uid="{BAF87BA3-4398-4008-8F28-1702EADC0702}"/>
    <cellStyle name="Comma 4 2 2 3 6 3 3" xfId="23154" xr:uid="{6DE3FAF3-AE04-415F-8717-B857F33882F8}"/>
    <cellStyle name="Comma 4 2 2 3 6 4" xfId="10489" xr:uid="{E82E1E2B-EF83-42C9-BCE2-B4CB0F45E5DC}"/>
    <cellStyle name="Comma 4 2 2 3 6 5" xfId="18937" xr:uid="{8EE305F2-52F3-4FD5-B3CA-61194E82921B}"/>
    <cellStyle name="Comma 4 2 2 3 7" xfId="2386" xr:uid="{00000000-0005-0000-0000-000025080000}"/>
    <cellStyle name="Comma 4 2 2 3 7 2" xfId="6670" xr:uid="{00000000-0005-0000-0000-000026080000}"/>
    <cellStyle name="Comma 4 2 2 3 7 2 2" xfId="15120" xr:uid="{7DC13F39-9E67-4AC8-B3AB-D6C96CAA7DB5}"/>
    <cellStyle name="Comma 4 2 2 3 7 2 3" xfId="23567" xr:uid="{B7B4753D-4191-4927-A1A0-91B086A02ABA}"/>
    <cellStyle name="Comma 4 2 2 3 7 3" xfId="10902" xr:uid="{CC6F9453-1230-4ED6-B058-917B4848EF9A}"/>
    <cellStyle name="Comma 4 2 2 3 7 4" xfId="19350" xr:uid="{4F05BD86-77D2-45A9-B8BD-536C066D1963}"/>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655DD164-A983-4DBF-9BC9-3471F3A2425C}"/>
    <cellStyle name="Comma 4 2 2 3 9 2 3" xfId="23884" xr:uid="{6482F55B-9908-4A15-A469-F54B4C979D94}"/>
    <cellStyle name="Comma 4 2 2 3 9 3" xfId="11219" xr:uid="{E6DCAD43-87AF-4CF6-B4A7-F05D3B8F2D4A}"/>
    <cellStyle name="Comma 4 2 2 3 9 4" xfId="19667" xr:uid="{D2A3DC1C-C1E9-4D07-9F19-9433E62B915D}"/>
    <cellStyle name="Comma 4 2 2 4" xfId="134" xr:uid="{00000000-0005-0000-0000-00002A080000}"/>
    <cellStyle name="Comma 4 2 2 4 10" xfId="8838" xr:uid="{48427A91-8DEC-486D-9F9B-B11A8152C29D}"/>
    <cellStyle name="Comma 4 2 2 4 11" xfId="17286" xr:uid="{763A9041-5758-4444-ADC7-595B936195BE}"/>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3968B73E-C6A3-45BE-A170-7961061542E5}"/>
    <cellStyle name="Comma 4 2 2 4 2 2 2 3" xfId="24062" xr:uid="{D4969BBF-CA8E-4C4B-A83F-417F774ED98B}"/>
    <cellStyle name="Comma 4 2 2 4 2 2 3" xfId="11397" xr:uid="{BF7A7AA8-CB19-4853-97F8-ADC1B389DE56}"/>
    <cellStyle name="Comma 4 2 2 4 2 2 4" xfId="19845" xr:uid="{60417C26-38F9-463A-B268-5FBB4EA4C4CA}"/>
    <cellStyle name="Comma 4 2 2 4 2 3" xfId="5020" xr:uid="{00000000-0005-0000-0000-00002E080000}"/>
    <cellStyle name="Comma 4 2 2 4 2 3 2" xfId="13470" xr:uid="{0ADA1138-E0C6-4B2F-A675-E8A357B886B3}"/>
    <cellStyle name="Comma 4 2 2 4 2 3 3" xfId="21917" xr:uid="{4A10637B-A301-4278-985A-D357F09B8E11}"/>
    <cellStyle name="Comma 4 2 2 4 2 4" xfId="9252" xr:uid="{B42D4694-1A08-47C0-8D8A-905045C791B7}"/>
    <cellStyle name="Comma 4 2 2 4 2 5" xfId="17700" xr:uid="{A8DED539-01B3-4380-8EAD-44984F03CE38}"/>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C3F6A701-F015-4407-8AEB-CC4954BFD583}"/>
    <cellStyle name="Comma 4 2 2 4 3 2 2 3" xfId="24475" xr:uid="{91002396-BB96-4153-A172-4068A029DAC9}"/>
    <cellStyle name="Comma 4 2 2 4 3 2 3" xfId="11810" xr:uid="{18E07B7D-ED6E-4E82-AD61-0CD88C8B5965}"/>
    <cellStyle name="Comma 4 2 2 4 3 2 4" xfId="20258" xr:uid="{052FEE05-5036-4A98-B878-FD064D28CFFF}"/>
    <cellStyle name="Comma 4 2 2 4 3 3" xfId="5433" xr:uid="{00000000-0005-0000-0000-000032080000}"/>
    <cellStyle name="Comma 4 2 2 4 3 3 2" xfId="13883" xr:uid="{F013FC91-4C44-447A-9F9D-B27B8C63F76B}"/>
    <cellStyle name="Comma 4 2 2 4 3 3 3" xfId="22330" xr:uid="{512AE5A1-02FE-4B72-853C-F70D64BC10B0}"/>
    <cellStyle name="Comma 4 2 2 4 3 4" xfId="9665" xr:uid="{1499F72D-B855-4A55-9756-D88A92512EDE}"/>
    <cellStyle name="Comma 4 2 2 4 3 5" xfId="18113" xr:uid="{BCC33273-43BE-4DCE-8369-13370C44817E}"/>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CA8141E9-1B2A-4CAC-8389-882C1BD20E3A}"/>
    <cellStyle name="Comma 4 2 2 4 4 2 2 3" xfId="24888" xr:uid="{553FCAA8-E6AA-43C8-A8D1-EAFF12273F99}"/>
    <cellStyle name="Comma 4 2 2 4 4 2 3" xfId="12223" xr:uid="{E2C2CF49-DAFF-4948-AC67-A61814927C93}"/>
    <cellStyle name="Comma 4 2 2 4 4 2 4" xfId="20671" xr:uid="{3ECE5D55-07CA-48BB-A8C6-5A6C901CDCC8}"/>
    <cellStyle name="Comma 4 2 2 4 4 3" xfId="5846" xr:uid="{00000000-0005-0000-0000-000036080000}"/>
    <cellStyle name="Comma 4 2 2 4 4 3 2" xfId="14296" xr:uid="{05B5CCF0-8D50-49C3-8FFE-1F75AF778A62}"/>
    <cellStyle name="Comma 4 2 2 4 4 3 3" xfId="22743" xr:uid="{8EF69150-4210-4703-9912-ABF8561A741B}"/>
    <cellStyle name="Comma 4 2 2 4 4 4" xfId="10078" xr:uid="{714D0F8D-F6EF-4ECD-A4AF-E39108AC528B}"/>
    <cellStyle name="Comma 4 2 2 4 4 5" xfId="18526" xr:uid="{50B64660-30CB-4E48-9537-51B81F87CB89}"/>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0D1F1BF9-0857-4212-9DD3-E85813F8506D}"/>
    <cellStyle name="Comma 4 2 2 4 5 2 2 3" xfId="25301" xr:uid="{4F4044BC-BE45-4F90-A24E-F5B995841FA5}"/>
    <cellStyle name="Comma 4 2 2 4 5 2 3" xfId="12636" xr:uid="{D9530A8D-529C-41E3-B13E-44DF9E92128C}"/>
    <cellStyle name="Comma 4 2 2 4 5 2 4" xfId="21084" xr:uid="{62343226-FD65-425B-A31E-55B90AAFF874}"/>
    <cellStyle name="Comma 4 2 2 4 5 3" xfId="6259" xr:uid="{00000000-0005-0000-0000-00003A080000}"/>
    <cellStyle name="Comma 4 2 2 4 5 3 2" xfId="14709" xr:uid="{AC368DC3-8A01-4F08-8953-264B26413EFB}"/>
    <cellStyle name="Comma 4 2 2 4 5 3 3" xfId="23156" xr:uid="{D6F5EBA6-8C49-47AB-840B-01321239BBAD}"/>
    <cellStyle name="Comma 4 2 2 4 5 4" xfId="10491" xr:uid="{C6E18D34-DFE0-4631-91A1-EFCC307F5D14}"/>
    <cellStyle name="Comma 4 2 2 4 5 5" xfId="18939" xr:uid="{02156F54-996D-4DFD-8345-2917974B83FC}"/>
    <cellStyle name="Comma 4 2 2 4 6" xfId="2388" xr:uid="{00000000-0005-0000-0000-00003B080000}"/>
    <cellStyle name="Comma 4 2 2 4 6 2" xfId="6672" xr:uid="{00000000-0005-0000-0000-00003C080000}"/>
    <cellStyle name="Comma 4 2 2 4 6 2 2" xfId="15122" xr:uid="{026232FB-DF1B-48DC-B4C7-2FAA501AEF62}"/>
    <cellStyle name="Comma 4 2 2 4 6 2 3" xfId="23569" xr:uid="{7537DF8D-50AB-4AA8-8BF3-1B289F0EE36F}"/>
    <cellStyle name="Comma 4 2 2 4 6 3" xfId="10904" xr:uid="{E7AF73C2-A06C-4FFA-B314-F4A07702EEB8}"/>
    <cellStyle name="Comma 4 2 2 4 6 4" xfId="19352" xr:uid="{5BA84C44-FC87-43C9-9C06-99424AF4610D}"/>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ECBBC010-30BB-4A56-949B-BFC6E713F9DE}"/>
    <cellStyle name="Comma 4 2 2 4 8 2 3" xfId="23886" xr:uid="{4A8F96AB-1A9D-456D-97BC-4B1294B8A887}"/>
    <cellStyle name="Comma 4 2 2 4 8 3" xfId="11221" xr:uid="{2392E41D-4BBE-4748-9392-CE7F3AE37E6B}"/>
    <cellStyle name="Comma 4 2 2 4 8 4" xfId="19669" xr:uid="{EF85AF02-4FE3-4390-967A-50B917862315}"/>
    <cellStyle name="Comma 4 2 2 4 9" xfId="4606" xr:uid="{00000000-0005-0000-0000-000040080000}"/>
    <cellStyle name="Comma 4 2 2 4 9 2" xfId="13056" xr:uid="{47541BDF-5EAD-4E23-B91E-F65E33647A0B}"/>
    <cellStyle name="Comma 4 2 2 4 9 3" xfId="21503" xr:uid="{8528DD13-7837-4B46-B2B3-BAF13BCFCC04}"/>
    <cellStyle name="Comma 4 2 2 5" xfId="135" xr:uid="{00000000-0005-0000-0000-000041080000}"/>
    <cellStyle name="Comma 4 2 2 5 10" xfId="8839" xr:uid="{65BE7966-4276-423E-9397-F31B335CB342}"/>
    <cellStyle name="Comma 4 2 2 5 11" xfId="17287" xr:uid="{1ADE19C4-2B90-4CAD-A1E5-BE44C87B236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F3E1BCFA-FDE5-4ABA-ACA9-B7FAAB178513}"/>
    <cellStyle name="Comma 4 2 2 5 2 2 2 3" xfId="24063" xr:uid="{467F94F5-07E6-44E1-A043-FE08F4453DF1}"/>
    <cellStyle name="Comma 4 2 2 5 2 2 3" xfId="11398" xr:uid="{0A7CBB05-2932-4A2A-9FF3-7A44A1091682}"/>
    <cellStyle name="Comma 4 2 2 5 2 2 4" xfId="19846" xr:uid="{2683336F-5C6D-45A3-9C7B-E33B100BA5AA}"/>
    <cellStyle name="Comma 4 2 2 5 2 3" xfId="5021" xr:uid="{00000000-0005-0000-0000-000045080000}"/>
    <cellStyle name="Comma 4 2 2 5 2 3 2" xfId="13471" xr:uid="{F4DA39DF-6698-42FF-91F3-A355C87DB70E}"/>
    <cellStyle name="Comma 4 2 2 5 2 3 3" xfId="21918" xr:uid="{0EC929DB-CD5C-4EAD-8EC5-063A04B07CC5}"/>
    <cellStyle name="Comma 4 2 2 5 2 4" xfId="9253" xr:uid="{7E0802CC-62E9-478C-8DDB-10E39D60A516}"/>
    <cellStyle name="Comma 4 2 2 5 2 5" xfId="17701" xr:uid="{C05CFCDF-AAD7-4B14-84CC-56B9AB8CB7A8}"/>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BA282E61-8A9D-45AF-9B35-3E3E63B80FF4}"/>
    <cellStyle name="Comma 4 2 2 5 3 2 2 3" xfId="24476" xr:uid="{4D04BB50-58BA-4F5B-A580-496DEE2D4E80}"/>
    <cellStyle name="Comma 4 2 2 5 3 2 3" xfId="11811" xr:uid="{63F504D6-C2F9-4B96-97A1-86BD7CDEDC23}"/>
    <cellStyle name="Comma 4 2 2 5 3 2 4" xfId="20259" xr:uid="{C8BBEE6B-DB33-4724-B191-1578ED704B41}"/>
    <cellStyle name="Comma 4 2 2 5 3 3" xfId="5434" xr:uid="{00000000-0005-0000-0000-000049080000}"/>
    <cellStyle name="Comma 4 2 2 5 3 3 2" xfId="13884" xr:uid="{3C45409E-B2ED-4EFB-B80C-8EDD843C733C}"/>
    <cellStyle name="Comma 4 2 2 5 3 3 3" xfId="22331" xr:uid="{B9D6BBDA-9C36-4F41-8612-11380E4A32D1}"/>
    <cellStyle name="Comma 4 2 2 5 3 4" xfId="9666" xr:uid="{6C238DF9-04B1-474F-9FC0-025C54E582A8}"/>
    <cellStyle name="Comma 4 2 2 5 3 5" xfId="18114" xr:uid="{3D0F83D8-9577-43C4-939E-3A2200CE4A3A}"/>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4B324D84-751B-4A88-A992-866DC2598476}"/>
    <cellStyle name="Comma 4 2 2 5 4 2 2 3" xfId="24889" xr:uid="{49E2FB9E-D7AE-4664-85B0-B1F7EEB0DCF4}"/>
    <cellStyle name="Comma 4 2 2 5 4 2 3" xfId="12224" xr:uid="{F106E98C-0F36-4F13-8B3B-2402C9440CF4}"/>
    <cellStyle name="Comma 4 2 2 5 4 2 4" xfId="20672" xr:uid="{AED79E95-76C8-45B3-B889-D3D2A1F5C899}"/>
    <cellStyle name="Comma 4 2 2 5 4 3" xfId="5847" xr:uid="{00000000-0005-0000-0000-00004D080000}"/>
    <cellStyle name="Comma 4 2 2 5 4 3 2" xfId="14297" xr:uid="{3B966FA5-DFEE-4CE0-92DD-80F686A21E75}"/>
    <cellStyle name="Comma 4 2 2 5 4 3 3" xfId="22744" xr:uid="{4D49206E-DACA-466F-987C-CA3413BA868C}"/>
    <cellStyle name="Comma 4 2 2 5 4 4" xfId="10079" xr:uid="{BC692F27-1723-48F3-9D0A-7C5210B8C94E}"/>
    <cellStyle name="Comma 4 2 2 5 4 5" xfId="18527" xr:uid="{C2B2EBF4-206D-4F56-966D-2669BAA1CDC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CB8BE302-751F-4253-9E21-EEACAF0CB1AB}"/>
    <cellStyle name="Comma 4 2 2 5 5 2 2 3" xfId="25302" xr:uid="{0CF9D57C-A721-478A-8ED4-E89A0ACAAD36}"/>
    <cellStyle name="Comma 4 2 2 5 5 2 3" xfId="12637" xr:uid="{2D60D52B-D746-44BE-AFFC-5B1FA2F1FAA5}"/>
    <cellStyle name="Comma 4 2 2 5 5 2 4" xfId="21085" xr:uid="{ECD40FE6-205B-4CBE-89BE-0E540C6D429F}"/>
    <cellStyle name="Comma 4 2 2 5 5 3" xfId="6260" xr:uid="{00000000-0005-0000-0000-000051080000}"/>
    <cellStyle name="Comma 4 2 2 5 5 3 2" xfId="14710" xr:uid="{4A0C0ED3-EA1C-4241-BEB7-303B4909A43F}"/>
    <cellStyle name="Comma 4 2 2 5 5 3 3" xfId="23157" xr:uid="{ADC39471-25C8-4808-BAD9-73948774F3DA}"/>
    <cellStyle name="Comma 4 2 2 5 5 4" xfId="10492" xr:uid="{ED5A550C-7A51-4B40-9546-DF8D18FA33F9}"/>
    <cellStyle name="Comma 4 2 2 5 5 5" xfId="18940" xr:uid="{90A66917-8D75-4E5C-B14A-844F78785FDF}"/>
    <cellStyle name="Comma 4 2 2 5 6" xfId="2389" xr:uid="{00000000-0005-0000-0000-000052080000}"/>
    <cellStyle name="Comma 4 2 2 5 6 2" xfId="6673" xr:uid="{00000000-0005-0000-0000-000053080000}"/>
    <cellStyle name="Comma 4 2 2 5 6 2 2" xfId="15123" xr:uid="{B81EEF37-ACB3-431E-B986-ADBCEF163CDA}"/>
    <cellStyle name="Comma 4 2 2 5 6 2 3" xfId="23570" xr:uid="{DCD91EBB-2180-484F-BC3E-62E38C21CC5E}"/>
    <cellStyle name="Comma 4 2 2 5 6 3" xfId="10905" xr:uid="{3C5DBA00-D514-41B8-9154-AA6FB3AE8402}"/>
    <cellStyle name="Comma 4 2 2 5 6 4" xfId="19353" xr:uid="{3A303A24-115B-44A0-B944-326166220337}"/>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BEB1173D-C96D-4299-B670-5F92F442202C}"/>
    <cellStyle name="Comma 4 2 2 5 8 2 3" xfId="23887" xr:uid="{17AE660C-8B85-4F51-AD90-1C8E3A5A81FF}"/>
    <cellStyle name="Comma 4 2 2 5 8 3" xfId="11222" xr:uid="{56EBE1D7-4325-4EBC-ABBF-A5253EC15014}"/>
    <cellStyle name="Comma 4 2 2 5 8 4" xfId="19670" xr:uid="{423F888B-A4D2-45E1-B7EC-8243E1DE58B2}"/>
    <cellStyle name="Comma 4 2 2 5 9" xfId="4607" xr:uid="{00000000-0005-0000-0000-000057080000}"/>
    <cellStyle name="Comma 4 2 2 5 9 2" xfId="13057" xr:uid="{06D2A958-221C-46A0-9D0F-5ECBDF2B7696}"/>
    <cellStyle name="Comma 4 2 2 5 9 3" xfId="21504" xr:uid="{DBE5A977-D2E4-4928-BE54-F9F5421880EC}"/>
    <cellStyle name="Comma 4 2 3" xfId="136" xr:uid="{00000000-0005-0000-0000-000058080000}"/>
    <cellStyle name="Comma 4 2 3 10" xfId="2768" xr:uid="{00000000-0005-0000-0000-000059080000}"/>
    <cellStyle name="Comma 4 2 3 10 2" xfId="6991" xr:uid="{00000000-0005-0000-0000-00005A080000}"/>
    <cellStyle name="Comma 4 2 3 10 2 2" xfId="15441" xr:uid="{8D90EC88-26E9-43EB-AEB5-8F50693F120B}"/>
    <cellStyle name="Comma 4 2 3 10 2 3" xfId="23888" xr:uid="{3343E6D0-76AD-4EBE-9F0E-F7041C988175}"/>
    <cellStyle name="Comma 4 2 3 10 3" xfId="11223" xr:uid="{BB32BEEA-F27E-4DE8-87B7-27DDAAF11773}"/>
    <cellStyle name="Comma 4 2 3 10 4" xfId="19671" xr:uid="{DAE227B8-C52B-4C45-803F-AD65E719054C}"/>
    <cellStyle name="Comma 4 2 3 11" xfId="4608" xr:uid="{00000000-0005-0000-0000-00005B080000}"/>
    <cellStyle name="Comma 4 2 3 11 2" xfId="13058" xr:uid="{8441E0EB-D1B8-4992-95A5-89422F710A7E}"/>
    <cellStyle name="Comma 4 2 3 11 3" xfId="21505" xr:uid="{4F145631-806F-4353-A150-72DB29540DAF}"/>
    <cellStyle name="Comma 4 2 3 12" xfId="8840" xr:uid="{A9EE48C3-885B-4F55-8197-D9DF902C9930}"/>
    <cellStyle name="Comma 4 2 3 13" xfId="17288" xr:uid="{0D7E703B-9EBA-4E68-A232-9F06135A3EC9}"/>
    <cellStyle name="Comma 4 2 3 2" xfId="137" xr:uid="{00000000-0005-0000-0000-00005C080000}"/>
    <cellStyle name="Comma 4 2 3 2 10" xfId="4609" xr:uid="{00000000-0005-0000-0000-00005D080000}"/>
    <cellStyle name="Comma 4 2 3 2 10 2" xfId="13059" xr:uid="{5C06C06A-4FC1-4AC5-AC5D-A4CA0181583D}"/>
    <cellStyle name="Comma 4 2 3 2 10 3" xfId="21506" xr:uid="{7BBDC125-6C93-42B2-A11E-AAABC89BC29A}"/>
    <cellStyle name="Comma 4 2 3 2 11" xfId="8841" xr:uid="{0C1658F4-BC04-457D-B245-42982DA994A2}"/>
    <cellStyle name="Comma 4 2 3 2 12" xfId="17289" xr:uid="{F833FE42-5028-4FEF-8E28-50DF1E930EE5}"/>
    <cellStyle name="Comma 4 2 3 2 2" xfId="138" xr:uid="{00000000-0005-0000-0000-00005E080000}"/>
    <cellStyle name="Comma 4 2 3 2 2 10" xfId="8842" xr:uid="{66826891-527F-47D3-8CF1-05DA16882984}"/>
    <cellStyle name="Comma 4 2 3 2 2 11" xfId="17290" xr:uid="{34911C2A-A9E7-46F5-AE11-44DD0840A73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25592EED-B4EC-40B1-8E44-FF0672C2EC2A}"/>
    <cellStyle name="Comma 4 2 3 2 2 2 2 2 3" xfId="24066" xr:uid="{B9B1F94D-5343-4ECA-A0A7-89F377784BF4}"/>
    <cellStyle name="Comma 4 2 3 2 2 2 2 3" xfId="11401" xr:uid="{923789D7-70B3-410D-BD87-4D54F8F65153}"/>
    <cellStyle name="Comma 4 2 3 2 2 2 2 4" xfId="19849" xr:uid="{E9DA11DB-0353-40AA-AA66-1032E855F653}"/>
    <cellStyle name="Comma 4 2 3 2 2 2 3" xfId="5024" xr:uid="{00000000-0005-0000-0000-000062080000}"/>
    <cellStyle name="Comma 4 2 3 2 2 2 3 2" xfId="13474" xr:uid="{67F65D06-F8E5-4764-8195-037EE999862D}"/>
    <cellStyle name="Comma 4 2 3 2 2 2 3 3" xfId="21921" xr:uid="{ED9B1760-A8CA-45D6-AABB-7B061B51521B}"/>
    <cellStyle name="Comma 4 2 3 2 2 2 4" xfId="9256" xr:uid="{DEDFD144-19D3-427E-AC38-634BD9D6DE8B}"/>
    <cellStyle name="Comma 4 2 3 2 2 2 5" xfId="17704" xr:uid="{D61F9606-8F67-44C2-8076-518ECEF904D2}"/>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1F877F88-E0E6-4DCA-A5B1-0D6986582DE4}"/>
    <cellStyle name="Comma 4 2 3 2 2 3 2 2 3" xfId="24479" xr:uid="{111B6CA6-EB58-4408-BED6-CB24053440CB}"/>
    <cellStyle name="Comma 4 2 3 2 2 3 2 3" xfId="11814" xr:uid="{E886D3D1-94D2-403B-A38D-CE78C3F97809}"/>
    <cellStyle name="Comma 4 2 3 2 2 3 2 4" xfId="20262" xr:uid="{7B5B9246-6A88-46A3-A4C3-579340D2AE6E}"/>
    <cellStyle name="Comma 4 2 3 2 2 3 3" xfId="5437" xr:uid="{00000000-0005-0000-0000-000066080000}"/>
    <cellStyle name="Comma 4 2 3 2 2 3 3 2" xfId="13887" xr:uid="{4E699E57-4487-4A23-B296-A60B0A25BC57}"/>
    <cellStyle name="Comma 4 2 3 2 2 3 3 3" xfId="22334" xr:uid="{F9DFE710-EA09-41FF-81DD-EB82F5A50920}"/>
    <cellStyle name="Comma 4 2 3 2 2 3 4" xfId="9669" xr:uid="{C73B8159-6740-4851-95AE-2848BCAF6BA6}"/>
    <cellStyle name="Comma 4 2 3 2 2 3 5" xfId="18117" xr:uid="{D8575D34-3D89-4EE0-B0F2-9925C740E1AE}"/>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FEAAA0DE-925E-4D87-B39A-EE57CA8C9039}"/>
    <cellStyle name="Comma 4 2 3 2 2 4 2 2 3" xfId="24892" xr:uid="{BBBC0A66-EFB0-4828-8A83-E337206961EF}"/>
    <cellStyle name="Comma 4 2 3 2 2 4 2 3" xfId="12227" xr:uid="{54099EEA-E18F-494D-8748-723B3B6611AC}"/>
    <cellStyle name="Comma 4 2 3 2 2 4 2 4" xfId="20675" xr:uid="{F9411D21-AEEA-402E-9895-4F6B751D6F07}"/>
    <cellStyle name="Comma 4 2 3 2 2 4 3" xfId="5850" xr:uid="{00000000-0005-0000-0000-00006A080000}"/>
    <cellStyle name="Comma 4 2 3 2 2 4 3 2" xfId="14300" xr:uid="{AE1D9F96-BA92-446D-8F35-7C83249683FB}"/>
    <cellStyle name="Comma 4 2 3 2 2 4 3 3" xfId="22747" xr:uid="{C6024A86-C2F7-4ED8-8A98-7BAB81129B94}"/>
    <cellStyle name="Comma 4 2 3 2 2 4 4" xfId="10082" xr:uid="{D258CB5C-C885-4B60-9FFB-B3DCB92DE732}"/>
    <cellStyle name="Comma 4 2 3 2 2 4 5" xfId="18530" xr:uid="{F655D019-E039-4D1D-86A9-85595205E593}"/>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7DDC8766-23ED-471E-94EE-5EDD5792E397}"/>
    <cellStyle name="Comma 4 2 3 2 2 5 2 2 3" xfId="25305" xr:uid="{65C6F762-216B-494A-8866-3016A5C16688}"/>
    <cellStyle name="Comma 4 2 3 2 2 5 2 3" xfId="12640" xr:uid="{FE9FEF99-7F6D-48BB-A0B4-79187461DB84}"/>
    <cellStyle name="Comma 4 2 3 2 2 5 2 4" xfId="21088" xr:uid="{DEA43C08-BA58-4EBF-B3B0-165FC38052DF}"/>
    <cellStyle name="Comma 4 2 3 2 2 5 3" xfId="6263" xr:uid="{00000000-0005-0000-0000-00006E080000}"/>
    <cellStyle name="Comma 4 2 3 2 2 5 3 2" xfId="14713" xr:uid="{3F7C854A-BFC0-4DF9-91A3-3FC417835463}"/>
    <cellStyle name="Comma 4 2 3 2 2 5 3 3" xfId="23160" xr:uid="{8CE9ED57-DBC7-4FBB-88DF-1821691C2E3F}"/>
    <cellStyle name="Comma 4 2 3 2 2 5 4" xfId="10495" xr:uid="{413FB54F-698B-4004-A4F5-26EF743B13FC}"/>
    <cellStyle name="Comma 4 2 3 2 2 5 5" xfId="18943" xr:uid="{48753082-D437-453F-A9BD-CB52AC576E26}"/>
    <cellStyle name="Comma 4 2 3 2 2 6" xfId="2392" xr:uid="{00000000-0005-0000-0000-00006F080000}"/>
    <cellStyle name="Comma 4 2 3 2 2 6 2" xfId="6676" xr:uid="{00000000-0005-0000-0000-000070080000}"/>
    <cellStyle name="Comma 4 2 3 2 2 6 2 2" xfId="15126" xr:uid="{FF1DC27E-108A-457A-B185-5967019A4249}"/>
    <cellStyle name="Comma 4 2 3 2 2 6 2 3" xfId="23573" xr:uid="{527395F2-A510-4E24-ACFD-4BEBBA524379}"/>
    <cellStyle name="Comma 4 2 3 2 2 6 3" xfId="10908" xr:uid="{19F19590-C75E-47B7-845E-D5CDD7238F40}"/>
    <cellStyle name="Comma 4 2 3 2 2 6 4" xfId="19356" xr:uid="{CFCC81B1-1415-414F-88A9-D05BDD6838D1}"/>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30C8C5DF-341C-4B34-B74A-811894DAAF78}"/>
    <cellStyle name="Comma 4 2 3 2 2 8 2 3" xfId="23890" xr:uid="{0B4A3072-668C-4862-B680-4580B830446B}"/>
    <cellStyle name="Comma 4 2 3 2 2 8 3" xfId="11225" xr:uid="{8C689278-774F-4ADA-A614-F0085D158BC7}"/>
    <cellStyle name="Comma 4 2 3 2 2 8 4" xfId="19673" xr:uid="{2AD30782-8197-42E6-8547-9E6545CF90DD}"/>
    <cellStyle name="Comma 4 2 3 2 2 9" xfId="4610" xr:uid="{00000000-0005-0000-0000-000074080000}"/>
    <cellStyle name="Comma 4 2 3 2 2 9 2" xfId="13060" xr:uid="{803B0C35-5BF5-43AA-BF49-120532807ED6}"/>
    <cellStyle name="Comma 4 2 3 2 2 9 3" xfId="21507" xr:uid="{5E4F277E-54EA-4398-9753-323ED366A855}"/>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BD2779A3-316E-4FD0-8FD9-D5305A95E846}"/>
    <cellStyle name="Comma 4 2 3 2 3 2 2 3" xfId="24065" xr:uid="{0DA8489B-11B7-4C03-842A-60BC8250193C}"/>
    <cellStyle name="Comma 4 2 3 2 3 2 3" xfId="11400" xr:uid="{76C8D245-1970-4A20-B755-D7A386E0A5B9}"/>
    <cellStyle name="Comma 4 2 3 2 3 2 4" xfId="19848" xr:uid="{FBB4EA35-17AC-4CA8-8FAA-7B6D0AFFC5D0}"/>
    <cellStyle name="Comma 4 2 3 2 3 3" xfId="5023" xr:uid="{00000000-0005-0000-0000-000078080000}"/>
    <cellStyle name="Comma 4 2 3 2 3 3 2" xfId="13473" xr:uid="{37751405-F09A-4C8C-86CE-5622BCCDC594}"/>
    <cellStyle name="Comma 4 2 3 2 3 3 3" xfId="21920" xr:uid="{B0B2CC02-1242-4950-A1C6-06F4D524C732}"/>
    <cellStyle name="Comma 4 2 3 2 3 4" xfId="9255" xr:uid="{6655369A-57FD-4243-AA48-117D3D86F8F5}"/>
    <cellStyle name="Comma 4 2 3 2 3 5" xfId="17703" xr:uid="{15E13F98-D4B0-45F7-9FE3-7596A78B784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8F9F4C01-EC0D-40A0-AC7E-34E8FDD30195}"/>
    <cellStyle name="Comma 4 2 3 2 4 2 2 3" xfId="24478" xr:uid="{C80C1DE6-7CAF-4605-8E75-F61006845F5A}"/>
    <cellStyle name="Comma 4 2 3 2 4 2 3" xfId="11813" xr:uid="{345536BD-E836-41D1-B9A6-95562D786BDE}"/>
    <cellStyle name="Comma 4 2 3 2 4 2 4" xfId="20261" xr:uid="{D960D553-75B8-401E-ADD2-45BC9AFA54C2}"/>
    <cellStyle name="Comma 4 2 3 2 4 3" xfId="5436" xr:uid="{00000000-0005-0000-0000-00007C080000}"/>
    <cellStyle name="Comma 4 2 3 2 4 3 2" xfId="13886" xr:uid="{952A36B3-0A5E-4565-A2A4-F2D938069196}"/>
    <cellStyle name="Comma 4 2 3 2 4 3 3" xfId="22333" xr:uid="{644148B8-8435-48F8-8F7F-7337FC463D33}"/>
    <cellStyle name="Comma 4 2 3 2 4 4" xfId="9668" xr:uid="{D29E99A1-F652-4362-9EEC-28DC6428624D}"/>
    <cellStyle name="Comma 4 2 3 2 4 5" xfId="18116" xr:uid="{D5817C3E-27AC-4385-8792-93EFF6DF0EF0}"/>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13294829-7EB6-4FA7-916C-A6540F620D0C}"/>
    <cellStyle name="Comma 4 2 3 2 5 2 2 3" xfId="24891" xr:uid="{DE654CB5-E645-46FC-B794-9D2AA47307A1}"/>
    <cellStyle name="Comma 4 2 3 2 5 2 3" xfId="12226" xr:uid="{EC9134ED-86B9-49EF-A935-33B1AE37CAA0}"/>
    <cellStyle name="Comma 4 2 3 2 5 2 4" xfId="20674" xr:uid="{D281D686-EA05-414B-8074-68FD663B99A5}"/>
    <cellStyle name="Comma 4 2 3 2 5 3" xfId="5849" xr:uid="{00000000-0005-0000-0000-000080080000}"/>
    <cellStyle name="Comma 4 2 3 2 5 3 2" xfId="14299" xr:uid="{24714030-FE8B-43B2-8E04-E308657BBB95}"/>
    <cellStyle name="Comma 4 2 3 2 5 3 3" xfId="22746" xr:uid="{E6E49870-5FD7-481D-B3C2-05BDDDFA6B1E}"/>
    <cellStyle name="Comma 4 2 3 2 5 4" xfId="10081" xr:uid="{DA1CA7D5-B3B3-4EBA-8FC6-5C3F7DE8FC16}"/>
    <cellStyle name="Comma 4 2 3 2 5 5" xfId="18529" xr:uid="{103C0442-004F-4862-BE97-95266ACCDAF5}"/>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F3ACB908-4A33-4A21-AD7A-73104DF33A47}"/>
    <cellStyle name="Comma 4 2 3 2 6 2 2 3" xfId="25304" xr:uid="{B14E303F-896B-49D7-B1FE-BC88CD22C140}"/>
    <cellStyle name="Comma 4 2 3 2 6 2 3" xfId="12639" xr:uid="{667DFFEF-5C51-43A6-9219-CFB6D231C228}"/>
    <cellStyle name="Comma 4 2 3 2 6 2 4" xfId="21087" xr:uid="{FE9AD83E-817F-46B7-97DC-5819BBD1A9FB}"/>
    <cellStyle name="Comma 4 2 3 2 6 3" xfId="6262" xr:uid="{00000000-0005-0000-0000-000084080000}"/>
    <cellStyle name="Comma 4 2 3 2 6 3 2" xfId="14712" xr:uid="{721DC7A4-715A-4982-AFFE-8ADA8FA2F315}"/>
    <cellStyle name="Comma 4 2 3 2 6 3 3" xfId="23159" xr:uid="{8AE47663-B73A-401E-86BB-413DF2F44BC9}"/>
    <cellStyle name="Comma 4 2 3 2 6 4" xfId="10494" xr:uid="{0A56E2CD-8EAD-497B-A2BD-DAA8D03F532B}"/>
    <cellStyle name="Comma 4 2 3 2 6 5" xfId="18942" xr:uid="{2C219255-686B-4AE0-8C68-43AA96D59B95}"/>
    <cellStyle name="Comma 4 2 3 2 7" xfId="2391" xr:uid="{00000000-0005-0000-0000-000085080000}"/>
    <cellStyle name="Comma 4 2 3 2 7 2" xfId="6675" xr:uid="{00000000-0005-0000-0000-000086080000}"/>
    <cellStyle name="Comma 4 2 3 2 7 2 2" xfId="15125" xr:uid="{0ED6BE8F-9AC2-40A6-9731-D2FD07F71166}"/>
    <cellStyle name="Comma 4 2 3 2 7 2 3" xfId="23572" xr:uid="{8378D6DA-58EB-4E16-823F-A3C363A66373}"/>
    <cellStyle name="Comma 4 2 3 2 7 3" xfId="10907" xr:uid="{FE660C50-8D96-4DDC-BBFD-1A9F0205B876}"/>
    <cellStyle name="Comma 4 2 3 2 7 4" xfId="19355" xr:uid="{ECC74F0E-3AF9-4633-8F7A-550CF19FE52F}"/>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B9921959-447C-4334-A0F3-4F91A3E054CE}"/>
    <cellStyle name="Comma 4 2 3 2 9 2 3" xfId="23889" xr:uid="{4FE14113-66EB-486E-AD9F-0E8E2FA43600}"/>
    <cellStyle name="Comma 4 2 3 2 9 3" xfId="11224" xr:uid="{E7830C1C-3EAC-4EB9-9DE9-164713C0E7FC}"/>
    <cellStyle name="Comma 4 2 3 2 9 4" xfId="19672" xr:uid="{79B00111-EE6E-4847-9852-A1B33334594B}"/>
    <cellStyle name="Comma 4 2 3 3" xfId="139" xr:uid="{00000000-0005-0000-0000-00008A080000}"/>
    <cellStyle name="Comma 4 2 3 3 10" xfId="8843" xr:uid="{950BBD71-2851-4EBE-A2B9-078A1A0C1E1F}"/>
    <cellStyle name="Comma 4 2 3 3 11" xfId="17291" xr:uid="{7F2C2306-9D59-4530-9305-4A31FC033B3F}"/>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32952CC9-430E-4480-8299-8CC30D463378}"/>
    <cellStyle name="Comma 4 2 3 3 2 2 2 3" xfId="24067" xr:uid="{7E199C87-6EB0-4003-A63A-164C1011704B}"/>
    <cellStyle name="Comma 4 2 3 3 2 2 3" xfId="11402" xr:uid="{015A4D59-C546-42D5-8BD4-7E94E41C51CD}"/>
    <cellStyle name="Comma 4 2 3 3 2 2 4" xfId="19850" xr:uid="{5A9B436C-3C2F-4F60-916F-CFB70244F714}"/>
    <cellStyle name="Comma 4 2 3 3 2 3" xfId="5025" xr:uid="{00000000-0005-0000-0000-00008E080000}"/>
    <cellStyle name="Comma 4 2 3 3 2 3 2" xfId="13475" xr:uid="{FA13F0A6-BA1D-4A67-9718-CAFD6BDBEA96}"/>
    <cellStyle name="Comma 4 2 3 3 2 3 3" xfId="21922" xr:uid="{A877DCD2-13B8-4F8E-BEF5-D9CB32ADA9BB}"/>
    <cellStyle name="Comma 4 2 3 3 2 4" xfId="9257" xr:uid="{9A76A03B-BE22-4F3D-852D-5C85AE9B51BE}"/>
    <cellStyle name="Comma 4 2 3 3 2 5" xfId="17705" xr:uid="{91D85FE7-B66A-44C4-AE19-F8AA28AAC41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7FD18F46-6715-4D11-8CC5-052F3D953C47}"/>
    <cellStyle name="Comma 4 2 3 3 3 2 2 3" xfId="24480" xr:uid="{71CE44CE-8575-493B-AC06-4DD0032FEE96}"/>
    <cellStyle name="Comma 4 2 3 3 3 2 3" xfId="11815" xr:uid="{AF85EDB8-89EA-4381-AA0C-B201F598AA29}"/>
    <cellStyle name="Comma 4 2 3 3 3 2 4" xfId="20263" xr:uid="{7E0B0131-8F08-4779-9236-B94F487FF5C6}"/>
    <cellStyle name="Comma 4 2 3 3 3 3" xfId="5438" xr:uid="{00000000-0005-0000-0000-000092080000}"/>
    <cellStyle name="Comma 4 2 3 3 3 3 2" xfId="13888" xr:uid="{C450D1CA-3221-4AD8-8B20-E5435FCD1630}"/>
    <cellStyle name="Comma 4 2 3 3 3 3 3" xfId="22335" xr:uid="{0A981274-9753-4EBF-8DF2-E403C93B1E9D}"/>
    <cellStyle name="Comma 4 2 3 3 3 4" xfId="9670" xr:uid="{6757B45D-46E5-4C44-83A5-C139D475D677}"/>
    <cellStyle name="Comma 4 2 3 3 3 5" xfId="18118" xr:uid="{652525EF-C092-40C7-A496-58066A428A42}"/>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5B52F755-4474-47DF-9228-F4694774C266}"/>
    <cellStyle name="Comma 4 2 3 3 4 2 2 3" xfId="24893" xr:uid="{BD49F706-EBC4-47CD-9076-0AF870A57AE6}"/>
    <cellStyle name="Comma 4 2 3 3 4 2 3" xfId="12228" xr:uid="{D3B43C8D-49D5-401B-9045-6154EB068DA5}"/>
    <cellStyle name="Comma 4 2 3 3 4 2 4" xfId="20676" xr:uid="{3F1B4F37-FE83-4FBE-A17F-A7449079477C}"/>
    <cellStyle name="Comma 4 2 3 3 4 3" xfId="5851" xr:uid="{00000000-0005-0000-0000-000096080000}"/>
    <cellStyle name="Comma 4 2 3 3 4 3 2" xfId="14301" xr:uid="{CB55B482-6464-487F-8A1A-53591649141E}"/>
    <cellStyle name="Comma 4 2 3 3 4 3 3" xfId="22748" xr:uid="{15B2AABA-54DA-427D-8E86-0C5F3DCF6129}"/>
    <cellStyle name="Comma 4 2 3 3 4 4" xfId="10083" xr:uid="{48205437-DE69-4DB8-8081-A77001ED0088}"/>
    <cellStyle name="Comma 4 2 3 3 4 5" xfId="18531" xr:uid="{314F9588-2C92-4963-B1BF-AA25A247BFEB}"/>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4EBF2186-C627-49A6-8342-AADDBD9F0FDC}"/>
    <cellStyle name="Comma 4 2 3 3 5 2 2 3" xfId="25306" xr:uid="{4286C622-13C9-48B8-95BD-DE66BC651659}"/>
    <cellStyle name="Comma 4 2 3 3 5 2 3" xfId="12641" xr:uid="{9F2CD9F6-28F5-4034-8C6F-ED6AFBE7EE51}"/>
    <cellStyle name="Comma 4 2 3 3 5 2 4" xfId="21089" xr:uid="{93E90D1E-9B38-4855-9FE2-7B887E052292}"/>
    <cellStyle name="Comma 4 2 3 3 5 3" xfId="6264" xr:uid="{00000000-0005-0000-0000-00009A080000}"/>
    <cellStyle name="Comma 4 2 3 3 5 3 2" xfId="14714" xr:uid="{F639F0CE-A4EC-473A-A58C-67D8F3971C76}"/>
    <cellStyle name="Comma 4 2 3 3 5 3 3" xfId="23161" xr:uid="{F5867AAD-A9CA-4354-9D26-2D943203A64A}"/>
    <cellStyle name="Comma 4 2 3 3 5 4" xfId="10496" xr:uid="{30D1E8A9-AD51-413E-AFE2-E2CC275FB159}"/>
    <cellStyle name="Comma 4 2 3 3 5 5" xfId="18944" xr:uid="{90971328-276B-48C0-884F-F3FAFED73543}"/>
    <cellStyle name="Comma 4 2 3 3 6" xfId="2393" xr:uid="{00000000-0005-0000-0000-00009B080000}"/>
    <cellStyle name="Comma 4 2 3 3 6 2" xfId="6677" xr:uid="{00000000-0005-0000-0000-00009C080000}"/>
    <cellStyle name="Comma 4 2 3 3 6 2 2" xfId="15127" xr:uid="{80D3F3CB-606B-49EE-B431-9BAD2D9D9591}"/>
    <cellStyle name="Comma 4 2 3 3 6 2 3" xfId="23574" xr:uid="{2850D28A-AE30-4896-8E61-D6FF3EFCD8FF}"/>
    <cellStyle name="Comma 4 2 3 3 6 3" xfId="10909" xr:uid="{CCD7C797-8AAF-4782-84A3-BF6669067370}"/>
    <cellStyle name="Comma 4 2 3 3 6 4" xfId="19357" xr:uid="{3D9A5FC2-7445-4BE2-A31F-A1FEAF7E862A}"/>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931D9493-295A-45E9-B826-B0EB36A3FD30}"/>
    <cellStyle name="Comma 4 2 3 3 8 2 3" xfId="23891" xr:uid="{E87D2F77-8D09-4873-BE5A-525FEEC8DBEA}"/>
    <cellStyle name="Comma 4 2 3 3 8 3" xfId="11226" xr:uid="{D9856FC7-DB19-40B7-8C14-86ECF43FBDB5}"/>
    <cellStyle name="Comma 4 2 3 3 8 4" xfId="19674" xr:uid="{6E914306-95D9-4AAC-BD4B-D8BD4AC1DCB4}"/>
    <cellStyle name="Comma 4 2 3 3 9" xfId="4611" xr:uid="{00000000-0005-0000-0000-0000A0080000}"/>
    <cellStyle name="Comma 4 2 3 3 9 2" xfId="13061" xr:uid="{2F8F8049-18B7-45C9-A6EC-4B335EAADEE1}"/>
    <cellStyle name="Comma 4 2 3 3 9 3" xfId="21508" xr:uid="{75DBEEFD-F6EE-4607-96BF-99176159FA5A}"/>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239B6DE3-FB76-4511-9610-21F13A181543}"/>
    <cellStyle name="Comma 4 2 3 4 2 2 3" xfId="24064" xr:uid="{AF5A0A8E-43EC-4D02-9531-0EAB07791F65}"/>
    <cellStyle name="Comma 4 2 3 4 2 3" xfId="11399" xr:uid="{75908A46-D48E-4CC2-BBF4-DB6E7AFB238C}"/>
    <cellStyle name="Comma 4 2 3 4 2 4" xfId="19847" xr:uid="{6DEE1AF8-29D9-4A91-8CE2-C1BD3AA4B264}"/>
    <cellStyle name="Comma 4 2 3 4 3" xfId="5022" xr:uid="{00000000-0005-0000-0000-0000A4080000}"/>
    <cellStyle name="Comma 4 2 3 4 3 2" xfId="13472" xr:uid="{70DE9FF8-6111-486B-B4E4-9786A1D3EA9A}"/>
    <cellStyle name="Comma 4 2 3 4 3 3" xfId="21919" xr:uid="{28923F80-18F4-410F-949A-F760737BF821}"/>
    <cellStyle name="Comma 4 2 3 4 4" xfId="9254" xr:uid="{E8A91168-355A-4E53-B40D-8546D46CBE33}"/>
    <cellStyle name="Comma 4 2 3 4 5" xfId="17702" xr:uid="{A82D93F2-5E47-4B5D-8F83-BBA3D96F5515}"/>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44294A95-E275-408B-9584-BA2DF0A3F631}"/>
    <cellStyle name="Comma 4 2 3 5 2 2 3" xfId="24477" xr:uid="{52D6FFCA-84B3-48E6-8EFF-CA4EA203637B}"/>
    <cellStyle name="Comma 4 2 3 5 2 3" xfId="11812" xr:uid="{EBE75F89-3018-43D5-B487-8F30F1B9C086}"/>
    <cellStyle name="Comma 4 2 3 5 2 4" xfId="20260" xr:uid="{DB73BEA7-2E2F-4826-9ECC-65E76BAE0EFB}"/>
    <cellStyle name="Comma 4 2 3 5 3" xfId="5435" xr:uid="{00000000-0005-0000-0000-0000A8080000}"/>
    <cellStyle name="Comma 4 2 3 5 3 2" xfId="13885" xr:uid="{5DF59903-A56D-4D3E-809F-7BFD8E48FD53}"/>
    <cellStyle name="Comma 4 2 3 5 3 3" xfId="22332" xr:uid="{AB17864E-B8A8-4A59-84BD-C88A1AD309D2}"/>
    <cellStyle name="Comma 4 2 3 5 4" xfId="9667" xr:uid="{F614405D-5D9E-417B-8E01-DED76F95A9D0}"/>
    <cellStyle name="Comma 4 2 3 5 5" xfId="18115" xr:uid="{638AEFE9-65F0-422B-AA2C-ADF7260EB628}"/>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A3604120-822A-42E2-A5D1-BF7C849B479B}"/>
    <cellStyle name="Comma 4 2 3 6 2 2 3" xfId="24890" xr:uid="{19117640-0374-49C1-AD92-EEA3D0D6130A}"/>
    <cellStyle name="Comma 4 2 3 6 2 3" xfId="12225" xr:uid="{0422D060-55FD-4D84-9393-CCEE5C83137E}"/>
    <cellStyle name="Comma 4 2 3 6 2 4" xfId="20673" xr:uid="{FF389A87-6EA4-460C-AE94-0ACF043802B9}"/>
    <cellStyle name="Comma 4 2 3 6 3" xfId="5848" xr:uid="{00000000-0005-0000-0000-0000AC080000}"/>
    <cellStyle name="Comma 4 2 3 6 3 2" xfId="14298" xr:uid="{F65F914D-35D6-41F4-B119-E2D9B1815BF5}"/>
    <cellStyle name="Comma 4 2 3 6 3 3" xfId="22745" xr:uid="{F411BCB1-12CC-470F-B53A-47F8005D4CF1}"/>
    <cellStyle name="Comma 4 2 3 6 4" xfId="10080" xr:uid="{F6A97F03-48A5-4B2E-8A78-4904EB151E2E}"/>
    <cellStyle name="Comma 4 2 3 6 5" xfId="18528" xr:uid="{A733FED3-E023-4DFF-89A6-C203514F682B}"/>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8F7743BE-9E89-4450-AE70-6ABF552E555D}"/>
    <cellStyle name="Comma 4 2 3 7 2 2 3" xfId="25303" xr:uid="{720BB522-22E9-4020-9A30-243D188E5ACB}"/>
    <cellStyle name="Comma 4 2 3 7 2 3" xfId="12638" xr:uid="{8E8B3AFB-7A4D-40FF-90DA-70253F70BD3B}"/>
    <cellStyle name="Comma 4 2 3 7 2 4" xfId="21086" xr:uid="{2665C6DD-7B33-42EE-97F2-EE02C99A9CAC}"/>
    <cellStyle name="Comma 4 2 3 7 3" xfId="6261" xr:uid="{00000000-0005-0000-0000-0000B0080000}"/>
    <cellStyle name="Comma 4 2 3 7 3 2" xfId="14711" xr:uid="{20ADC77E-3BC5-4585-846A-A1BE5995E00A}"/>
    <cellStyle name="Comma 4 2 3 7 3 3" xfId="23158" xr:uid="{76E8158F-B1E1-4C97-8723-DF1B0EB0C575}"/>
    <cellStyle name="Comma 4 2 3 7 4" xfId="10493" xr:uid="{CB0DF67D-69EA-4483-B3FC-7B34C90F1B75}"/>
    <cellStyle name="Comma 4 2 3 7 5" xfId="18941" xr:uid="{B39ACD3A-62E6-4674-B6D9-C15C22AB7D6B}"/>
    <cellStyle name="Comma 4 2 3 8" xfId="2390" xr:uid="{00000000-0005-0000-0000-0000B1080000}"/>
    <cellStyle name="Comma 4 2 3 8 2" xfId="6674" xr:uid="{00000000-0005-0000-0000-0000B2080000}"/>
    <cellStyle name="Comma 4 2 3 8 2 2" xfId="15124" xr:uid="{EADAB946-1E23-4BAE-9CD0-1C52692CC26D}"/>
    <cellStyle name="Comma 4 2 3 8 2 3" xfId="23571" xr:uid="{BC85EF19-64CD-4B91-B8AE-85E2202E3E79}"/>
    <cellStyle name="Comma 4 2 3 8 3" xfId="10906" xr:uid="{4D28AB38-5E17-4AD4-BF4F-DEFC618994BA}"/>
    <cellStyle name="Comma 4 2 3 8 4" xfId="19354" xr:uid="{F9ACCE5B-9344-45AE-B178-6913D82DD188}"/>
    <cellStyle name="Comma 4 2 3 9" xfId="2373" xr:uid="{00000000-0005-0000-0000-0000B3080000}"/>
    <cellStyle name="Comma 4 2 4" xfId="140" xr:uid="{00000000-0005-0000-0000-0000B4080000}"/>
    <cellStyle name="Comma 4 2 4 10" xfId="4612" xr:uid="{00000000-0005-0000-0000-0000B5080000}"/>
    <cellStyle name="Comma 4 2 4 10 2" xfId="13062" xr:uid="{4756E1E2-F1D2-40E7-BD10-64C378021041}"/>
    <cellStyle name="Comma 4 2 4 10 3" xfId="21509" xr:uid="{5E037EF4-8BB5-45E5-B289-093099D1FD9F}"/>
    <cellStyle name="Comma 4 2 4 11" xfId="8844" xr:uid="{E0613040-4938-4B25-B231-AA2BFA588439}"/>
    <cellStyle name="Comma 4 2 4 12" xfId="17292" xr:uid="{82A902B7-5BC6-4C14-89A7-C03F061E99EF}"/>
    <cellStyle name="Comma 4 2 4 2" xfId="141" xr:uid="{00000000-0005-0000-0000-0000B6080000}"/>
    <cellStyle name="Comma 4 2 4 2 10" xfId="8845" xr:uid="{875414E6-8CBB-45C4-BB89-F49C9AA85B5A}"/>
    <cellStyle name="Comma 4 2 4 2 11" xfId="17293" xr:uid="{4606717B-AE2E-4BD0-A563-A48392AEE1C1}"/>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84A33A13-21C0-436B-891C-8BEE73BD11EE}"/>
    <cellStyle name="Comma 4 2 4 2 2 2 2 3" xfId="24069" xr:uid="{AC8D2E3B-0EDD-478A-B805-D301655B3989}"/>
    <cellStyle name="Comma 4 2 4 2 2 2 3" xfId="11404" xr:uid="{8ED4CD8F-9A43-4206-98DB-258059471642}"/>
    <cellStyle name="Comma 4 2 4 2 2 2 4" xfId="19852" xr:uid="{A9D99592-63D2-4A6D-AB32-81DA617BF8D0}"/>
    <cellStyle name="Comma 4 2 4 2 2 3" xfId="5027" xr:uid="{00000000-0005-0000-0000-0000BA080000}"/>
    <cellStyle name="Comma 4 2 4 2 2 3 2" xfId="13477" xr:uid="{E7E85B2B-4FFA-4A84-A7BA-0105204F8DCF}"/>
    <cellStyle name="Comma 4 2 4 2 2 3 3" xfId="21924" xr:uid="{E7569DD5-A478-4D69-8A1D-53D7A3150241}"/>
    <cellStyle name="Comma 4 2 4 2 2 4" xfId="9259" xr:uid="{564C4423-2831-472F-958E-6E8C5FECB4A1}"/>
    <cellStyle name="Comma 4 2 4 2 2 5" xfId="17707" xr:uid="{578C48F5-9B8A-4ED3-A3C5-C95986CB37DB}"/>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CBCE53B8-D686-448F-8BBC-CF5513C27FC1}"/>
    <cellStyle name="Comma 4 2 4 2 3 2 2 3" xfId="24482" xr:uid="{BECAB473-EF4D-4B29-9474-6461188476D0}"/>
    <cellStyle name="Comma 4 2 4 2 3 2 3" xfId="11817" xr:uid="{942C3534-9EA4-4188-B8A6-A5340C3E0DE3}"/>
    <cellStyle name="Comma 4 2 4 2 3 2 4" xfId="20265" xr:uid="{ED8978C3-3CB2-4A14-8A29-DC153EFC8628}"/>
    <cellStyle name="Comma 4 2 4 2 3 3" xfId="5440" xr:uid="{00000000-0005-0000-0000-0000BE080000}"/>
    <cellStyle name="Comma 4 2 4 2 3 3 2" xfId="13890" xr:uid="{0E5E67B4-EDD1-433A-950A-3FBAB7E09988}"/>
    <cellStyle name="Comma 4 2 4 2 3 3 3" xfId="22337" xr:uid="{D1B1180E-B855-437E-9403-AD0D112B562B}"/>
    <cellStyle name="Comma 4 2 4 2 3 4" xfId="9672" xr:uid="{842BDEB3-697A-41A6-A8B4-90731F581FBD}"/>
    <cellStyle name="Comma 4 2 4 2 3 5" xfId="18120" xr:uid="{966AC5CD-B4B2-4994-B62C-41517F63225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6A2EF6AF-5B7C-4D4F-A9A5-73ACDA46DF8B}"/>
    <cellStyle name="Comma 4 2 4 2 4 2 2 3" xfId="24895" xr:uid="{86DE2AED-E4CD-494F-BA3B-EC5B35C2C76B}"/>
    <cellStyle name="Comma 4 2 4 2 4 2 3" xfId="12230" xr:uid="{3A909927-3E44-41F6-8FCA-100959904C23}"/>
    <cellStyle name="Comma 4 2 4 2 4 2 4" xfId="20678" xr:uid="{D0035C59-2655-4FB0-8183-E63E547BAA5B}"/>
    <cellStyle name="Comma 4 2 4 2 4 3" xfId="5853" xr:uid="{00000000-0005-0000-0000-0000C2080000}"/>
    <cellStyle name="Comma 4 2 4 2 4 3 2" xfId="14303" xr:uid="{907DF0C7-7254-4536-8D38-08ABB283FD71}"/>
    <cellStyle name="Comma 4 2 4 2 4 3 3" xfId="22750" xr:uid="{E1B5EB2D-A7A0-4B0F-A5A2-D4BEE608B7F7}"/>
    <cellStyle name="Comma 4 2 4 2 4 4" xfId="10085" xr:uid="{A3EC47EA-E56A-4E01-AFC6-86DF77D174A1}"/>
    <cellStyle name="Comma 4 2 4 2 4 5" xfId="18533" xr:uid="{D17117AB-02EB-4816-8CFA-BD53A3D23D5A}"/>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FB0BC597-98C4-41F4-B39C-648BDD76B6BB}"/>
    <cellStyle name="Comma 4 2 4 2 5 2 2 3" xfId="25308" xr:uid="{E959F805-0F1E-43B1-BBBD-F08D659AB6F6}"/>
    <cellStyle name="Comma 4 2 4 2 5 2 3" xfId="12643" xr:uid="{B1111F19-F26B-42A0-B168-914FFED7A4D5}"/>
    <cellStyle name="Comma 4 2 4 2 5 2 4" xfId="21091" xr:uid="{28809AAD-A59F-4007-8C42-33D73A2F5CDA}"/>
    <cellStyle name="Comma 4 2 4 2 5 3" xfId="6266" xr:uid="{00000000-0005-0000-0000-0000C6080000}"/>
    <cellStyle name="Comma 4 2 4 2 5 3 2" xfId="14716" xr:uid="{9D57BEBF-EE69-48F2-868B-A038FD0905F3}"/>
    <cellStyle name="Comma 4 2 4 2 5 3 3" xfId="23163" xr:uid="{0E4130E0-AA7A-420D-92B9-A6324A03CF71}"/>
    <cellStyle name="Comma 4 2 4 2 5 4" xfId="10498" xr:uid="{CB5F9383-9877-4DC6-A627-8E9F81A0C3DE}"/>
    <cellStyle name="Comma 4 2 4 2 5 5" xfId="18946" xr:uid="{DD7195A6-64D8-405C-81E1-46768474B499}"/>
    <cellStyle name="Comma 4 2 4 2 6" xfId="2395" xr:uid="{00000000-0005-0000-0000-0000C7080000}"/>
    <cellStyle name="Comma 4 2 4 2 6 2" xfId="6679" xr:uid="{00000000-0005-0000-0000-0000C8080000}"/>
    <cellStyle name="Comma 4 2 4 2 6 2 2" xfId="15129" xr:uid="{0CBF4CEB-3C71-413C-8FDA-EF52143E0AB6}"/>
    <cellStyle name="Comma 4 2 4 2 6 2 3" xfId="23576" xr:uid="{D022DC41-F546-4D81-A3E2-FF57CF844330}"/>
    <cellStyle name="Comma 4 2 4 2 6 3" xfId="10911" xr:uid="{440988AF-E9F2-4D57-823D-80C1FC5E28D4}"/>
    <cellStyle name="Comma 4 2 4 2 6 4" xfId="19359" xr:uid="{F0E0BB41-81FD-42CE-B4B3-68524FF92BB8}"/>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B9609FAA-82DF-4DDF-893F-49B5A52BF9BD}"/>
    <cellStyle name="Comma 4 2 4 2 8 2 3" xfId="23893" xr:uid="{3F700DD2-3882-4B26-A71D-127B9705EFD0}"/>
    <cellStyle name="Comma 4 2 4 2 8 3" xfId="11228" xr:uid="{1DC378FF-639C-40D5-B99B-43B681B16D55}"/>
    <cellStyle name="Comma 4 2 4 2 8 4" xfId="19676" xr:uid="{87DBC97C-4F98-4BAB-ADFE-EE6C3F42E01D}"/>
    <cellStyle name="Comma 4 2 4 2 9" xfId="4613" xr:uid="{00000000-0005-0000-0000-0000CC080000}"/>
    <cellStyle name="Comma 4 2 4 2 9 2" xfId="13063" xr:uid="{F3CBBDE6-A062-4CA7-9E83-5B356D71484B}"/>
    <cellStyle name="Comma 4 2 4 2 9 3" xfId="21510" xr:uid="{79050DA5-DEBA-4C5A-8E3B-45849BAE11D6}"/>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D14C9216-0030-424B-82F1-08266101751E}"/>
    <cellStyle name="Comma 4 2 4 3 2 2 3" xfId="24068" xr:uid="{D8CC76DB-7174-40B4-9432-60791FC7DEB2}"/>
    <cellStyle name="Comma 4 2 4 3 2 3" xfId="11403" xr:uid="{69A58BD6-ADAB-45FD-8FE1-D6968D7B8B0C}"/>
    <cellStyle name="Comma 4 2 4 3 2 4" xfId="19851" xr:uid="{84310AB8-73AC-4329-AFAE-C32430DBDEA0}"/>
    <cellStyle name="Comma 4 2 4 3 3" xfId="5026" xr:uid="{00000000-0005-0000-0000-0000D0080000}"/>
    <cellStyle name="Comma 4 2 4 3 3 2" xfId="13476" xr:uid="{84263575-66F4-49AC-A2F8-98309DABD898}"/>
    <cellStyle name="Comma 4 2 4 3 3 3" xfId="21923" xr:uid="{B3BC91D0-CEAD-42BF-B229-E8A872C9DCC2}"/>
    <cellStyle name="Comma 4 2 4 3 4" xfId="9258" xr:uid="{85E45FCC-FDB2-4E80-BAA0-6DDFF7F90A6E}"/>
    <cellStyle name="Comma 4 2 4 3 5" xfId="17706" xr:uid="{BC7940AC-74EF-4E8C-9F9C-FD762BAE4EB2}"/>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E78D6502-7B74-48FB-8313-D18613D9D769}"/>
    <cellStyle name="Comma 4 2 4 4 2 2 3" xfId="24481" xr:uid="{7D16850C-B7FB-4DF8-9167-3E5A3297785F}"/>
    <cellStyle name="Comma 4 2 4 4 2 3" xfId="11816" xr:uid="{DA7D80F5-1609-40B7-879D-2EC2CFEE2A8A}"/>
    <cellStyle name="Comma 4 2 4 4 2 4" xfId="20264" xr:uid="{05BFB74C-4972-4493-BAE8-E55BD56D21E5}"/>
    <cellStyle name="Comma 4 2 4 4 3" xfId="5439" xr:uid="{00000000-0005-0000-0000-0000D4080000}"/>
    <cellStyle name="Comma 4 2 4 4 3 2" xfId="13889" xr:uid="{CF06D917-8622-4098-A1B7-BC152E60923D}"/>
    <cellStyle name="Comma 4 2 4 4 3 3" xfId="22336" xr:uid="{4261F573-4F5D-466F-B136-7ADAEF51C343}"/>
    <cellStyle name="Comma 4 2 4 4 4" xfId="9671" xr:uid="{A8E010AA-ECDA-498C-9F54-82D82C5F5337}"/>
    <cellStyle name="Comma 4 2 4 4 5" xfId="18119" xr:uid="{6275D582-1A38-4218-8336-42A41C6F8D01}"/>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5EDB4B3F-8DFD-42A0-9E58-30D724F2CE98}"/>
    <cellStyle name="Comma 4 2 4 5 2 2 3" xfId="24894" xr:uid="{B4721263-DFA0-47C7-B7D1-3190E45BB70C}"/>
    <cellStyle name="Comma 4 2 4 5 2 3" xfId="12229" xr:uid="{CFAE5495-670D-4637-9DAF-75D2E728FFB9}"/>
    <cellStyle name="Comma 4 2 4 5 2 4" xfId="20677" xr:uid="{00444F7A-0CBA-42BE-B0BE-5A965209B594}"/>
    <cellStyle name="Comma 4 2 4 5 3" xfId="5852" xr:uid="{00000000-0005-0000-0000-0000D8080000}"/>
    <cellStyle name="Comma 4 2 4 5 3 2" xfId="14302" xr:uid="{7F76091C-BB2F-466D-93CF-74D9112F3902}"/>
    <cellStyle name="Comma 4 2 4 5 3 3" xfId="22749" xr:uid="{94EB9B34-1D1D-4C7E-9C4F-FED84CEE32CB}"/>
    <cellStyle name="Comma 4 2 4 5 4" xfId="10084" xr:uid="{6C4A3A51-1AAB-4380-9267-6CEF13ED630A}"/>
    <cellStyle name="Comma 4 2 4 5 5" xfId="18532" xr:uid="{B3AF87AF-472C-4F5C-9082-DA25377B884C}"/>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F449E8A8-B462-44A2-A060-00C1D3B771BE}"/>
    <cellStyle name="Comma 4 2 4 6 2 2 3" xfId="25307" xr:uid="{5DE0A566-61A1-4FF6-9B02-6CFE073D23A9}"/>
    <cellStyle name="Comma 4 2 4 6 2 3" xfId="12642" xr:uid="{878E5F99-7918-43EC-AE08-3A64F31FC7C4}"/>
    <cellStyle name="Comma 4 2 4 6 2 4" xfId="21090" xr:uid="{9ACDB623-E7A8-4B85-B8AD-7821CA89E6CB}"/>
    <cellStyle name="Comma 4 2 4 6 3" xfId="6265" xr:uid="{00000000-0005-0000-0000-0000DC080000}"/>
    <cellStyle name="Comma 4 2 4 6 3 2" xfId="14715" xr:uid="{3E135211-4FA9-4342-9B95-79484B4410DC}"/>
    <cellStyle name="Comma 4 2 4 6 3 3" xfId="23162" xr:uid="{DF950EC5-35F3-4A3C-879A-75EAB3208059}"/>
    <cellStyle name="Comma 4 2 4 6 4" xfId="10497" xr:uid="{BB74F31A-7353-442E-8219-E7391913B26E}"/>
    <cellStyle name="Comma 4 2 4 6 5" xfId="18945" xr:uid="{A805E89D-2DCC-4FBD-A312-026680D21EA7}"/>
    <cellStyle name="Comma 4 2 4 7" xfId="2394" xr:uid="{00000000-0005-0000-0000-0000DD080000}"/>
    <cellStyle name="Comma 4 2 4 7 2" xfId="6678" xr:uid="{00000000-0005-0000-0000-0000DE080000}"/>
    <cellStyle name="Comma 4 2 4 7 2 2" xfId="15128" xr:uid="{D40D5332-C75C-466B-AF4F-7E97968BF767}"/>
    <cellStyle name="Comma 4 2 4 7 2 3" xfId="23575" xr:uid="{A85BC7B8-DC44-490C-A410-E3663F8632D3}"/>
    <cellStyle name="Comma 4 2 4 7 3" xfId="10910" xr:uid="{75E2AE52-FAD5-41EA-9A5F-4681107EE672}"/>
    <cellStyle name="Comma 4 2 4 7 4" xfId="19358" xr:uid="{3DF93AF9-6337-457A-97F0-21AEF6D0D21C}"/>
    <cellStyle name="Comma 4 2 4 8" xfId="2369" xr:uid="{00000000-0005-0000-0000-0000DF080000}"/>
    <cellStyle name="Comma 4 2 4 9" xfId="2772" xr:uid="{00000000-0005-0000-0000-0000E0080000}"/>
    <cellStyle name="Comma 4 2 4 9 2" xfId="6995" xr:uid="{00000000-0005-0000-0000-0000E1080000}"/>
    <cellStyle name="Comma 4 2 4 9 2 2" xfId="15445" xr:uid="{AA319D79-AFF5-43DF-B1C7-8D43AD718D2B}"/>
    <cellStyle name="Comma 4 2 4 9 2 3" xfId="23892" xr:uid="{4C4C1471-B3B3-4C9F-BAD8-E4D791C032AC}"/>
    <cellStyle name="Comma 4 2 4 9 3" xfId="11227" xr:uid="{FFDA32A7-2CF2-4230-8A5F-B223378CDDC5}"/>
    <cellStyle name="Comma 4 2 4 9 4" xfId="19675" xr:uid="{D810DF54-3313-4DE0-82EA-6E688CB97F96}"/>
    <cellStyle name="Comma 4 2 5" xfId="142" xr:uid="{00000000-0005-0000-0000-0000E2080000}"/>
    <cellStyle name="Comma 4 2 5 10" xfId="8846" xr:uid="{8F32F77C-7746-4F1D-874A-28CBCD93EDA8}"/>
    <cellStyle name="Comma 4 2 5 11" xfId="17294" xr:uid="{9F56A53E-4B1A-4727-B7E3-914E0D1A4FFF}"/>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1CF02295-5B18-4B6C-B1B9-732681F505AC}"/>
    <cellStyle name="Comma 4 2 5 2 2 2 3" xfId="24070" xr:uid="{B9A21049-B28B-4ACB-AB22-939909A59D3A}"/>
    <cellStyle name="Comma 4 2 5 2 2 3" xfId="11405" xr:uid="{AE079242-D31D-4706-B05A-86116DB7228D}"/>
    <cellStyle name="Comma 4 2 5 2 2 4" xfId="19853" xr:uid="{738A4C64-ABC4-43DA-AC00-DD86DB107514}"/>
    <cellStyle name="Comma 4 2 5 2 3" xfId="5028" xr:uid="{00000000-0005-0000-0000-0000E6080000}"/>
    <cellStyle name="Comma 4 2 5 2 3 2" xfId="13478" xr:uid="{6A51DA0A-24AA-4F93-A257-958DFB053AEE}"/>
    <cellStyle name="Comma 4 2 5 2 3 3" xfId="21925" xr:uid="{B23FCDF2-B0FB-4477-B59D-766E158DCE85}"/>
    <cellStyle name="Comma 4 2 5 2 4" xfId="9260" xr:uid="{CA7F15DC-DA44-4143-BBB6-2DC141B35E53}"/>
    <cellStyle name="Comma 4 2 5 2 5" xfId="17708" xr:uid="{D3C39A0D-8CCB-498D-AE75-0D50F09FA231}"/>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74F3E85-EB02-4727-8FE0-3FDF56B1C1AE}"/>
    <cellStyle name="Comma 4 2 5 3 2 2 3" xfId="24483" xr:uid="{E4E69FFB-1B41-4E54-8CDA-7FF41A605402}"/>
    <cellStyle name="Comma 4 2 5 3 2 3" xfId="11818" xr:uid="{D0378C6E-B51A-496F-81BC-20362E337953}"/>
    <cellStyle name="Comma 4 2 5 3 2 4" xfId="20266" xr:uid="{491D856B-2611-4A62-AB1B-70BC3C29D954}"/>
    <cellStyle name="Comma 4 2 5 3 3" xfId="5441" xr:uid="{00000000-0005-0000-0000-0000EA080000}"/>
    <cellStyle name="Comma 4 2 5 3 3 2" xfId="13891" xr:uid="{CBD2370B-E567-486B-8747-23A6185AD770}"/>
    <cellStyle name="Comma 4 2 5 3 3 3" xfId="22338" xr:uid="{1255CE57-FC92-42FA-A0D7-2D21291BD7ED}"/>
    <cellStyle name="Comma 4 2 5 3 4" xfId="9673" xr:uid="{1587D45D-6258-4F20-9BEB-7E4E03FB80F9}"/>
    <cellStyle name="Comma 4 2 5 3 5" xfId="18121" xr:uid="{FC6A4C48-4282-4A73-BEA1-EF9D99B48190}"/>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8124D7BC-CD5C-4EA0-BBEC-6D9DEF8E4689}"/>
    <cellStyle name="Comma 4 2 5 4 2 2 3" xfId="24896" xr:uid="{EE33B16A-2E54-498C-BEA8-753E7CD8F942}"/>
    <cellStyle name="Comma 4 2 5 4 2 3" xfId="12231" xr:uid="{4D154903-C1DD-4064-9F89-B49BC9DE8175}"/>
    <cellStyle name="Comma 4 2 5 4 2 4" xfId="20679" xr:uid="{112206E7-66E0-4245-9D68-282812CC7B00}"/>
    <cellStyle name="Comma 4 2 5 4 3" xfId="5854" xr:uid="{00000000-0005-0000-0000-0000EE080000}"/>
    <cellStyle name="Comma 4 2 5 4 3 2" xfId="14304" xr:uid="{44AA60A8-DBEF-433F-8152-003F48471F34}"/>
    <cellStyle name="Comma 4 2 5 4 3 3" xfId="22751" xr:uid="{BE453AEC-E85E-4FAA-AE51-84AEA97F0915}"/>
    <cellStyle name="Comma 4 2 5 4 4" xfId="10086" xr:uid="{51C289F6-881D-4358-9D84-00B23B9778C7}"/>
    <cellStyle name="Comma 4 2 5 4 5" xfId="18534" xr:uid="{A73260DA-F56A-48B8-A0C9-BBFF681BA121}"/>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2FE4C9A1-C052-4B42-9C4B-AC9AB4442BBF}"/>
    <cellStyle name="Comma 4 2 5 5 2 2 3" xfId="25309" xr:uid="{B652FB5F-5AC1-4BC3-BA06-7B1B4D106C26}"/>
    <cellStyle name="Comma 4 2 5 5 2 3" xfId="12644" xr:uid="{9E73BE3D-EC69-4CBD-BA14-E0C2157D40D2}"/>
    <cellStyle name="Comma 4 2 5 5 2 4" xfId="21092" xr:uid="{73D6254B-CB13-4A5A-8BE3-89CBAF1ED8F2}"/>
    <cellStyle name="Comma 4 2 5 5 3" xfId="6267" xr:uid="{00000000-0005-0000-0000-0000F2080000}"/>
    <cellStyle name="Comma 4 2 5 5 3 2" xfId="14717" xr:uid="{EDC6CA6C-4B18-469C-A33E-39A3B6B2AFF1}"/>
    <cellStyle name="Comma 4 2 5 5 3 3" xfId="23164" xr:uid="{F87BD965-E207-4E99-A081-8EF3F24BC977}"/>
    <cellStyle name="Comma 4 2 5 5 4" xfId="10499" xr:uid="{757162D4-F7E0-44B3-B604-71ECF815FDDC}"/>
    <cellStyle name="Comma 4 2 5 5 5" xfId="18947" xr:uid="{FDB5AF88-73FF-4EF9-B94E-4476DE3F01AD}"/>
    <cellStyle name="Comma 4 2 5 6" xfId="2396" xr:uid="{00000000-0005-0000-0000-0000F3080000}"/>
    <cellStyle name="Comma 4 2 5 6 2" xfId="6680" xr:uid="{00000000-0005-0000-0000-0000F4080000}"/>
    <cellStyle name="Comma 4 2 5 6 2 2" xfId="15130" xr:uid="{89825782-1991-4377-A332-B522C0B449FA}"/>
    <cellStyle name="Comma 4 2 5 6 2 3" xfId="23577" xr:uid="{FF971665-F5CE-4F83-8B42-30C21708F728}"/>
    <cellStyle name="Comma 4 2 5 6 3" xfId="10912" xr:uid="{8824EF93-25AB-4F28-B0D7-B8C9F2622429}"/>
    <cellStyle name="Comma 4 2 5 6 4" xfId="19360" xr:uid="{EDD7C7AC-7E1B-4789-B0C6-3075B2E02C07}"/>
    <cellStyle name="Comma 4 2 5 7" xfId="2367" xr:uid="{00000000-0005-0000-0000-0000F5080000}"/>
    <cellStyle name="Comma 4 2 5 8" xfId="2774" xr:uid="{00000000-0005-0000-0000-0000F6080000}"/>
    <cellStyle name="Comma 4 2 5 8 2" xfId="6997" xr:uid="{00000000-0005-0000-0000-0000F7080000}"/>
    <cellStyle name="Comma 4 2 5 8 2 2" xfId="15447" xr:uid="{2DE8E36F-8022-49C6-B5FC-2556E73B983C}"/>
    <cellStyle name="Comma 4 2 5 8 2 3" xfId="23894" xr:uid="{005244F0-9D0A-45DD-9EC5-F181BBA2525E}"/>
    <cellStyle name="Comma 4 2 5 8 3" xfId="11229" xr:uid="{510209CA-8386-4495-A944-AE934D0F3C06}"/>
    <cellStyle name="Comma 4 2 5 8 4" xfId="19677" xr:uid="{2FB726D6-963F-4234-835D-16DD690DB528}"/>
    <cellStyle name="Comma 4 2 5 9" xfId="4614" xr:uid="{00000000-0005-0000-0000-0000F8080000}"/>
    <cellStyle name="Comma 4 2 5 9 2" xfId="13064" xr:uid="{B3AE4151-54EE-428D-80D0-94B309943593}"/>
    <cellStyle name="Comma 4 2 5 9 3" xfId="21511" xr:uid="{60B5EDC5-68AB-4B5F-A364-4B0C6DE185CB}"/>
    <cellStyle name="Comma 4 2 6" xfId="143" xr:uid="{00000000-0005-0000-0000-0000F9080000}"/>
    <cellStyle name="Comma 4 2 6 10" xfId="8847" xr:uid="{E0330467-0F6A-4DFA-9A25-55988ED4F5BD}"/>
    <cellStyle name="Comma 4 2 6 11" xfId="17295" xr:uid="{33BA808C-F311-49F1-80E1-669D727799E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D9A6540C-C0BA-4F60-8B62-15727C812B51}"/>
    <cellStyle name="Comma 4 2 6 2 2 2 3" xfId="24071" xr:uid="{EA41CDB7-F503-4222-93AB-3446F38A063A}"/>
    <cellStyle name="Comma 4 2 6 2 2 3" xfId="11406" xr:uid="{9BC9CBD4-11EF-4B2A-88C2-02CC192F615D}"/>
    <cellStyle name="Comma 4 2 6 2 2 4" xfId="19854" xr:uid="{139F4851-B5D4-4E16-89E4-BD737CD165D3}"/>
    <cellStyle name="Comma 4 2 6 2 3" xfId="5029" xr:uid="{00000000-0005-0000-0000-0000FD080000}"/>
    <cellStyle name="Comma 4 2 6 2 3 2" xfId="13479" xr:uid="{8E594AE7-9B5B-44AE-8126-3619761CFD58}"/>
    <cellStyle name="Comma 4 2 6 2 3 3" xfId="21926" xr:uid="{1FC26B63-3B61-4123-B740-2AFD9D6F6C33}"/>
    <cellStyle name="Comma 4 2 6 2 4" xfId="9261" xr:uid="{D6EFC361-28FA-4E56-AE13-C8E2F9155F3B}"/>
    <cellStyle name="Comma 4 2 6 2 5" xfId="17709" xr:uid="{358AEB92-F7C9-4BD2-BB35-ECC9A8257184}"/>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1DB6FA3F-1BCD-43DD-84C4-9EBB75CF3166}"/>
    <cellStyle name="Comma 4 2 6 3 2 2 3" xfId="24484" xr:uid="{655CA40B-1CB5-40EF-9298-86E19036109B}"/>
    <cellStyle name="Comma 4 2 6 3 2 3" xfId="11819" xr:uid="{3467779B-D9ED-43BB-8F36-1DB725682551}"/>
    <cellStyle name="Comma 4 2 6 3 2 4" xfId="20267" xr:uid="{EFBC155F-EAF8-4B3D-93A7-1F18E8CAF6BF}"/>
    <cellStyle name="Comma 4 2 6 3 3" xfId="5442" xr:uid="{00000000-0005-0000-0000-000001090000}"/>
    <cellStyle name="Comma 4 2 6 3 3 2" xfId="13892" xr:uid="{AFF26979-E1B2-4448-9F44-BCE4620A8493}"/>
    <cellStyle name="Comma 4 2 6 3 3 3" xfId="22339" xr:uid="{1C324CC1-D5D7-4313-B2DE-85806E085D03}"/>
    <cellStyle name="Comma 4 2 6 3 4" xfId="9674" xr:uid="{094433A5-A920-4A99-9121-669169A5CB92}"/>
    <cellStyle name="Comma 4 2 6 3 5" xfId="18122" xr:uid="{731AF900-A735-4262-A6B0-046D9F180154}"/>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129793B5-8A26-429D-89CE-13D0BB0CF631}"/>
    <cellStyle name="Comma 4 2 6 4 2 2 3" xfId="24897" xr:uid="{85A5D336-FBA2-41CC-A110-1191338D2232}"/>
    <cellStyle name="Comma 4 2 6 4 2 3" xfId="12232" xr:uid="{24FE8567-19D1-4DD5-8BF7-AB58409C596E}"/>
    <cellStyle name="Comma 4 2 6 4 2 4" xfId="20680" xr:uid="{91DAB852-3BBC-427E-B67A-EC2EFAAA2587}"/>
    <cellStyle name="Comma 4 2 6 4 3" xfId="5855" xr:uid="{00000000-0005-0000-0000-000005090000}"/>
    <cellStyle name="Comma 4 2 6 4 3 2" xfId="14305" xr:uid="{7ECC9462-3D54-4C53-9957-CD9E80D38C36}"/>
    <cellStyle name="Comma 4 2 6 4 3 3" xfId="22752" xr:uid="{17EF0253-C119-4C1C-BDA4-62C372264271}"/>
    <cellStyle name="Comma 4 2 6 4 4" xfId="10087" xr:uid="{DAB5059B-AE9D-45FB-9B7F-19259AD9E7F9}"/>
    <cellStyle name="Comma 4 2 6 4 5" xfId="18535" xr:uid="{C2569100-58ED-4991-9389-74B881929F22}"/>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E84C5D12-3CF6-47B3-B9B3-379710BD9574}"/>
    <cellStyle name="Comma 4 2 6 5 2 2 3" xfId="25310" xr:uid="{33CCFA84-B3DB-4BDF-9122-FE1407726243}"/>
    <cellStyle name="Comma 4 2 6 5 2 3" xfId="12645" xr:uid="{813682DC-9BAA-4FEC-8054-4BF1CCDECD3A}"/>
    <cellStyle name="Comma 4 2 6 5 2 4" xfId="21093" xr:uid="{377190D8-E537-4720-9B9D-B2038B916ED6}"/>
    <cellStyle name="Comma 4 2 6 5 3" xfId="6268" xr:uid="{00000000-0005-0000-0000-000009090000}"/>
    <cellStyle name="Comma 4 2 6 5 3 2" xfId="14718" xr:uid="{EFCE55B3-98CD-4B14-878B-CF2F6701BA68}"/>
    <cellStyle name="Comma 4 2 6 5 3 3" xfId="23165" xr:uid="{0B3DF566-2708-46D2-AE96-8253CA2861F6}"/>
    <cellStyle name="Comma 4 2 6 5 4" xfId="10500" xr:uid="{87F35680-8DBE-49F9-88FF-76463E626723}"/>
    <cellStyle name="Comma 4 2 6 5 5" xfId="18948" xr:uid="{7A333DA7-F4DC-4348-9907-85B3C6F97CBC}"/>
    <cellStyle name="Comma 4 2 6 6" xfId="2397" xr:uid="{00000000-0005-0000-0000-00000A090000}"/>
    <cellStyle name="Comma 4 2 6 6 2" xfId="6681" xr:uid="{00000000-0005-0000-0000-00000B090000}"/>
    <cellStyle name="Comma 4 2 6 6 2 2" xfId="15131" xr:uid="{AD755EC5-4CE0-4F92-8D8F-0768AC6A6C88}"/>
    <cellStyle name="Comma 4 2 6 6 2 3" xfId="23578" xr:uid="{46A9CE3C-E21C-4A91-B6E5-8E4B52123CDE}"/>
    <cellStyle name="Comma 4 2 6 6 3" xfId="10913" xr:uid="{6A644AE1-EFCD-47E9-A134-19AAED77CBB0}"/>
    <cellStyle name="Comma 4 2 6 6 4" xfId="19361" xr:uid="{37721AAE-2E10-4A38-8227-E2E999C0C799}"/>
    <cellStyle name="Comma 4 2 6 7" xfId="2366" xr:uid="{00000000-0005-0000-0000-00000C090000}"/>
    <cellStyle name="Comma 4 2 6 8" xfId="2775" xr:uid="{00000000-0005-0000-0000-00000D090000}"/>
    <cellStyle name="Comma 4 2 6 8 2" xfId="6998" xr:uid="{00000000-0005-0000-0000-00000E090000}"/>
    <cellStyle name="Comma 4 2 6 8 2 2" xfId="15448" xr:uid="{85152291-541D-447A-8B36-F8700F748DA8}"/>
    <cellStyle name="Comma 4 2 6 8 2 3" xfId="23895" xr:uid="{10535B0E-88B7-4A4E-A016-B78BA84FF8A5}"/>
    <cellStyle name="Comma 4 2 6 8 3" xfId="11230" xr:uid="{D1F9EC69-26A6-4424-B0A9-FEE45499720B}"/>
    <cellStyle name="Comma 4 2 6 8 4" xfId="19678" xr:uid="{BBEEA56B-B342-474B-9EA5-F63F059896FD}"/>
    <cellStyle name="Comma 4 2 6 9" xfId="4615" xr:uid="{00000000-0005-0000-0000-00000F090000}"/>
    <cellStyle name="Comma 4 2 6 9 2" xfId="13065" xr:uid="{C31DE1A3-DDE5-407C-86FC-A1B1E3008D3A}"/>
    <cellStyle name="Comma 4 2 6 9 3" xfId="21512" xr:uid="{A7CA9CE5-4952-4C67-B84F-0D9070932C93}"/>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B5FEE5B0-3A17-4B1D-95B7-AA0D12C8B492}"/>
    <cellStyle name="Comma 4 3 2 10 2 3" xfId="23896" xr:uid="{A4D9BFCE-8B80-4DCC-ADB7-EA43EA2E144D}"/>
    <cellStyle name="Comma 4 3 2 10 3" xfId="11231" xr:uid="{2EFFF536-E1DE-407D-B531-8177CA9F9968}"/>
    <cellStyle name="Comma 4 3 2 10 4" xfId="19679" xr:uid="{5DD8EC68-D792-4EFC-BD5E-792A6E8B94CF}"/>
    <cellStyle name="Comma 4 3 2 11" xfId="4616" xr:uid="{00000000-0005-0000-0000-000014090000}"/>
    <cellStyle name="Comma 4 3 2 11 2" xfId="13066" xr:uid="{0D75FFBB-1B7F-49A7-9CDB-FE8D1E0FBF4C}"/>
    <cellStyle name="Comma 4 3 2 11 3" xfId="21513" xr:uid="{0F9DB110-FFCB-4B38-B967-57D66DFCC1E7}"/>
    <cellStyle name="Comma 4 3 2 12" xfId="8848" xr:uid="{BB66FE19-BB28-46FC-BB4A-44C5DE770967}"/>
    <cellStyle name="Comma 4 3 2 13" xfId="17296" xr:uid="{6777E5B9-2195-4DEA-BFC4-3E43B7756F28}"/>
    <cellStyle name="Comma 4 3 2 2" xfId="146" xr:uid="{00000000-0005-0000-0000-000015090000}"/>
    <cellStyle name="Comma 4 3 2 2 10" xfId="4617" xr:uid="{00000000-0005-0000-0000-000016090000}"/>
    <cellStyle name="Comma 4 3 2 2 10 2" xfId="13067" xr:uid="{1D9CA850-A03A-409D-8A04-3D3DE9641A2D}"/>
    <cellStyle name="Comma 4 3 2 2 10 3" xfId="21514" xr:uid="{3AE8122B-F7F3-46FA-BABA-5ACE52C800C4}"/>
    <cellStyle name="Comma 4 3 2 2 11" xfId="8849" xr:uid="{4DDFF4DF-32B3-4443-88B7-E9366EA3E1DC}"/>
    <cellStyle name="Comma 4 3 2 2 12" xfId="17297" xr:uid="{53CF44B6-806A-4DEF-9109-7DE9CA7BF15C}"/>
    <cellStyle name="Comma 4 3 2 2 2" xfId="147" xr:uid="{00000000-0005-0000-0000-000017090000}"/>
    <cellStyle name="Comma 4 3 2 2 2 10" xfId="8850" xr:uid="{35BA8D0D-91C7-43E9-8CBE-93E829DC6E9A}"/>
    <cellStyle name="Comma 4 3 2 2 2 11" xfId="17298" xr:uid="{3D7CC9C5-770E-413D-8F0C-37E8FC5933E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06F27032-00D8-46E9-B326-D31C15DC5A2B}"/>
    <cellStyle name="Comma 4 3 2 2 2 2 2 2 3" xfId="24074" xr:uid="{E0DDAF15-A084-42B1-A83B-B4F3C388A285}"/>
    <cellStyle name="Comma 4 3 2 2 2 2 2 3" xfId="11409" xr:uid="{98291ED5-15AC-427F-973F-A2A1922FF85C}"/>
    <cellStyle name="Comma 4 3 2 2 2 2 2 4" xfId="19857" xr:uid="{3201269B-090A-4959-95A5-2DAA9EC95BFF}"/>
    <cellStyle name="Comma 4 3 2 2 2 2 3" xfId="5032" xr:uid="{00000000-0005-0000-0000-00001B090000}"/>
    <cellStyle name="Comma 4 3 2 2 2 2 3 2" xfId="13482" xr:uid="{3E0ACE80-1D4E-40A1-AF6E-BDC656BC917F}"/>
    <cellStyle name="Comma 4 3 2 2 2 2 3 3" xfId="21929" xr:uid="{B0065E2A-7715-4B5F-9AF3-E765B68C3B2A}"/>
    <cellStyle name="Comma 4 3 2 2 2 2 4" xfId="9264" xr:uid="{FF5DCE15-5365-48D1-A2AF-20F1FA0C8A1A}"/>
    <cellStyle name="Comma 4 3 2 2 2 2 5" xfId="17712" xr:uid="{03530F8A-C642-4B15-A1D5-D8B1EA0C11C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5D7BD3D9-65F7-4243-A4B1-23731C2BC753}"/>
    <cellStyle name="Comma 4 3 2 2 2 3 2 2 3" xfId="24487" xr:uid="{DAA52D03-75DE-4F6F-9B45-F06906279D0B}"/>
    <cellStyle name="Comma 4 3 2 2 2 3 2 3" xfId="11822" xr:uid="{BE172FBE-134D-400E-82D5-50C97AE47299}"/>
    <cellStyle name="Comma 4 3 2 2 2 3 2 4" xfId="20270" xr:uid="{CE9DB252-759B-463C-BCA2-F2A2971F5127}"/>
    <cellStyle name="Comma 4 3 2 2 2 3 3" xfId="5445" xr:uid="{00000000-0005-0000-0000-00001F090000}"/>
    <cellStyle name="Comma 4 3 2 2 2 3 3 2" xfId="13895" xr:uid="{23817841-66DD-4CB8-8ADF-5096E144FD0A}"/>
    <cellStyle name="Comma 4 3 2 2 2 3 3 3" xfId="22342" xr:uid="{5F74E438-2DEB-44D0-9263-3FED51FFD948}"/>
    <cellStyle name="Comma 4 3 2 2 2 3 4" xfId="9677" xr:uid="{A73D9520-EDF7-4CEF-A297-871A23BA7AFD}"/>
    <cellStyle name="Comma 4 3 2 2 2 3 5" xfId="18125" xr:uid="{8A95C3A3-4CF2-4534-A00E-EE7E36B55489}"/>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C5DB40FF-99FC-4872-B7B5-7048DE0A9F36}"/>
    <cellStyle name="Comma 4 3 2 2 2 4 2 2 3" xfId="24900" xr:uid="{EBC34B2B-9F59-4521-9A4C-A35633EBDF8A}"/>
    <cellStyle name="Comma 4 3 2 2 2 4 2 3" xfId="12235" xr:uid="{56B47FAC-7CD5-424E-AD6C-FF1DBE20A2C4}"/>
    <cellStyle name="Comma 4 3 2 2 2 4 2 4" xfId="20683" xr:uid="{77D337DD-D016-4FFA-804F-43A5974E0C83}"/>
    <cellStyle name="Comma 4 3 2 2 2 4 3" xfId="5858" xr:uid="{00000000-0005-0000-0000-000023090000}"/>
    <cellStyle name="Comma 4 3 2 2 2 4 3 2" xfId="14308" xr:uid="{25E58BAF-5693-40E6-9C83-2F9F8BD8DD5C}"/>
    <cellStyle name="Comma 4 3 2 2 2 4 3 3" xfId="22755" xr:uid="{FF9F4A6C-8CEA-4C87-8E24-4B1FC2BC6D21}"/>
    <cellStyle name="Comma 4 3 2 2 2 4 4" xfId="10090" xr:uid="{0C87A63D-ABA0-412B-81F5-1DF42C92B9BC}"/>
    <cellStyle name="Comma 4 3 2 2 2 4 5" xfId="18538" xr:uid="{86D7E18C-C5FF-4854-B348-6A557206F668}"/>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8021EAA0-B0EF-4451-A746-DE097780C5B5}"/>
    <cellStyle name="Comma 4 3 2 2 2 5 2 2 3" xfId="25313" xr:uid="{12E36CC0-40DB-45E7-917D-B44B2AF5217A}"/>
    <cellStyle name="Comma 4 3 2 2 2 5 2 3" xfId="12648" xr:uid="{8D61B121-15A8-4C42-9C85-445B8DD7F6A2}"/>
    <cellStyle name="Comma 4 3 2 2 2 5 2 4" xfId="21096" xr:uid="{A532311B-C8E9-441E-8439-C5D72FD8FAB1}"/>
    <cellStyle name="Comma 4 3 2 2 2 5 3" xfId="6271" xr:uid="{00000000-0005-0000-0000-000027090000}"/>
    <cellStyle name="Comma 4 3 2 2 2 5 3 2" xfId="14721" xr:uid="{C2E10444-11E3-4018-85B6-92E2F5EFF7A0}"/>
    <cellStyle name="Comma 4 3 2 2 2 5 3 3" xfId="23168" xr:uid="{0F73B5D5-6A57-4CB2-A27B-1E5C103BC9AC}"/>
    <cellStyle name="Comma 4 3 2 2 2 5 4" xfId="10503" xr:uid="{90304022-24DE-4CE4-8C8B-A828D7B75B3E}"/>
    <cellStyle name="Comma 4 3 2 2 2 5 5" xfId="18951" xr:uid="{22D96CC1-ED52-468D-B2B6-5384523642A9}"/>
    <cellStyle name="Comma 4 3 2 2 2 6" xfId="2400" xr:uid="{00000000-0005-0000-0000-000028090000}"/>
    <cellStyle name="Comma 4 3 2 2 2 6 2" xfId="6684" xr:uid="{00000000-0005-0000-0000-000029090000}"/>
    <cellStyle name="Comma 4 3 2 2 2 6 2 2" xfId="15134" xr:uid="{CBB45FBE-4553-45A5-907E-383508F7EF4C}"/>
    <cellStyle name="Comma 4 3 2 2 2 6 2 3" xfId="23581" xr:uid="{93118FEC-E9D4-44D5-9BA5-D099D995B0EB}"/>
    <cellStyle name="Comma 4 3 2 2 2 6 3" xfId="10916" xr:uid="{DB73F7D1-0B70-401A-A08B-6D7B493344C7}"/>
    <cellStyle name="Comma 4 3 2 2 2 6 4" xfId="19364" xr:uid="{54A6A270-52AE-431B-ABC2-D58A009ED97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C6F1A923-FF4A-408D-B3D0-92D92FF64BB8}"/>
    <cellStyle name="Comma 4 3 2 2 2 8 2 3" xfId="23898" xr:uid="{80C4AEB9-EA8B-4B79-930F-C9759204996B}"/>
    <cellStyle name="Comma 4 3 2 2 2 8 3" xfId="11233" xr:uid="{D68E83F2-65CC-4506-9AC4-3F4FD1254D87}"/>
    <cellStyle name="Comma 4 3 2 2 2 8 4" xfId="19681" xr:uid="{75AF7F4B-14AD-4E90-B72A-5C0917E20BFB}"/>
    <cellStyle name="Comma 4 3 2 2 2 9" xfId="4618" xr:uid="{00000000-0005-0000-0000-00002D090000}"/>
    <cellStyle name="Comma 4 3 2 2 2 9 2" xfId="13068" xr:uid="{F806CB84-5952-42F3-AC31-7C718EC4C49C}"/>
    <cellStyle name="Comma 4 3 2 2 2 9 3" xfId="21515" xr:uid="{07074097-E8C7-4CBC-B049-782866E41579}"/>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DD71D738-10DC-421E-A4B6-00686552CD77}"/>
    <cellStyle name="Comma 4 3 2 2 3 2 2 3" xfId="24073" xr:uid="{92828838-0C1C-4A34-A857-150B8D64B843}"/>
    <cellStyle name="Comma 4 3 2 2 3 2 3" xfId="11408" xr:uid="{87F59A03-572C-4D6C-BD35-31A444103E0E}"/>
    <cellStyle name="Comma 4 3 2 2 3 2 4" xfId="19856" xr:uid="{4CF87F83-FCFE-4FFF-8A2E-C603895DD611}"/>
    <cellStyle name="Comma 4 3 2 2 3 3" xfId="5031" xr:uid="{00000000-0005-0000-0000-000031090000}"/>
    <cellStyle name="Comma 4 3 2 2 3 3 2" xfId="13481" xr:uid="{29717E7F-2057-4EE3-A3F1-7A8B92EA2AFA}"/>
    <cellStyle name="Comma 4 3 2 2 3 3 3" xfId="21928" xr:uid="{1CF1FB78-EEE3-45CE-AE57-4F94FBDEF37B}"/>
    <cellStyle name="Comma 4 3 2 2 3 4" xfId="9263" xr:uid="{058891C0-39AD-482F-B814-C81A2ED6F2DD}"/>
    <cellStyle name="Comma 4 3 2 2 3 5" xfId="17711" xr:uid="{B7B34F09-559C-4643-9EA3-E79251E3593C}"/>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1FA6EA3F-B75A-49C0-A583-647A8F9F14C7}"/>
    <cellStyle name="Comma 4 3 2 2 4 2 2 3" xfId="24486" xr:uid="{8FBDAC38-76DE-4EBC-9D16-D65AE07FE5E6}"/>
    <cellStyle name="Comma 4 3 2 2 4 2 3" xfId="11821" xr:uid="{F6DFE263-E34A-4E4F-8334-AB09CA174171}"/>
    <cellStyle name="Comma 4 3 2 2 4 2 4" xfId="20269" xr:uid="{838C0247-97C1-49DA-8A7F-0BA9266C6C69}"/>
    <cellStyle name="Comma 4 3 2 2 4 3" xfId="5444" xr:uid="{00000000-0005-0000-0000-000035090000}"/>
    <cellStyle name="Comma 4 3 2 2 4 3 2" xfId="13894" xr:uid="{B0A52D5D-E814-42BD-BF06-11F62E59EFF0}"/>
    <cellStyle name="Comma 4 3 2 2 4 3 3" xfId="22341" xr:uid="{4277BF1D-C4A9-4F01-83E2-A98324356070}"/>
    <cellStyle name="Comma 4 3 2 2 4 4" xfId="9676" xr:uid="{60C56298-E4E1-4C54-8393-8DCA5A290FE8}"/>
    <cellStyle name="Comma 4 3 2 2 4 5" xfId="18124" xr:uid="{002C901A-F79B-4D41-A6B6-927B5FD6602B}"/>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7C4CDD09-07F9-46CF-A9DB-64789ADECD0F}"/>
    <cellStyle name="Comma 4 3 2 2 5 2 2 3" xfId="24899" xr:uid="{E18E9AD4-926D-4592-B1C9-22CF8B236544}"/>
    <cellStyle name="Comma 4 3 2 2 5 2 3" xfId="12234" xr:uid="{A437C041-7DC0-4E5D-908B-AC47DA9B972E}"/>
    <cellStyle name="Comma 4 3 2 2 5 2 4" xfId="20682" xr:uid="{3430D9AF-CBA5-4250-96A1-C620589227DF}"/>
    <cellStyle name="Comma 4 3 2 2 5 3" xfId="5857" xr:uid="{00000000-0005-0000-0000-000039090000}"/>
    <cellStyle name="Comma 4 3 2 2 5 3 2" xfId="14307" xr:uid="{DD00866A-A7E2-49C2-A77B-11137F00ECC4}"/>
    <cellStyle name="Comma 4 3 2 2 5 3 3" xfId="22754" xr:uid="{2D223D5B-0A05-4E8B-9538-AB74E903AE50}"/>
    <cellStyle name="Comma 4 3 2 2 5 4" xfId="10089" xr:uid="{741724A3-99AD-475D-B74C-51E4F1D52EE2}"/>
    <cellStyle name="Comma 4 3 2 2 5 5" xfId="18537" xr:uid="{7A3C7341-A04B-41B2-9DE5-690400426981}"/>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2BC6BEAA-9D66-4DBA-8B1D-B6466EA68B33}"/>
    <cellStyle name="Comma 4 3 2 2 6 2 2 3" xfId="25312" xr:uid="{50DB3498-46AD-4C11-8765-EDCF002BBFEA}"/>
    <cellStyle name="Comma 4 3 2 2 6 2 3" xfId="12647" xr:uid="{063ACE34-839A-4889-8F9B-799C13F779B8}"/>
    <cellStyle name="Comma 4 3 2 2 6 2 4" xfId="21095" xr:uid="{838445CA-F1DD-49B2-9A85-A21BD33E5B76}"/>
    <cellStyle name="Comma 4 3 2 2 6 3" xfId="6270" xr:uid="{00000000-0005-0000-0000-00003D090000}"/>
    <cellStyle name="Comma 4 3 2 2 6 3 2" xfId="14720" xr:uid="{03F7E194-34EF-4A35-A638-9BA71C3238C9}"/>
    <cellStyle name="Comma 4 3 2 2 6 3 3" xfId="23167" xr:uid="{95D6D29C-32EC-4480-AF33-F1E64DC567F5}"/>
    <cellStyle name="Comma 4 3 2 2 6 4" xfId="10502" xr:uid="{577ADD6D-98BF-4076-AA8A-8FC35B04A600}"/>
    <cellStyle name="Comma 4 3 2 2 6 5" xfId="18950" xr:uid="{E45B5814-2F05-481F-97D2-2569C4572646}"/>
    <cellStyle name="Comma 4 3 2 2 7" xfId="2399" xr:uid="{00000000-0005-0000-0000-00003E090000}"/>
    <cellStyle name="Comma 4 3 2 2 7 2" xfId="6683" xr:uid="{00000000-0005-0000-0000-00003F090000}"/>
    <cellStyle name="Comma 4 3 2 2 7 2 2" xfId="15133" xr:uid="{0DB747C8-640C-4F60-BE38-7631556BCA35}"/>
    <cellStyle name="Comma 4 3 2 2 7 2 3" xfId="23580" xr:uid="{DDFB13D4-9023-49D6-A067-F07B1ED44E2B}"/>
    <cellStyle name="Comma 4 3 2 2 7 3" xfId="10915" xr:uid="{D46A8A29-9D1B-4827-89AD-8A8C30D43DD3}"/>
    <cellStyle name="Comma 4 3 2 2 7 4" xfId="19363" xr:uid="{FBDAD26E-EF66-41B3-9F60-42175F906427}"/>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6E841DE6-B803-41E8-871A-FE145B2E6DD8}"/>
    <cellStyle name="Comma 4 3 2 2 9 2 3" xfId="23897" xr:uid="{21D556A0-6C81-48D8-BF4C-BB139A5E4E64}"/>
    <cellStyle name="Comma 4 3 2 2 9 3" xfId="11232" xr:uid="{95992617-A7F1-435D-98BF-AD988FD8C72B}"/>
    <cellStyle name="Comma 4 3 2 2 9 4" xfId="19680" xr:uid="{53950032-91BF-4A08-B0B6-CEB4B93E1FDF}"/>
    <cellStyle name="Comma 4 3 2 3" xfId="148" xr:uid="{00000000-0005-0000-0000-000043090000}"/>
    <cellStyle name="Comma 4 3 2 3 10" xfId="8851" xr:uid="{4C1062D0-E808-4950-AE94-73907688673D}"/>
    <cellStyle name="Comma 4 3 2 3 11" xfId="17299" xr:uid="{083F037F-4FF1-418D-B2A7-7176F25C67C8}"/>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1FEF476C-E5F8-4C72-8402-E93E644883C7}"/>
    <cellStyle name="Comma 4 3 2 3 2 2 2 3" xfId="24075" xr:uid="{85CB5F4D-5D49-418F-B08E-149D75DBB9CF}"/>
    <cellStyle name="Comma 4 3 2 3 2 2 3" xfId="11410" xr:uid="{61E6880D-3E96-4E4A-B174-B9C3EF266DD4}"/>
    <cellStyle name="Comma 4 3 2 3 2 2 4" xfId="19858" xr:uid="{C503DE81-49E0-4D92-8DC4-C611CB21183E}"/>
    <cellStyle name="Comma 4 3 2 3 2 3" xfId="5033" xr:uid="{00000000-0005-0000-0000-000047090000}"/>
    <cellStyle name="Comma 4 3 2 3 2 3 2" xfId="13483" xr:uid="{088C1355-4CD8-4BB1-B64C-7913B96A01EA}"/>
    <cellStyle name="Comma 4 3 2 3 2 3 3" xfId="21930" xr:uid="{3EC0A791-1423-4DE4-AD53-FA59F323DF5E}"/>
    <cellStyle name="Comma 4 3 2 3 2 4" xfId="9265" xr:uid="{C0B734CF-71CA-4B23-B817-1B7314A26A27}"/>
    <cellStyle name="Comma 4 3 2 3 2 5" xfId="17713" xr:uid="{3498DD32-4389-4C02-A5B7-FA3AF076306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6C281F56-BC9E-4177-B596-B100477BEEC0}"/>
    <cellStyle name="Comma 4 3 2 3 3 2 2 3" xfId="24488" xr:uid="{8FBF5166-C293-456F-A5F4-CF7F2E1A9740}"/>
    <cellStyle name="Comma 4 3 2 3 3 2 3" xfId="11823" xr:uid="{2318F82B-65D4-4096-A987-27B92AB1C71F}"/>
    <cellStyle name="Comma 4 3 2 3 3 2 4" xfId="20271" xr:uid="{9ACE17CD-3A56-45A5-BCB9-E9F86E0E24A2}"/>
    <cellStyle name="Comma 4 3 2 3 3 3" xfId="5446" xr:uid="{00000000-0005-0000-0000-00004B090000}"/>
    <cellStyle name="Comma 4 3 2 3 3 3 2" xfId="13896" xr:uid="{B09CCF14-19FE-4334-B38B-F382606FB89B}"/>
    <cellStyle name="Comma 4 3 2 3 3 3 3" xfId="22343" xr:uid="{88BC0AE2-77D1-4C31-B590-089945C800A3}"/>
    <cellStyle name="Comma 4 3 2 3 3 4" xfId="9678" xr:uid="{98DF9C38-1AE3-4749-A91D-F9BAEC5624E5}"/>
    <cellStyle name="Comma 4 3 2 3 3 5" xfId="18126" xr:uid="{43D0DCBB-EB2D-4357-9999-6E80D09E17F9}"/>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0CE7FE2F-A041-4AB9-956B-3C9DF0D6953C}"/>
    <cellStyle name="Comma 4 3 2 3 4 2 2 3" xfId="24901" xr:uid="{F969403B-DA82-489C-9891-6282A45ACDF5}"/>
    <cellStyle name="Comma 4 3 2 3 4 2 3" xfId="12236" xr:uid="{DDC5EBDB-EEC9-4DCE-BBA0-397B7CCB5764}"/>
    <cellStyle name="Comma 4 3 2 3 4 2 4" xfId="20684" xr:uid="{E1F30BB4-0F24-4DF1-BB3C-86F855FD088B}"/>
    <cellStyle name="Comma 4 3 2 3 4 3" xfId="5859" xr:uid="{00000000-0005-0000-0000-00004F090000}"/>
    <cellStyle name="Comma 4 3 2 3 4 3 2" xfId="14309" xr:uid="{E8EE5AAC-3D1A-4138-B580-7BAE9D594A31}"/>
    <cellStyle name="Comma 4 3 2 3 4 3 3" xfId="22756" xr:uid="{D3218791-F74A-41C9-982B-45A61A888D89}"/>
    <cellStyle name="Comma 4 3 2 3 4 4" xfId="10091" xr:uid="{342A214F-4AAA-495F-9D22-8A9B2DC17C1E}"/>
    <cellStyle name="Comma 4 3 2 3 4 5" xfId="18539" xr:uid="{882008C7-ACA6-4E19-8535-74EF9FBB141E}"/>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AB6D2761-62BE-4BB5-A6F3-423447406656}"/>
    <cellStyle name="Comma 4 3 2 3 5 2 2 3" xfId="25314" xr:uid="{1BE432F8-B3F6-4E3C-9DBE-F0854CAFAC4C}"/>
    <cellStyle name="Comma 4 3 2 3 5 2 3" xfId="12649" xr:uid="{C7F26861-641C-4CE9-9A5A-93CA536A9D92}"/>
    <cellStyle name="Comma 4 3 2 3 5 2 4" xfId="21097" xr:uid="{7FD59359-7276-4439-A2FB-7735D88F4FDD}"/>
    <cellStyle name="Comma 4 3 2 3 5 3" xfId="6272" xr:uid="{00000000-0005-0000-0000-000053090000}"/>
    <cellStyle name="Comma 4 3 2 3 5 3 2" xfId="14722" xr:uid="{DEDC9E98-64D4-45E8-8E87-C6A86DC25044}"/>
    <cellStyle name="Comma 4 3 2 3 5 3 3" xfId="23169" xr:uid="{3A7FADF5-7142-4232-91D2-BDF7A5898521}"/>
    <cellStyle name="Comma 4 3 2 3 5 4" xfId="10504" xr:uid="{82520F70-78EF-4E05-B09A-9323636ADF26}"/>
    <cellStyle name="Comma 4 3 2 3 5 5" xfId="18952" xr:uid="{342CF121-972A-4677-A259-AA08FCD6C0D0}"/>
    <cellStyle name="Comma 4 3 2 3 6" xfId="2401" xr:uid="{00000000-0005-0000-0000-000054090000}"/>
    <cellStyle name="Comma 4 3 2 3 6 2" xfId="6685" xr:uid="{00000000-0005-0000-0000-000055090000}"/>
    <cellStyle name="Comma 4 3 2 3 6 2 2" xfId="15135" xr:uid="{A7B96C86-228A-4F7E-926F-F480E0273A4D}"/>
    <cellStyle name="Comma 4 3 2 3 6 2 3" xfId="23582" xr:uid="{27337437-DD26-48F9-8AB5-2632A8FB40DF}"/>
    <cellStyle name="Comma 4 3 2 3 6 3" xfId="10917" xr:uid="{C0782D6E-E576-40FF-AE34-B65107E0E08D}"/>
    <cellStyle name="Comma 4 3 2 3 6 4" xfId="19365" xr:uid="{E81766D6-95B1-4FFD-8893-8BC703806801}"/>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765F4781-CDC1-4E08-94E3-2FB644848406}"/>
    <cellStyle name="Comma 4 3 2 3 8 2 3" xfId="23899" xr:uid="{EA1FA866-E7D7-4E98-96D3-433799C03B38}"/>
    <cellStyle name="Comma 4 3 2 3 8 3" xfId="11234" xr:uid="{5E5DEEBB-0F9A-4558-BAB7-558127FC0A54}"/>
    <cellStyle name="Comma 4 3 2 3 8 4" xfId="19682" xr:uid="{F19FDF8D-B0D1-4140-A3ED-5DE11FA4D985}"/>
    <cellStyle name="Comma 4 3 2 3 9" xfId="4619" xr:uid="{00000000-0005-0000-0000-000059090000}"/>
    <cellStyle name="Comma 4 3 2 3 9 2" xfId="13069" xr:uid="{AABE90FA-6F05-4336-88FE-B319AEF9A548}"/>
    <cellStyle name="Comma 4 3 2 3 9 3" xfId="21516" xr:uid="{AD471BD4-A264-42FD-BB88-522FA8829CE5}"/>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5313F025-5D3C-45BB-B5D1-5C92DBCFA26F}"/>
    <cellStyle name="Comma 4 3 2 4 2 2 3" xfId="24072" xr:uid="{A53C1244-48DE-4D4D-BAEF-70F5480F0466}"/>
    <cellStyle name="Comma 4 3 2 4 2 3" xfId="11407" xr:uid="{29810CC8-1413-4BE6-85D1-2FC8E61CBAEF}"/>
    <cellStyle name="Comma 4 3 2 4 2 4" xfId="19855" xr:uid="{7E57EAD3-078D-4481-9D59-816BD44E5974}"/>
    <cellStyle name="Comma 4 3 2 4 3" xfId="5030" xr:uid="{00000000-0005-0000-0000-00005D090000}"/>
    <cellStyle name="Comma 4 3 2 4 3 2" xfId="13480" xr:uid="{C2481316-E81C-4381-8DE7-60DAD135453C}"/>
    <cellStyle name="Comma 4 3 2 4 3 3" xfId="21927" xr:uid="{A91083DB-EA59-474C-BE5D-30062C1DBAF4}"/>
    <cellStyle name="Comma 4 3 2 4 4" xfId="9262" xr:uid="{E366370A-7EBF-4165-B41D-CFF830C4DDB6}"/>
    <cellStyle name="Comma 4 3 2 4 5" xfId="17710" xr:uid="{558F3085-BF9E-47F7-9AC9-4C4B145DF6E2}"/>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D7361B8F-CE46-4BE7-BE0A-A122E039259C}"/>
    <cellStyle name="Comma 4 3 2 5 2 2 3" xfId="24485" xr:uid="{7D517F5D-FD27-4097-BB5A-B4206F5EC44F}"/>
    <cellStyle name="Comma 4 3 2 5 2 3" xfId="11820" xr:uid="{0B7120F9-ED2A-4F86-B912-502EDFC79F4F}"/>
    <cellStyle name="Comma 4 3 2 5 2 4" xfId="20268" xr:uid="{4ECFA12E-91BE-4C91-A7B3-C7A3EDBD9386}"/>
    <cellStyle name="Comma 4 3 2 5 3" xfId="5443" xr:uid="{00000000-0005-0000-0000-000061090000}"/>
    <cellStyle name="Comma 4 3 2 5 3 2" xfId="13893" xr:uid="{E71414BB-59C7-42C6-AA02-B2AD7AA50972}"/>
    <cellStyle name="Comma 4 3 2 5 3 3" xfId="22340" xr:uid="{4C179029-CE12-405F-BAB1-46DBF9C6F7A8}"/>
    <cellStyle name="Comma 4 3 2 5 4" xfId="9675" xr:uid="{725D07E3-1CCD-4716-898E-77126DB76E48}"/>
    <cellStyle name="Comma 4 3 2 5 5" xfId="18123" xr:uid="{1E06C1FA-D511-4C4B-BE71-92EA1FB6B08C}"/>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773CDB36-2090-4762-9370-F51DB004B9E4}"/>
    <cellStyle name="Comma 4 3 2 6 2 2 3" xfId="24898" xr:uid="{CD047CE6-9386-439E-B185-E525A934126C}"/>
    <cellStyle name="Comma 4 3 2 6 2 3" xfId="12233" xr:uid="{D6389625-386B-4E73-B08B-0B718BE74648}"/>
    <cellStyle name="Comma 4 3 2 6 2 4" xfId="20681" xr:uid="{A92A17E3-ABFB-48ED-A1DF-2F28D6533EE0}"/>
    <cellStyle name="Comma 4 3 2 6 3" xfId="5856" xr:uid="{00000000-0005-0000-0000-000065090000}"/>
    <cellStyle name="Comma 4 3 2 6 3 2" xfId="14306" xr:uid="{7142E784-2AD1-4312-B139-A94145EB71FA}"/>
    <cellStyle name="Comma 4 3 2 6 3 3" xfId="22753" xr:uid="{D5C33BFE-23C0-4C6F-A685-8FA0878AE88E}"/>
    <cellStyle name="Comma 4 3 2 6 4" xfId="10088" xr:uid="{8319E8EC-8AA7-4FF8-ACA9-0727B57793C1}"/>
    <cellStyle name="Comma 4 3 2 6 5" xfId="18536" xr:uid="{81C5AB2B-9539-4F8D-BE74-3F5A8D8909D9}"/>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6CA89AA7-45F1-4DE5-A402-90598A6BF3E4}"/>
    <cellStyle name="Comma 4 3 2 7 2 2 3" xfId="25311" xr:uid="{09CA8B7A-2959-4AD1-AFB1-867EB56D28CB}"/>
    <cellStyle name="Comma 4 3 2 7 2 3" xfId="12646" xr:uid="{EB4957CD-6B12-45A6-84F2-5118AD9A1664}"/>
    <cellStyle name="Comma 4 3 2 7 2 4" xfId="21094" xr:uid="{90B225F5-C5B3-4B3B-8BC6-5844397F5765}"/>
    <cellStyle name="Comma 4 3 2 7 3" xfId="6269" xr:uid="{00000000-0005-0000-0000-000069090000}"/>
    <cellStyle name="Comma 4 3 2 7 3 2" xfId="14719" xr:uid="{17E685A8-60E2-498C-A60F-F05B32179A4D}"/>
    <cellStyle name="Comma 4 3 2 7 3 3" xfId="23166" xr:uid="{96F2A737-6080-4768-A6A6-3CA6A97E7FBF}"/>
    <cellStyle name="Comma 4 3 2 7 4" xfId="10501" xr:uid="{D3D122BB-CA0F-4F32-A8AC-1647ABDDF352}"/>
    <cellStyle name="Comma 4 3 2 7 5" xfId="18949" xr:uid="{2B4A6633-087F-4511-869D-C24A482A8BD8}"/>
    <cellStyle name="Comma 4 3 2 8" xfId="2398" xr:uid="{00000000-0005-0000-0000-00006A090000}"/>
    <cellStyle name="Comma 4 3 2 8 2" xfId="6682" xr:uid="{00000000-0005-0000-0000-00006B090000}"/>
    <cellStyle name="Comma 4 3 2 8 2 2" xfId="15132" xr:uid="{3CBF2440-1FAF-4C27-AE81-6BA5932E1FAE}"/>
    <cellStyle name="Comma 4 3 2 8 2 3" xfId="23579" xr:uid="{0B0D9097-0773-4E4E-822E-4793FD12125A}"/>
    <cellStyle name="Comma 4 3 2 8 3" xfId="10914" xr:uid="{13600979-F3FC-4EAD-A2E3-77796EFA9CC1}"/>
    <cellStyle name="Comma 4 3 2 8 4" xfId="19362" xr:uid="{FA583D82-1117-434B-A263-B0AC219542DC}"/>
    <cellStyle name="Comma 4 3 2 9" xfId="2365" xr:uid="{00000000-0005-0000-0000-00006C090000}"/>
    <cellStyle name="Comma 4 3 3" xfId="149" xr:uid="{00000000-0005-0000-0000-00006D090000}"/>
    <cellStyle name="Comma 4 3 3 10" xfId="4620" xr:uid="{00000000-0005-0000-0000-00006E090000}"/>
    <cellStyle name="Comma 4 3 3 10 2" xfId="13070" xr:uid="{BD2BD417-722F-4444-B228-73BF709D7C53}"/>
    <cellStyle name="Comma 4 3 3 10 3" xfId="21517" xr:uid="{746A2063-C8BA-434E-907F-DF355B0D3959}"/>
    <cellStyle name="Comma 4 3 3 11" xfId="8852" xr:uid="{A6492AC5-73C2-477F-AB97-BA2095D605F3}"/>
    <cellStyle name="Comma 4 3 3 12" xfId="17300" xr:uid="{3FCD44F6-44B6-47DC-A7F9-437C0225205B}"/>
    <cellStyle name="Comma 4 3 3 2" xfId="150" xr:uid="{00000000-0005-0000-0000-00006F090000}"/>
    <cellStyle name="Comma 4 3 3 2 10" xfId="8853" xr:uid="{BEEDE537-774D-49E9-B6F9-C498D641E5CF}"/>
    <cellStyle name="Comma 4 3 3 2 11" xfId="17301" xr:uid="{A56022E2-EBD7-4AC2-8E8E-1B70F891F771}"/>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28759EEB-1636-426F-B1B3-F37D256081C2}"/>
    <cellStyle name="Comma 4 3 3 2 2 2 2 3" xfId="24077" xr:uid="{5F7F86D7-D649-4EF6-AAC9-1F28BDC58A49}"/>
    <cellStyle name="Comma 4 3 3 2 2 2 3" xfId="11412" xr:uid="{F9B5CCB4-C997-4D36-B3BC-7B781018B251}"/>
    <cellStyle name="Comma 4 3 3 2 2 2 4" xfId="19860" xr:uid="{2E078E31-AC97-48C3-BD25-FAD36FA49A70}"/>
    <cellStyle name="Comma 4 3 3 2 2 3" xfId="5035" xr:uid="{00000000-0005-0000-0000-000073090000}"/>
    <cellStyle name="Comma 4 3 3 2 2 3 2" xfId="13485" xr:uid="{1E5ACB63-DFAE-4540-8A97-5B92A2757BF7}"/>
    <cellStyle name="Comma 4 3 3 2 2 3 3" xfId="21932" xr:uid="{9AC89C98-E1DB-480D-9B33-9414A2A3B9DE}"/>
    <cellStyle name="Comma 4 3 3 2 2 4" xfId="9267" xr:uid="{72B4E976-8732-4C60-BBC1-A1D11CF6E2A1}"/>
    <cellStyle name="Comma 4 3 3 2 2 5" xfId="17715" xr:uid="{4C2CA481-78EE-4EB4-BF9A-C38751770F72}"/>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9BDB5F1D-E313-406F-B95E-CC5335B86297}"/>
    <cellStyle name="Comma 4 3 3 2 3 2 2 3" xfId="24490" xr:uid="{CB12EAEF-4347-4CC9-8F17-DFDA9B3713C7}"/>
    <cellStyle name="Comma 4 3 3 2 3 2 3" xfId="11825" xr:uid="{EC524331-6990-404E-BDDA-2F8496DD188A}"/>
    <cellStyle name="Comma 4 3 3 2 3 2 4" xfId="20273" xr:uid="{36A9B1AE-9469-41C5-9634-3E37EFCBAE9F}"/>
    <cellStyle name="Comma 4 3 3 2 3 3" xfId="5448" xr:uid="{00000000-0005-0000-0000-000077090000}"/>
    <cellStyle name="Comma 4 3 3 2 3 3 2" xfId="13898" xr:uid="{35560530-1CFF-4775-B37F-8CBAB60A4925}"/>
    <cellStyle name="Comma 4 3 3 2 3 3 3" xfId="22345" xr:uid="{1148B48E-F17A-47B6-B7EF-784117202426}"/>
    <cellStyle name="Comma 4 3 3 2 3 4" xfId="9680" xr:uid="{A7CC999F-D5D5-466D-B66A-C5CA81C76AFA}"/>
    <cellStyle name="Comma 4 3 3 2 3 5" xfId="18128" xr:uid="{25A73BC7-CC8E-4E2E-AA62-0757949229E1}"/>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E3C908CD-838B-4E7D-832B-454BECA69518}"/>
    <cellStyle name="Comma 4 3 3 2 4 2 2 3" xfId="24903" xr:uid="{D13BFFF3-F20E-4DE2-82FF-332B4C2C441E}"/>
    <cellStyle name="Comma 4 3 3 2 4 2 3" xfId="12238" xr:uid="{48F15150-57C6-46FB-A640-99F1C3DF994B}"/>
    <cellStyle name="Comma 4 3 3 2 4 2 4" xfId="20686" xr:uid="{D7F25C54-22F9-47E1-8431-EE973F506EA3}"/>
    <cellStyle name="Comma 4 3 3 2 4 3" xfId="5861" xr:uid="{00000000-0005-0000-0000-00007B090000}"/>
    <cellStyle name="Comma 4 3 3 2 4 3 2" xfId="14311" xr:uid="{FB73755A-1203-4320-A321-B1132660E403}"/>
    <cellStyle name="Comma 4 3 3 2 4 3 3" xfId="22758" xr:uid="{3A54AE63-3163-4D28-946B-6C5696AE0D35}"/>
    <cellStyle name="Comma 4 3 3 2 4 4" xfId="10093" xr:uid="{6820DFF2-8FD8-45B8-9DA6-906C1C0E2358}"/>
    <cellStyle name="Comma 4 3 3 2 4 5" xfId="18541" xr:uid="{C7B39900-2CDB-49C8-B033-1367F5D14FB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FAA313E9-8E9E-45BD-B764-AC5D4F84A904}"/>
    <cellStyle name="Comma 4 3 3 2 5 2 2 3" xfId="25316" xr:uid="{070C0D5B-2B3C-453D-A50D-F2233E35E25D}"/>
    <cellStyle name="Comma 4 3 3 2 5 2 3" xfId="12651" xr:uid="{DB778E9E-0D12-48F8-804E-F5152E97E54D}"/>
    <cellStyle name="Comma 4 3 3 2 5 2 4" xfId="21099" xr:uid="{319D2BDF-8A44-40D5-AB9C-793E79271A3A}"/>
    <cellStyle name="Comma 4 3 3 2 5 3" xfId="6274" xr:uid="{00000000-0005-0000-0000-00007F090000}"/>
    <cellStyle name="Comma 4 3 3 2 5 3 2" xfId="14724" xr:uid="{35F0969D-E839-4557-A88B-CDF4C76B608E}"/>
    <cellStyle name="Comma 4 3 3 2 5 3 3" xfId="23171" xr:uid="{E49F3E60-BD42-484B-BCD0-78A0BCB7AE52}"/>
    <cellStyle name="Comma 4 3 3 2 5 4" xfId="10506" xr:uid="{A5C88D27-AD3B-44BD-BCB2-621A2204ADA6}"/>
    <cellStyle name="Comma 4 3 3 2 5 5" xfId="18954" xr:uid="{9812A786-94B6-4909-B12B-8763D24C2273}"/>
    <cellStyle name="Comma 4 3 3 2 6" xfId="2403" xr:uid="{00000000-0005-0000-0000-000080090000}"/>
    <cellStyle name="Comma 4 3 3 2 6 2" xfId="6687" xr:uid="{00000000-0005-0000-0000-000081090000}"/>
    <cellStyle name="Comma 4 3 3 2 6 2 2" xfId="15137" xr:uid="{B0A05401-FADC-4F49-A3AC-FAD77F4A69BD}"/>
    <cellStyle name="Comma 4 3 3 2 6 2 3" xfId="23584" xr:uid="{E982B54B-39EC-4EA1-B668-04843A2E6D58}"/>
    <cellStyle name="Comma 4 3 3 2 6 3" xfId="10919" xr:uid="{84D3BDB9-3FD7-48C7-98CB-DDBD4259613B}"/>
    <cellStyle name="Comma 4 3 3 2 6 4" xfId="19367" xr:uid="{0BECA263-4CBD-41CD-A08E-2948873A8D04}"/>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86030096-AC97-4314-A97C-4BCA32CE3F2D}"/>
    <cellStyle name="Comma 4 3 3 2 8 2 3" xfId="23901" xr:uid="{19012968-F1F1-4332-AD45-A453BE25363E}"/>
    <cellStyle name="Comma 4 3 3 2 8 3" xfId="11236" xr:uid="{3DBF884F-8AA6-43B7-B1B4-DC95B07F1BB6}"/>
    <cellStyle name="Comma 4 3 3 2 8 4" xfId="19684" xr:uid="{9BFE4025-23C0-4F40-89E7-BFA1986467BD}"/>
    <cellStyle name="Comma 4 3 3 2 9" xfId="4621" xr:uid="{00000000-0005-0000-0000-000085090000}"/>
    <cellStyle name="Comma 4 3 3 2 9 2" xfId="13071" xr:uid="{0550DF02-C54E-445C-BD5C-2D7C9699AB3E}"/>
    <cellStyle name="Comma 4 3 3 2 9 3" xfId="21518" xr:uid="{4C793167-87E2-4D97-BA43-0CC86EF02538}"/>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74E471A2-AEEA-4C30-9681-AD65DD1B1910}"/>
    <cellStyle name="Comma 4 3 3 3 2 2 3" xfId="24076" xr:uid="{3F3610B0-C84D-4806-BBC2-E6C7D0C203AF}"/>
    <cellStyle name="Comma 4 3 3 3 2 3" xfId="11411" xr:uid="{8CAB97EB-BCE4-464C-B1AD-E37D39973421}"/>
    <cellStyle name="Comma 4 3 3 3 2 4" xfId="19859" xr:uid="{FE9E85D6-CD15-4FB6-898D-D9E5B93782B0}"/>
    <cellStyle name="Comma 4 3 3 3 3" xfId="5034" xr:uid="{00000000-0005-0000-0000-000089090000}"/>
    <cellStyle name="Comma 4 3 3 3 3 2" xfId="13484" xr:uid="{0C946C5D-DAD2-4FE0-BDD6-0F4D0D118749}"/>
    <cellStyle name="Comma 4 3 3 3 3 3" xfId="21931" xr:uid="{03559AAB-5217-40B6-8BBF-8546CA5D83C8}"/>
    <cellStyle name="Comma 4 3 3 3 4" xfId="9266" xr:uid="{E338C117-94D8-40A5-9F8B-D318899CD4E1}"/>
    <cellStyle name="Comma 4 3 3 3 5" xfId="17714" xr:uid="{9CC79BF7-9105-4893-AB51-1A8990D792BF}"/>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CB235AB1-C568-44F4-B638-3E1B25172154}"/>
    <cellStyle name="Comma 4 3 3 4 2 2 3" xfId="24489" xr:uid="{A070AEA4-72DB-4862-AFBA-0BF89AB3B7E3}"/>
    <cellStyle name="Comma 4 3 3 4 2 3" xfId="11824" xr:uid="{736AAFA2-136C-4D30-910F-F8D3B5D014B3}"/>
    <cellStyle name="Comma 4 3 3 4 2 4" xfId="20272" xr:uid="{BD91ADEB-0AC7-42A0-BA5C-F7DE7654347D}"/>
    <cellStyle name="Comma 4 3 3 4 3" xfId="5447" xr:uid="{00000000-0005-0000-0000-00008D090000}"/>
    <cellStyle name="Comma 4 3 3 4 3 2" xfId="13897" xr:uid="{FC763719-EED8-4BBF-AEAB-9A490E23E995}"/>
    <cellStyle name="Comma 4 3 3 4 3 3" xfId="22344" xr:uid="{0E81C4F6-E32A-42CD-9613-96E28E5136EA}"/>
    <cellStyle name="Comma 4 3 3 4 4" xfId="9679" xr:uid="{E845F4EF-C149-4AF0-8E63-C94FB5ECB29C}"/>
    <cellStyle name="Comma 4 3 3 4 5" xfId="18127" xr:uid="{A60C6203-80BA-4116-BDA9-88E87946FD61}"/>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F6EEE37A-B00F-4B28-9A42-5BD50B338264}"/>
    <cellStyle name="Comma 4 3 3 5 2 2 3" xfId="24902" xr:uid="{D9069436-B065-487E-A77C-763CCE5418E6}"/>
    <cellStyle name="Comma 4 3 3 5 2 3" xfId="12237" xr:uid="{B576E62C-09FB-4950-9A69-3504C00FB500}"/>
    <cellStyle name="Comma 4 3 3 5 2 4" xfId="20685" xr:uid="{ADDFF8A4-5D7E-4ADC-AF3D-0A0998DFDCC8}"/>
    <cellStyle name="Comma 4 3 3 5 3" xfId="5860" xr:uid="{00000000-0005-0000-0000-000091090000}"/>
    <cellStyle name="Comma 4 3 3 5 3 2" xfId="14310" xr:uid="{83553B77-70A7-496F-8D44-4569761C70D0}"/>
    <cellStyle name="Comma 4 3 3 5 3 3" xfId="22757" xr:uid="{C2193C05-E505-4D3A-9A91-E6354D2E6E3B}"/>
    <cellStyle name="Comma 4 3 3 5 4" xfId="10092" xr:uid="{6AC37F59-DC5D-4A82-908E-5FE836D3510A}"/>
    <cellStyle name="Comma 4 3 3 5 5" xfId="18540" xr:uid="{CD4DA776-F9A9-41B6-9A80-9CD561776F0F}"/>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1B002FB4-24CF-4793-8B07-B7431EA39CE0}"/>
    <cellStyle name="Comma 4 3 3 6 2 2 3" xfId="25315" xr:uid="{4EFA23BD-DF5A-41FD-AFC2-79276EFD30D5}"/>
    <cellStyle name="Comma 4 3 3 6 2 3" xfId="12650" xr:uid="{EFC05C6B-6D77-41E5-A96E-4BE78103354E}"/>
    <cellStyle name="Comma 4 3 3 6 2 4" xfId="21098" xr:uid="{D789567A-B5FF-4516-BEE4-AF5D8995C2AF}"/>
    <cellStyle name="Comma 4 3 3 6 3" xfId="6273" xr:uid="{00000000-0005-0000-0000-000095090000}"/>
    <cellStyle name="Comma 4 3 3 6 3 2" xfId="14723" xr:uid="{2EED8CC5-0345-43CB-9BB7-D3FF26FB2AFA}"/>
    <cellStyle name="Comma 4 3 3 6 3 3" xfId="23170" xr:uid="{2139D4A3-D058-4323-980D-0B8EDAC4FDFD}"/>
    <cellStyle name="Comma 4 3 3 6 4" xfId="10505" xr:uid="{93726C4F-FBD7-447D-8489-1EEB3608C85C}"/>
    <cellStyle name="Comma 4 3 3 6 5" xfId="18953" xr:uid="{5D857A00-0830-4599-8F19-8F94167DDED5}"/>
    <cellStyle name="Comma 4 3 3 7" xfId="2402" xr:uid="{00000000-0005-0000-0000-000096090000}"/>
    <cellStyle name="Comma 4 3 3 7 2" xfId="6686" xr:uid="{00000000-0005-0000-0000-000097090000}"/>
    <cellStyle name="Comma 4 3 3 7 2 2" xfId="15136" xr:uid="{97F54630-112A-40DC-A953-AB84BD7C0BD1}"/>
    <cellStyle name="Comma 4 3 3 7 2 3" xfId="23583" xr:uid="{22758058-E5B0-4AD1-AF88-38A43D4A0ED5}"/>
    <cellStyle name="Comma 4 3 3 7 3" xfId="10918" xr:uid="{E3EC4D53-F3B1-4E2D-B155-2822E04CFC1D}"/>
    <cellStyle name="Comma 4 3 3 7 4" xfId="19366" xr:uid="{91609A3B-DCF0-4DC6-8A70-6AF6D5483399}"/>
    <cellStyle name="Comma 4 3 3 8" xfId="2361" xr:uid="{00000000-0005-0000-0000-000098090000}"/>
    <cellStyle name="Comma 4 3 3 9" xfId="2780" xr:uid="{00000000-0005-0000-0000-000099090000}"/>
    <cellStyle name="Comma 4 3 3 9 2" xfId="7003" xr:uid="{00000000-0005-0000-0000-00009A090000}"/>
    <cellStyle name="Comma 4 3 3 9 2 2" xfId="15453" xr:uid="{2A19C13E-AED3-49A2-AF4C-E3E3D143FEC3}"/>
    <cellStyle name="Comma 4 3 3 9 2 3" xfId="23900" xr:uid="{0F5E0747-BDC2-4911-AAF8-AE139C3BDC42}"/>
    <cellStyle name="Comma 4 3 3 9 3" xfId="11235" xr:uid="{D6C25563-A70C-4E32-A342-ED7912475D3B}"/>
    <cellStyle name="Comma 4 3 3 9 4" xfId="19683" xr:uid="{2649195C-06A4-44A0-925B-7C2A683902FB}"/>
    <cellStyle name="Comma 4 3 4" xfId="151" xr:uid="{00000000-0005-0000-0000-00009B090000}"/>
    <cellStyle name="Comma 4 3 4 10" xfId="8854" xr:uid="{7C3A3470-B934-4EC3-8166-A7E7EE5CD92A}"/>
    <cellStyle name="Comma 4 3 4 11" xfId="17302" xr:uid="{69BB7B13-C2EB-4C81-B60D-F71C18D385DB}"/>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07C559FD-E033-408A-B80D-180598CCD1F7}"/>
    <cellStyle name="Comma 4 3 4 2 2 2 3" xfId="24078" xr:uid="{44F908F2-6253-43A2-9434-E403719307A4}"/>
    <cellStyle name="Comma 4 3 4 2 2 3" xfId="11413" xr:uid="{334C0247-71B3-41A0-9828-4CD4B34EC68C}"/>
    <cellStyle name="Comma 4 3 4 2 2 4" xfId="19861" xr:uid="{6C554EBC-7FFF-4487-A9F3-848510D3FA08}"/>
    <cellStyle name="Comma 4 3 4 2 3" xfId="5036" xr:uid="{00000000-0005-0000-0000-00009F090000}"/>
    <cellStyle name="Comma 4 3 4 2 3 2" xfId="13486" xr:uid="{654B8EF3-8056-47FE-BB32-2F3D6FBD3924}"/>
    <cellStyle name="Comma 4 3 4 2 3 3" xfId="21933" xr:uid="{1F1AD3C8-B933-482F-A8D4-5C9FC9E6B143}"/>
    <cellStyle name="Comma 4 3 4 2 4" xfId="9268" xr:uid="{8AF14962-172E-4D09-BE36-40EE316D2409}"/>
    <cellStyle name="Comma 4 3 4 2 5" xfId="17716" xr:uid="{3494F1EF-A21E-4F23-8030-42C0F394D991}"/>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0AE0AC84-345A-4B7E-910D-F66D67FB297A}"/>
    <cellStyle name="Comma 4 3 4 3 2 2 3" xfId="24491" xr:uid="{AAA70554-26A4-4FA9-9220-302CD3F5AD2B}"/>
    <cellStyle name="Comma 4 3 4 3 2 3" xfId="11826" xr:uid="{786C5B1C-E72A-47C5-A6C9-874B14D24FE4}"/>
    <cellStyle name="Comma 4 3 4 3 2 4" xfId="20274" xr:uid="{60366A9D-00E6-480C-8154-7D50E2BB286F}"/>
    <cellStyle name="Comma 4 3 4 3 3" xfId="5449" xr:uid="{00000000-0005-0000-0000-0000A3090000}"/>
    <cellStyle name="Comma 4 3 4 3 3 2" xfId="13899" xr:uid="{7E196F6F-95D2-4CF4-8F57-E6B84FCE987D}"/>
    <cellStyle name="Comma 4 3 4 3 3 3" xfId="22346" xr:uid="{DC1BA439-43A3-4D7B-8B45-7DC75BBE8EDC}"/>
    <cellStyle name="Comma 4 3 4 3 4" xfId="9681" xr:uid="{139740CF-915B-4621-912C-DEFCB3850EA6}"/>
    <cellStyle name="Comma 4 3 4 3 5" xfId="18129" xr:uid="{D437CA4F-3A2D-4213-BAA6-3667DAE74681}"/>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2825203C-03D3-41F9-A59D-7B18D0F8C341}"/>
    <cellStyle name="Comma 4 3 4 4 2 2 3" xfId="24904" xr:uid="{1484D975-C74E-4F31-9230-71C2283DCC60}"/>
    <cellStyle name="Comma 4 3 4 4 2 3" xfId="12239" xr:uid="{18A8A34C-6028-4AEA-9FD2-938E5F4F9785}"/>
    <cellStyle name="Comma 4 3 4 4 2 4" xfId="20687" xr:uid="{F2A125CB-4BE5-4986-8489-9A7B65025D9D}"/>
    <cellStyle name="Comma 4 3 4 4 3" xfId="5862" xr:uid="{00000000-0005-0000-0000-0000A7090000}"/>
    <cellStyle name="Comma 4 3 4 4 3 2" xfId="14312" xr:uid="{7F41DB2D-CF90-4F70-9665-1FE71C93F264}"/>
    <cellStyle name="Comma 4 3 4 4 3 3" xfId="22759" xr:uid="{FBBB9DD2-CD8B-4322-8FA0-DBEF230728D7}"/>
    <cellStyle name="Comma 4 3 4 4 4" xfId="10094" xr:uid="{F07D4515-760E-48FE-BCA1-1401D3A34FA1}"/>
    <cellStyle name="Comma 4 3 4 4 5" xfId="18542" xr:uid="{C301C202-BF18-42CF-BAE7-FA7F10FDF272}"/>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08F76EEE-1F5E-4FD8-B97C-EB683449DA5D}"/>
    <cellStyle name="Comma 4 3 4 5 2 2 3" xfId="25317" xr:uid="{D8E93611-1AEF-45C3-A960-4A4BA4CB624B}"/>
    <cellStyle name="Comma 4 3 4 5 2 3" xfId="12652" xr:uid="{FC69A50D-E297-4A63-AA86-54035AEF576A}"/>
    <cellStyle name="Comma 4 3 4 5 2 4" xfId="21100" xr:uid="{2BF53741-F73C-4773-8DBB-BB57B472888F}"/>
    <cellStyle name="Comma 4 3 4 5 3" xfId="6275" xr:uid="{00000000-0005-0000-0000-0000AB090000}"/>
    <cellStyle name="Comma 4 3 4 5 3 2" xfId="14725" xr:uid="{FF279E17-C32B-4300-BA81-97CF20B15640}"/>
    <cellStyle name="Comma 4 3 4 5 3 3" xfId="23172" xr:uid="{A790B7B9-31B5-478F-B346-4D6A089F9F5F}"/>
    <cellStyle name="Comma 4 3 4 5 4" xfId="10507" xr:uid="{2BA2CA63-4D95-431C-9268-1E6859A70B12}"/>
    <cellStyle name="Comma 4 3 4 5 5" xfId="18955" xr:uid="{E027F74A-7C14-469E-94BC-32B3A2439E1B}"/>
    <cellStyle name="Comma 4 3 4 6" xfId="2404" xr:uid="{00000000-0005-0000-0000-0000AC090000}"/>
    <cellStyle name="Comma 4 3 4 6 2" xfId="6688" xr:uid="{00000000-0005-0000-0000-0000AD090000}"/>
    <cellStyle name="Comma 4 3 4 6 2 2" xfId="15138" xr:uid="{7E139A14-01E3-4825-B612-7C52B2721177}"/>
    <cellStyle name="Comma 4 3 4 6 2 3" xfId="23585" xr:uid="{3372EF7B-7273-4024-A287-54BD5254D75B}"/>
    <cellStyle name="Comma 4 3 4 6 3" xfId="10920" xr:uid="{209CDF46-E3E9-425F-818B-FEFD8C1175AD}"/>
    <cellStyle name="Comma 4 3 4 6 4" xfId="19368" xr:uid="{791BBBC2-F3E4-4D05-9455-88CC580AEB54}"/>
    <cellStyle name="Comma 4 3 4 7" xfId="2700" xr:uid="{00000000-0005-0000-0000-0000AE090000}"/>
    <cellStyle name="Comma 4 3 4 8" xfId="2782" xr:uid="{00000000-0005-0000-0000-0000AF090000}"/>
    <cellStyle name="Comma 4 3 4 8 2" xfId="7005" xr:uid="{00000000-0005-0000-0000-0000B0090000}"/>
    <cellStyle name="Comma 4 3 4 8 2 2" xfId="15455" xr:uid="{8C1B5946-AAB1-4F1B-83F0-229040D0C561}"/>
    <cellStyle name="Comma 4 3 4 8 2 3" xfId="23902" xr:uid="{B7F976AC-FC21-4389-9E95-C2A5312E9798}"/>
    <cellStyle name="Comma 4 3 4 8 3" xfId="11237" xr:uid="{6670B7B8-ADA8-40C6-BC42-3013672F53CF}"/>
    <cellStyle name="Comma 4 3 4 8 4" xfId="19685" xr:uid="{DFD0C07C-DFEB-4BE0-8A0A-D5CDA76A3DD9}"/>
    <cellStyle name="Comma 4 3 4 9" xfId="4622" xr:uid="{00000000-0005-0000-0000-0000B1090000}"/>
    <cellStyle name="Comma 4 3 4 9 2" xfId="13072" xr:uid="{6401AF4D-9BAE-4A60-96A2-D494AC542480}"/>
    <cellStyle name="Comma 4 3 4 9 3" xfId="21519" xr:uid="{3B87735B-804E-4197-8978-79F68E2E54E4}"/>
    <cellStyle name="Comma 4 3 5" xfId="152" xr:uid="{00000000-0005-0000-0000-0000B2090000}"/>
    <cellStyle name="Comma 4 3 5 10" xfId="8855" xr:uid="{004A1F37-4B42-4A3B-9A74-77178E323B22}"/>
    <cellStyle name="Comma 4 3 5 11" xfId="17303" xr:uid="{D35A417F-46D7-4DD3-BB3B-25548E009988}"/>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C53A0E06-7BBE-44D1-B61D-A1D0ABC65B35}"/>
    <cellStyle name="Comma 4 3 5 2 2 2 3" xfId="24079" xr:uid="{7CD5DF37-7BE3-420C-B68F-7346798EF640}"/>
    <cellStyle name="Comma 4 3 5 2 2 3" xfId="11414" xr:uid="{E9D6975F-6C9B-489B-8890-3E2D7BBC10F9}"/>
    <cellStyle name="Comma 4 3 5 2 2 4" xfId="19862" xr:uid="{AFE9F017-F84B-458B-970E-3992052A0115}"/>
    <cellStyle name="Comma 4 3 5 2 3" xfId="5037" xr:uid="{00000000-0005-0000-0000-0000B6090000}"/>
    <cellStyle name="Comma 4 3 5 2 3 2" xfId="13487" xr:uid="{DD7915A0-7070-4811-BE8F-BBA936D5B111}"/>
    <cellStyle name="Comma 4 3 5 2 3 3" xfId="21934" xr:uid="{691467EA-2DB1-430F-AAD5-33FEF133B4B8}"/>
    <cellStyle name="Comma 4 3 5 2 4" xfId="9269" xr:uid="{F6C130A8-9BE2-452A-80B5-F57FA1DEE295}"/>
    <cellStyle name="Comma 4 3 5 2 5" xfId="17717" xr:uid="{16A65190-2502-4DDA-8070-C64D18125618}"/>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F4618431-F29C-4A99-BD10-7F248CEF1937}"/>
    <cellStyle name="Comma 4 3 5 3 2 2 3" xfId="24492" xr:uid="{85B9DF4C-88D7-4300-99C2-4D2F83D37D10}"/>
    <cellStyle name="Comma 4 3 5 3 2 3" xfId="11827" xr:uid="{4AD4AAA8-3A41-4C02-9003-87711CC75472}"/>
    <cellStyle name="Comma 4 3 5 3 2 4" xfId="20275" xr:uid="{A98C3AD9-5B9D-4A02-BBB6-91F63CBF5720}"/>
    <cellStyle name="Comma 4 3 5 3 3" xfId="5450" xr:uid="{00000000-0005-0000-0000-0000BA090000}"/>
    <cellStyle name="Comma 4 3 5 3 3 2" xfId="13900" xr:uid="{DA7D1F40-0E07-449C-A8FC-36B3CBF077E9}"/>
    <cellStyle name="Comma 4 3 5 3 3 3" xfId="22347" xr:uid="{BB1A8DA5-571F-4B75-9176-4B700C2E763F}"/>
    <cellStyle name="Comma 4 3 5 3 4" xfId="9682" xr:uid="{837063C3-83B5-457D-98DA-7386E06E9F08}"/>
    <cellStyle name="Comma 4 3 5 3 5" xfId="18130" xr:uid="{9CBAE080-5482-40C2-9B7C-F11BB5997584}"/>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5DE01850-9EBE-4B89-9287-205CE3451DB7}"/>
    <cellStyle name="Comma 4 3 5 4 2 2 3" xfId="24905" xr:uid="{7720F8DB-D13B-4495-9EFC-8D62C5F6BAAD}"/>
    <cellStyle name="Comma 4 3 5 4 2 3" xfId="12240" xr:uid="{47673DFB-DEF0-48A6-8661-FAE49D056A85}"/>
    <cellStyle name="Comma 4 3 5 4 2 4" xfId="20688" xr:uid="{8EDB12EF-5CD1-4706-8164-6814CD959CBB}"/>
    <cellStyle name="Comma 4 3 5 4 3" xfId="5863" xr:uid="{00000000-0005-0000-0000-0000BE090000}"/>
    <cellStyle name="Comma 4 3 5 4 3 2" xfId="14313" xr:uid="{AA79FE38-C513-4C0E-A410-846F2EA8A112}"/>
    <cellStyle name="Comma 4 3 5 4 3 3" xfId="22760" xr:uid="{100BD102-A255-4244-A856-19EC3307AFEC}"/>
    <cellStyle name="Comma 4 3 5 4 4" xfId="10095" xr:uid="{C9D4A19C-9B06-4BEF-8966-AB7C15CB5614}"/>
    <cellStyle name="Comma 4 3 5 4 5" xfId="18543" xr:uid="{FA73631D-08FC-41E8-8542-A3F79223705E}"/>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42A2683B-06E6-405A-92D7-FCE425A7DB57}"/>
    <cellStyle name="Comma 4 3 5 5 2 2 3" xfId="25318" xr:uid="{A2086CC9-9245-4349-A4B1-C539B5123D46}"/>
    <cellStyle name="Comma 4 3 5 5 2 3" xfId="12653" xr:uid="{206CEE5A-A1D5-44F6-A204-C0AF0F9637C6}"/>
    <cellStyle name="Comma 4 3 5 5 2 4" xfId="21101" xr:uid="{F3CB09AB-43C3-4562-9DD5-AC2B58115200}"/>
    <cellStyle name="Comma 4 3 5 5 3" xfId="6276" xr:uid="{00000000-0005-0000-0000-0000C2090000}"/>
    <cellStyle name="Comma 4 3 5 5 3 2" xfId="14726" xr:uid="{E05C8A23-A104-4A4B-874C-6631EEBD45B3}"/>
    <cellStyle name="Comma 4 3 5 5 3 3" xfId="23173" xr:uid="{3806DB5A-FC2E-49C5-ABD5-EDAFEC824F01}"/>
    <cellStyle name="Comma 4 3 5 5 4" xfId="10508" xr:uid="{7249461D-C4D3-4F8B-900C-CE63AB7E2FEF}"/>
    <cellStyle name="Comma 4 3 5 5 5" xfId="18956" xr:uid="{2BF6D69E-8D53-4338-A401-7A860A374E0D}"/>
    <cellStyle name="Comma 4 3 5 6" xfId="2405" xr:uid="{00000000-0005-0000-0000-0000C3090000}"/>
    <cellStyle name="Comma 4 3 5 6 2" xfId="6689" xr:uid="{00000000-0005-0000-0000-0000C4090000}"/>
    <cellStyle name="Comma 4 3 5 6 2 2" xfId="15139" xr:uid="{020725AD-76DB-4412-A673-2836B31DC56F}"/>
    <cellStyle name="Comma 4 3 5 6 2 3" xfId="23586" xr:uid="{2BDACF23-DECB-43C2-BFDE-BB1ACEBD4D33}"/>
    <cellStyle name="Comma 4 3 5 6 3" xfId="10921" xr:uid="{032EFC07-DB38-4EBE-9B84-D036BF3F2BDD}"/>
    <cellStyle name="Comma 4 3 5 6 4" xfId="19369" xr:uid="{9784CD34-8F77-494D-A8F4-4168047427C2}"/>
    <cellStyle name="Comma 4 3 5 7" xfId="2701" xr:uid="{00000000-0005-0000-0000-0000C5090000}"/>
    <cellStyle name="Comma 4 3 5 8" xfId="2783" xr:uid="{00000000-0005-0000-0000-0000C6090000}"/>
    <cellStyle name="Comma 4 3 5 8 2" xfId="7006" xr:uid="{00000000-0005-0000-0000-0000C7090000}"/>
    <cellStyle name="Comma 4 3 5 8 2 2" xfId="15456" xr:uid="{ED2D1231-D1B8-459C-B34B-2F65FF26E964}"/>
    <cellStyle name="Comma 4 3 5 8 2 3" xfId="23903" xr:uid="{2DF00F85-823B-4C7D-8C81-386A25B435E1}"/>
    <cellStyle name="Comma 4 3 5 8 3" xfId="11238" xr:uid="{26B27875-4111-47D9-AC23-803FFCA21708}"/>
    <cellStyle name="Comma 4 3 5 8 4" xfId="19686" xr:uid="{E03981EA-4FA7-4306-8727-CC4A073428FA}"/>
    <cellStyle name="Comma 4 3 5 9" xfId="4623" xr:uid="{00000000-0005-0000-0000-0000C8090000}"/>
    <cellStyle name="Comma 4 3 5 9 2" xfId="13073" xr:uid="{F370E85C-60B7-47BF-8C1F-E78873948164}"/>
    <cellStyle name="Comma 4 3 5 9 3" xfId="21520" xr:uid="{9020E7AE-8248-43B0-9845-EE973E471115}"/>
    <cellStyle name="Comma 4 4" xfId="153" xr:uid="{00000000-0005-0000-0000-0000C9090000}"/>
    <cellStyle name="Comma 4 4 10" xfId="2784" xr:uid="{00000000-0005-0000-0000-0000CA090000}"/>
    <cellStyle name="Comma 4 4 10 2" xfId="7007" xr:uid="{00000000-0005-0000-0000-0000CB090000}"/>
    <cellStyle name="Comma 4 4 10 2 2" xfId="15457" xr:uid="{A5B9C37F-3A27-4F81-AB21-CCB5BD7538C3}"/>
    <cellStyle name="Comma 4 4 10 2 3" xfId="23904" xr:uid="{91F7515D-0F0C-4415-BF80-58447BE8A363}"/>
    <cellStyle name="Comma 4 4 10 3" xfId="11239" xr:uid="{F540B075-A6BB-4089-B659-48A195C4FE1F}"/>
    <cellStyle name="Comma 4 4 10 4" xfId="19687" xr:uid="{5368F1D4-070A-4CF5-A819-9F8229AA0FB4}"/>
    <cellStyle name="Comma 4 4 11" xfId="4624" xr:uid="{00000000-0005-0000-0000-0000CC090000}"/>
    <cellStyle name="Comma 4 4 11 2" xfId="13074" xr:uid="{8AB81E87-BA3A-444C-90D7-6B5D6E25D2FF}"/>
    <cellStyle name="Comma 4 4 11 3" xfId="21521" xr:uid="{524B0EA3-0800-4681-861E-776D74AD1149}"/>
    <cellStyle name="Comma 4 4 12" xfId="8856" xr:uid="{8035708A-92A0-4311-BDBB-97C47FFB6F6D}"/>
    <cellStyle name="Comma 4 4 13" xfId="17304" xr:uid="{AF3EF709-0154-4B5F-BC30-DE97EB36AFB7}"/>
    <cellStyle name="Comma 4 4 2" xfId="154" xr:uid="{00000000-0005-0000-0000-0000CD090000}"/>
    <cellStyle name="Comma 4 4 2 10" xfId="4625" xr:uid="{00000000-0005-0000-0000-0000CE090000}"/>
    <cellStyle name="Comma 4 4 2 10 2" xfId="13075" xr:uid="{70217DD5-6428-4FB3-820D-6F6DA3F73904}"/>
    <cellStyle name="Comma 4 4 2 10 3" xfId="21522" xr:uid="{9B946674-A767-4FAA-BE69-D641AB03BD85}"/>
    <cellStyle name="Comma 4 4 2 11" xfId="8857" xr:uid="{6DF95525-F968-4FD3-9E2E-2D3644E4B19F}"/>
    <cellStyle name="Comma 4 4 2 12" xfId="17305" xr:uid="{7A631E03-0319-4864-A6F1-354AD93EC726}"/>
    <cellStyle name="Comma 4 4 2 2" xfId="155" xr:uid="{00000000-0005-0000-0000-0000CF090000}"/>
    <cellStyle name="Comma 4 4 2 2 10" xfId="8858" xr:uid="{86C2004C-AEB2-40D4-BA62-AB252C25020D}"/>
    <cellStyle name="Comma 4 4 2 2 11" xfId="17306" xr:uid="{2337DF87-D466-43D3-BED9-FC0A8C3B42A2}"/>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5008B9EE-09B2-4160-A248-465F3488D4E1}"/>
    <cellStyle name="Comma 4 4 2 2 2 2 2 3" xfId="24082" xr:uid="{D6B36C06-FA96-43BE-9BDF-F1BAED2BE69B}"/>
    <cellStyle name="Comma 4 4 2 2 2 2 3" xfId="11417" xr:uid="{9DB2B1B3-1D7F-42B5-9E10-6DF202837879}"/>
    <cellStyle name="Comma 4 4 2 2 2 2 4" xfId="19865" xr:uid="{02E97875-A75D-4547-9BAF-ACA633A32B32}"/>
    <cellStyle name="Comma 4 4 2 2 2 3" xfId="5040" xr:uid="{00000000-0005-0000-0000-0000D3090000}"/>
    <cellStyle name="Comma 4 4 2 2 2 3 2" xfId="13490" xr:uid="{B48E21F0-6495-4FFE-B9D0-91065CBEECBE}"/>
    <cellStyle name="Comma 4 4 2 2 2 3 3" xfId="21937" xr:uid="{F96EE72B-EF15-4E3F-86CC-F53A36F65974}"/>
    <cellStyle name="Comma 4 4 2 2 2 4" xfId="9272" xr:uid="{3BCB4E43-F978-47D4-80A0-F8164EA463FF}"/>
    <cellStyle name="Comma 4 4 2 2 2 5" xfId="17720" xr:uid="{5EB92849-7CF1-48ED-8114-48023FD99CAE}"/>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66349564-F8D2-4658-B65C-DA9086F219D2}"/>
    <cellStyle name="Comma 4 4 2 2 3 2 2 3" xfId="24495" xr:uid="{C8495ECC-44DC-4E3A-B78C-B3F065A24705}"/>
    <cellStyle name="Comma 4 4 2 2 3 2 3" xfId="11830" xr:uid="{BE569951-222F-4162-939C-376093C90AE0}"/>
    <cellStyle name="Comma 4 4 2 2 3 2 4" xfId="20278" xr:uid="{0D0DA8E3-4A06-4079-AEB3-C77B6BAA8E16}"/>
    <cellStyle name="Comma 4 4 2 2 3 3" xfId="5453" xr:uid="{00000000-0005-0000-0000-0000D7090000}"/>
    <cellStyle name="Comma 4 4 2 2 3 3 2" xfId="13903" xr:uid="{0BE5C616-1972-4983-8E60-B86C83223A59}"/>
    <cellStyle name="Comma 4 4 2 2 3 3 3" xfId="22350" xr:uid="{2E868B8C-7287-48C7-A629-E5BFDDAC2C03}"/>
    <cellStyle name="Comma 4 4 2 2 3 4" xfId="9685" xr:uid="{CF59747F-E01D-4A86-8F48-EA5B00477AFC}"/>
    <cellStyle name="Comma 4 4 2 2 3 5" xfId="18133" xr:uid="{56B9EF40-3ACE-4D04-8627-F15C388F5BF7}"/>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BBA5940F-AFDB-4EC0-A5AE-86600BDC02C9}"/>
    <cellStyle name="Comma 4 4 2 2 4 2 2 3" xfId="24908" xr:uid="{5A9753DA-5E5A-4FF0-9077-FC3B93DC9BA4}"/>
    <cellStyle name="Comma 4 4 2 2 4 2 3" xfId="12243" xr:uid="{486222DE-A763-4243-93A5-9B70418BCA56}"/>
    <cellStyle name="Comma 4 4 2 2 4 2 4" xfId="20691" xr:uid="{F5F3AF43-2A2D-4D1E-B3E6-6D5986548AA6}"/>
    <cellStyle name="Comma 4 4 2 2 4 3" xfId="5866" xr:uid="{00000000-0005-0000-0000-0000DB090000}"/>
    <cellStyle name="Comma 4 4 2 2 4 3 2" xfId="14316" xr:uid="{8F7B6B7B-BEB6-43FC-AFEC-1A79BCA017FD}"/>
    <cellStyle name="Comma 4 4 2 2 4 3 3" xfId="22763" xr:uid="{4A954A5C-84A5-4F13-A7FB-33D7517C5FD9}"/>
    <cellStyle name="Comma 4 4 2 2 4 4" xfId="10098" xr:uid="{3B4F5DFF-A929-469B-B621-100FB0E6FDBE}"/>
    <cellStyle name="Comma 4 4 2 2 4 5" xfId="18546" xr:uid="{3089FB7A-18D1-4C25-BEF8-5EC662227A9C}"/>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F8965565-B114-4030-8B56-6A3BDF024EB4}"/>
    <cellStyle name="Comma 4 4 2 2 5 2 2 3" xfId="25321" xr:uid="{D5609A9F-6399-495D-A486-E508FB8893A9}"/>
    <cellStyle name="Comma 4 4 2 2 5 2 3" xfId="12656" xr:uid="{1990BB90-7D5F-4842-99CC-F0AE98DBDB88}"/>
    <cellStyle name="Comma 4 4 2 2 5 2 4" xfId="21104" xr:uid="{9F746104-BCB9-408C-A3D6-FE8069C175CD}"/>
    <cellStyle name="Comma 4 4 2 2 5 3" xfId="6279" xr:uid="{00000000-0005-0000-0000-0000DF090000}"/>
    <cellStyle name="Comma 4 4 2 2 5 3 2" xfId="14729" xr:uid="{374FBF6B-FF3D-473F-9FB3-0CCAD14FA5D5}"/>
    <cellStyle name="Comma 4 4 2 2 5 3 3" xfId="23176" xr:uid="{00773552-3F23-470D-8D96-77339EB52969}"/>
    <cellStyle name="Comma 4 4 2 2 5 4" xfId="10511" xr:uid="{2B868034-6474-4CB6-9B8C-AC3B3AEAF176}"/>
    <cellStyle name="Comma 4 4 2 2 5 5" xfId="18959" xr:uid="{33E9D2F5-5ED7-4B46-BA41-AACD296884FD}"/>
    <cellStyle name="Comma 4 4 2 2 6" xfId="2408" xr:uid="{00000000-0005-0000-0000-0000E0090000}"/>
    <cellStyle name="Comma 4 4 2 2 6 2" xfId="6692" xr:uid="{00000000-0005-0000-0000-0000E1090000}"/>
    <cellStyle name="Comma 4 4 2 2 6 2 2" xfId="15142" xr:uid="{3F10744A-7C6F-47B6-8BDD-4F9FF84713E7}"/>
    <cellStyle name="Comma 4 4 2 2 6 2 3" xfId="23589" xr:uid="{D183B2CF-6810-44D7-9FFE-189A7C38DE53}"/>
    <cellStyle name="Comma 4 4 2 2 6 3" xfId="10924" xr:uid="{6F082EBE-CD3B-439C-B829-8B92F62F5D35}"/>
    <cellStyle name="Comma 4 4 2 2 6 4" xfId="19372" xr:uid="{73CC7D55-61E2-4ECC-B27C-28FBE4502A34}"/>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52A8C26A-618C-4A98-A8C0-BE2C7C95302F}"/>
    <cellStyle name="Comma 4 4 2 2 8 2 3" xfId="23906" xr:uid="{4A7C89C5-D562-4766-9628-1189BA921E64}"/>
    <cellStyle name="Comma 4 4 2 2 8 3" xfId="11241" xr:uid="{B132BC00-DBB8-43A5-AD8F-CE9CF4ABF5BB}"/>
    <cellStyle name="Comma 4 4 2 2 8 4" xfId="19689" xr:uid="{E05E03BD-A8AE-4A7F-A410-BA7CB50FDF0A}"/>
    <cellStyle name="Comma 4 4 2 2 9" xfId="4626" xr:uid="{00000000-0005-0000-0000-0000E5090000}"/>
    <cellStyle name="Comma 4 4 2 2 9 2" xfId="13076" xr:uid="{932BCA1D-A5FF-4CE8-B053-D593D39FECD6}"/>
    <cellStyle name="Comma 4 4 2 2 9 3" xfId="21523" xr:uid="{B99D722D-6DED-4DC5-B7C5-0633B0170067}"/>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46CCB0EE-DC71-41A7-A659-70DE100E9A03}"/>
    <cellStyle name="Comma 4 4 2 3 2 2 3" xfId="24081" xr:uid="{A60EF75C-7ACA-4FAB-B280-0C52CEF613CE}"/>
    <cellStyle name="Comma 4 4 2 3 2 3" xfId="11416" xr:uid="{D0BF4808-84D5-4EE7-934E-C721B8031EE0}"/>
    <cellStyle name="Comma 4 4 2 3 2 4" xfId="19864" xr:uid="{2868FFB5-0095-44E4-9E3F-53D6B197A7C0}"/>
    <cellStyle name="Comma 4 4 2 3 3" xfId="5039" xr:uid="{00000000-0005-0000-0000-0000E9090000}"/>
    <cellStyle name="Comma 4 4 2 3 3 2" xfId="13489" xr:uid="{0DC843FF-ECCA-4EEB-8672-7401CF5BC26D}"/>
    <cellStyle name="Comma 4 4 2 3 3 3" xfId="21936" xr:uid="{F9A1BA17-DEF5-4E20-97C2-E7D1D342DEFD}"/>
    <cellStyle name="Comma 4 4 2 3 4" xfId="9271" xr:uid="{587C53F8-3DB0-4DE0-A99F-1760E2C99D06}"/>
    <cellStyle name="Comma 4 4 2 3 5" xfId="17719" xr:uid="{A2D9E953-9875-42CE-A9E8-51998EA5813B}"/>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0A0A9D25-AA91-4CAD-AF98-07E4714B5DF0}"/>
    <cellStyle name="Comma 4 4 2 4 2 2 3" xfId="24494" xr:uid="{F43232EC-7655-4501-9F7B-164DD63D6335}"/>
    <cellStyle name="Comma 4 4 2 4 2 3" xfId="11829" xr:uid="{A74FCC8C-2173-4B99-BE64-7AD5776FDD24}"/>
    <cellStyle name="Comma 4 4 2 4 2 4" xfId="20277" xr:uid="{587148DC-EE99-45F7-8A60-EC14FAC64898}"/>
    <cellStyle name="Comma 4 4 2 4 3" xfId="5452" xr:uid="{00000000-0005-0000-0000-0000ED090000}"/>
    <cellStyle name="Comma 4 4 2 4 3 2" xfId="13902" xr:uid="{522C13CA-EBAB-4ABE-BF5F-B7594A691EFD}"/>
    <cellStyle name="Comma 4 4 2 4 3 3" xfId="22349" xr:uid="{DA072C83-0C28-490D-95EA-B364454F4222}"/>
    <cellStyle name="Comma 4 4 2 4 4" xfId="9684" xr:uid="{0257852A-A7B4-4ADA-A2A7-027DF44EA09D}"/>
    <cellStyle name="Comma 4 4 2 4 5" xfId="18132" xr:uid="{C6176A0E-7AF6-4A13-A20F-77EEEBCB4C89}"/>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46C81427-8CEB-4B55-9271-218A85AFC2D2}"/>
    <cellStyle name="Comma 4 4 2 5 2 2 3" xfId="24907" xr:uid="{0CB45BFC-556C-473D-ABD6-D301423789D5}"/>
    <cellStyle name="Comma 4 4 2 5 2 3" xfId="12242" xr:uid="{3C9F5F86-7A14-4580-B609-6C126D269409}"/>
    <cellStyle name="Comma 4 4 2 5 2 4" xfId="20690" xr:uid="{CC2E209E-6CB4-4E6D-8A1D-B2BD69DD46B6}"/>
    <cellStyle name="Comma 4 4 2 5 3" xfId="5865" xr:uid="{00000000-0005-0000-0000-0000F1090000}"/>
    <cellStyle name="Comma 4 4 2 5 3 2" xfId="14315" xr:uid="{4FECB382-F1CC-4BC3-A199-F4CD6F31D28F}"/>
    <cellStyle name="Comma 4 4 2 5 3 3" xfId="22762" xr:uid="{0621A43A-4D96-4064-B997-0FD25DB8E7B1}"/>
    <cellStyle name="Comma 4 4 2 5 4" xfId="10097" xr:uid="{749CAE5B-9236-43C4-8BE3-057EBDE69E51}"/>
    <cellStyle name="Comma 4 4 2 5 5" xfId="18545" xr:uid="{496773F8-1087-4783-9D43-F43586E16090}"/>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F8AB4312-5C35-4F81-884F-D273AC6D5B5C}"/>
    <cellStyle name="Comma 4 4 2 6 2 2 3" xfId="25320" xr:uid="{702463E2-A40C-4989-9220-A5DD5EE9B1D5}"/>
    <cellStyle name="Comma 4 4 2 6 2 3" xfId="12655" xr:uid="{44CFBBC7-56FA-4C8D-9873-5A8F6DD2A8C7}"/>
    <cellStyle name="Comma 4 4 2 6 2 4" xfId="21103" xr:uid="{DA2F351D-5FF3-4994-88D6-79EED24357D5}"/>
    <cellStyle name="Comma 4 4 2 6 3" xfId="6278" xr:uid="{00000000-0005-0000-0000-0000F5090000}"/>
    <cellStyle name="Comma 4 4 2 6 3 2" xfId="14728" xr:uid="{370E1C85-5ABF-4856-BCE5-78A3FE177337}"/>
    <cellStyle name="Comma 4 4 2 6 3 3" xfId="23175" xr:uid="{2ABA1D4B-71CB-48BD-9CEB-A084CBB95F07}"/>
    <cellStyle name="Comma 4 4 2 6 4" xfId="10510" xr:uid="{32D1BCFD-02D6-458B-BB13-31C55EF50FFF}"/>
    <cellStyle name="Comma 4 4 2 6 5" xfId="18958" xr:uid="{61F28782-61D0-4346-9F76-20838189454E}"/>
    <cellStyle name="Comma 4 4 2 7" xfId="2407" xr:uid="{00000000-0005-0000-0000-0000F6090000}"/>
    <cellStyle name="Comma 4 4 2 7 2" xfId="6691" xr:uid="{00000000-0005-0000-0000-0000F7090000}"/>
    <cellStyle name="Comma 4 4 2 7 2 2" xfId="15141" xr:uid="{6E8BFA23-9429-4AFD-BD55-1CE0007F99CD}"/>
    <cellStyle name="Comma 4 4 2 7 2 3" xfId="23588" xr:uid="{CD607A18-ECF7-4F26-AC03-75B96E1201C0}"/>
    <cellStyle name="Comma 4 4 2 7 3" xfId="10923" xr:uid="{98463E54-7BFB-48FE-B29E-9DBEA539B415}"/>
    <cellStyle name="Comma 4 4 2 7 4" xfId="19371" xr:uid="{BCD66B46-9979-4B3A-B29C-5DBCBEB4B382}"/>
    <cellStyle name="Comma 4 4 2 8" xfId="2703" xr:uid="{00000000-0005-0000-0000-0000F8090000}"/>
    <cellStyle name="Comma 4 4 2 9" xfId="2785" xr:uid="{00000000-0005-0000-0000-0000F9090000}"/>
    <cellStyle name="Comma 4 4 2 9 2" xfId="7008" xr:uid="{00000000-0005-0000-0000-0000FA090000}"/>
    <cellStyle name="Comma 4 4 2 9 2 2" xfId="15458" xr:uid="{33D40503-637E-483E-BAC0-27580ACD6E7C}"/>
    <cellStyle name="Comma 4 4 2 9 2 3" xfId="23905" xr:uid="{8F49FFA9-4095-4CBE-B896-6AA036AFF3B4}"/>
    <cellStyle name="Comma 4 4 2 9 3" xfId="11240" xr:uid="{55C4C90D-21AA-48D2-80DA-FE2AFBDC2515}"/>
    <cellStyle name="Comma 4 4 2 9 4" xfId="19688" xr:uid="{C532C324-300A-4984-B1A5-E5BA43975AC6}"/>
    <cellStyle name="Comma 4 4 3" xfId="156" xr:uid="{00000000-0005-0000-0000-0000FB090000}"/>
    <cellStyle name="Comma 4 4 3 10" xfId="8859" xr:uid="{041341E6-D00F-4809-8236-A96B00E4A938}"/>
    <cellStyle name="Comma 4 4 3 11" xfId="17307" xr:uid="{E1DD687F-D890-4642-B6DB-A5F6891FF9E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1E4A26A2-6651-40FA-9E91-8D4153170B77}"/>
    <cellStyle name="Comma 4 4 3 2 2 2 3" xfId="24083" xr:uid="{3F0F30FB-B3B0-4C87-9534-7B38EEEE417A}"/>
    <cellStyle name="Comma 4 4 3 2 2 3" xfId="11418" xr:uid="{0911E26C-BF40-4B03-AD62-5D52B5A154E8}"/>
    <cellStyle name="Comma 4 4 3 2 2 4" xfId="19866" xr:uid="{90C04F74-473D-4E1D-85A8-85FC9A52F5F2}"/>
    <cellStyle name="Comma 4 4 3 2 3" xfId="5041" xr:uid="{00000000-0005-0000-0000-0000FF090000}"/>
    <cellStyle name="Comma 4 4 3 2 3 2" xfId="13491" xr:uid="{F5792184-EC86-4EF1-84A6-4676AEA98D68}"/>
    <cellStyle name="Comma 4 4 3 2 3 3" xfId="21938" xr:uid="{6B1B0245-5154-4385-9485-6F139A6A0C9A}"/>
    <cellStyle name="Comma 4 4 3 2 4" xfId="9273" xr:uid="{759CCCF3-4BE6-4191-B4B6-F60605534F8B}"/>
    <cellStyle name="Comma 4 4 3 2 5" xfId="17721" xr:uid="{11E2799A-06F9-46DD-9774-C573ACB04E31}"/>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73AB35AF-140C-4D7E-A838-BC299A391E3E}"/>
    <cellStyle name="Comma 4 4 3 3 2 2 3" xfId="24496" xr:uid="{05E865BA-DBB4-4C8E-826B-8FBF6A0C720C}"/>
    <cellStyle name="Comma 4 4 3 3 2 3" xfId="11831" xr:uid="{FF7CF99F-69A4-47B4-9080-88E2BC545FE7}"/>
    <cellStyle name="Comma 4 4 3 3 2 4" xfId="20279" xr:uid="{5CDDE729-14E4-4817-8AED-47227387A91B}"/>
    <cellStyle name="Comma 4 4 3 3 3" xfId="5454" xr:uid="{00000000-0005-0000-0000-0000030A0000}"/>
    <cellStyle name="Comma 4 4 3 3 3 2" xfId="13904" xr:uid="{985D3295-4AF5-4B7C-A132-79F3794F6F98}"/>
    <cellStyle name="Comma 4 4 3 3 3 3" xfId="22351" xr:uid="{09395B62-0BC4-4DD5-9886-76877D35A2A9}"/>
    <cellStyle name="Comma 4 4 3 3 4" xfId="9686" xr:uid="{79A2C498-A413-4781-BBC2-1D9BD9807E6E}"/>
    <cellStyle name="Comma 4 4 3 3 5" xfId="18134" xr:uid="{9BE72967-12C2-469E-849D-9C0CA5A68315}"/>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579ABB81-6E56-4CC5-A300-3B42F76ED327}"/>
    <cellStyle name="Comma 4 4 3 4 2 2 3" xfId="24909" xr:uid="{98959663-99B2-48D0-8991-2FE6BAD1B201}"/>
    <cellStyle name="Comma 4 4 3 4 2 3" xfId="12244" xr:uid="{2A40BF02-FD3E-489D-B7BE-DE015B2EE944}"/>
    <cellStyle name="Comma 4 4 3 4 2 4" xfId="20692" xr:uid="{5282439C-5A64-415B-BBEF-BA47818B79E2}"/>
    <cellStyle name="Comma 4 4 3 4 3" xfId="5867" xr:uid="{00000000-0005-0000-0000-0000070A0000}"/>
    <cellStyle name="Comma 4 4 3 4 3 2" xfId="14317" xr:uid="{D94BB86A-625E-4DC7-9687-FD5AF664D577}"/>
    <cellStyle name="Comma 4 4 3 4 3 3" xfId="22764" xr:uid="{8D0F1B6A-CE7B-4088-9041-FBC8CD8256D1}"/>
    <cellStyle name="Comma 4 4 3 4 4" xfId="10099" xr:uid="{C86CDF23-381A-4EA0-8C4B-6B8FC93311D6}"/>
    <cellStyle name="Comma 4 4 3 4 5" xfId="18547" xr:uid="{2DA8EE87-6F4A-462F-BDFB-3C9B6749CC16}"/>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4F330405-C72D-4A48-B10F-2D3A5127373B}"/>
    <cellStyle name="Comma 4 4 3 5 2 2 3" xfId="25322" xr:uid="{31872578-2761-47C3-951A-85290E594D3B}"/>
    <cellStyle name="Comma 4 4 3 5 2 3" xfId="12657" xr:uid="{67B4DADB-7663-4F76-91BE-5A881E45E92E}"/>
    <cellStyle name="Comma 4 4 3 5 2 4" xfId="21105" xr:uid="{63C14167-4B16-4B1A-8ECB-9D5D60457B20}"/>
    <cellStyle name="Comma 4 4 3 5 3" xfId="6280" xr:uid="{00000000-0005-0000-0000-00000B0A0000}"/>
    <cellStyle name="Comma 4 4 3 5 3 2" xfId="14730" xr:uid="{75B2A1D0-EA3B-4478-9E37-5A38B7BD4464}"/>
    <cellStyle name="Comma 4 4 3 5 3 3" xfId="23177" xr:uid="{A7166690-5190-434B-B247-CA1E3D717723}"/>
    <cellStyle name="Comma 4 4 3 5 4" xfId="10512" xr:uid="{58244D7C-E10C-4B61-A175-3F08C4225B99}"/>
    <cellStyle name="Comma 4 4 3 5 5" xfId="18960" xr:uid="{C0DC262B-9C1D-4C97-A06D-DB43284848A5}"/>
    <cellStyle name="Comma 4 4 3 6" xfId="2409" xr:uid="{00000000-0005-0000-0000-00000C0A0000}"/>
    <cellStyle name="Comma 4 4 3 6 2" xfId="6693" xr:uid="{00000000-0005-0000-0000-00000D0A0000}"/>
    <cellStyle name="Comma 4 4 3 6 2 2" xfId="15143" xr:uid="{62BECB27-A1EF-4FC0-9D38-01DB56EACB75}"/>
    <cellStyle name="Comma 4 4 3 6 2 3" xfId="23590" xr:uid="{3B4237F1-5C5A-4AF7-9241-083172433684}"/>
    <cellStyle name="Comma 4 4 3 6 3" xfId="10925" xr:uid="{DFCEF41E-A159-4A5E-8567-BFB4AF8E3441}"/>
    <cellStyle name="Comma 4 4 3 6 4" xfId="19373" xr:uid="{0AAE9E17-B076-48FE-90E3-F1BC31E44CDA}"/>
    <cellStyle name="Comma 4 4 3 7" xfId="2705" xr:uid="{00000000-0005-0000-0000-00000E0A0000}"/>
    <cellStyle name="Comma 4 4 3 8" xfId="2787" xr:uid="{00000000-0005-0000-0000-00000F0A0000}"/>
    <cellStyle name="Comma 4 4 3 8 2" xfId="7010" xr:uid="{00000000-0005-0000-0000-0000100A0000}"/>
    <cellStyle name="Comma 4 4 3 8 2 2" xfId="15460" xr:uid="{399C3137-28CE-417A-AA05-EA37287B9D4A}"/>
    <cellStyle name="Comma 4 4 3 8 2 3" xfId="23907" xr:uid="{091E71DE-8FD8-4A80-B657-3A009AA31886}"/>
    <cellStyle name="Comma 4 4 3 8 3" xfId="11242" xr:uid="{78269C10-7221-4BA2-BD1C-4EF47AA7E68E}"/>
    <cellStyle name="Comma 4 4 3 8 4" xfId="19690" xr:uid="{84792131-DE4A-497C-B808-A164A13CD99B}"/>
    <cellStyle name="Comma 4 4 3 9" xfId="4627" xr:uid="{00000000-0005-0000-0000-0000110A0000}"/>
    <cellStyle name="Comma 4 4 3 9 2" xfId="13077" xr:uid="{196F28E8-9778-4405-86DD-17BD176D628C}"/>
    <cellStyle name="Comma 4 4 3 9 3" xfId="21524" xr:uid="{EE0908D5-F3EC-4247-AECC-590238BF751F}"/>
    <cellStyle name="Comma 4 4 4" xfId="690" xr:uid="{00000000-0005-0000-0000-0000120A0000}"/>
    <cellStyle name="Comma 4 4 4 2" xfId="2961" xr:uid="{00000000-0005-0000-0000-0000130A0000}"/>
    <cellStyle name="Comma 4 4 4 2 2" xfId="7183" xr:uid="{00000000-0005-0000-0000-0000140A0000}"/>
    <cellStyle name="Comma 4 4 4 2 2 2" xfId="15633" xr:uid="{95417981-245B-4331-93EA-91C0A965AC00}"/>
    <cellStyle name="Comma 4 4 4 2 2 3" xfId="24080" xr:uid="{6DB41983-7BAA-44A9-A1CB-05169B98D166}"/>
    <cellStyle name="Comma 4 4 4 2 3" xfId="11415" xr:uid="{3594BAFD-1DA4-4B52-8546-9C55A65FD57D}"/>
    <cellStyle name="Comma 4 4 4 2 4" xfId="19863" xr:uid="{7EE120DB-5317-49B1-B6A3-FE052A1ACDCD}"/>
    <cellStyle name="Comma 4 4 4 3" xfId="5038" xr:uid="{00000000-0005-0000-0000-0000150A0000}"/>
    <cellStyle name="Comma 4 4 4 3 2" xfId="13488" xr:uid="{DD3681C9-0007-4E6C-886D-E4C6F6E81358}"/>
    <cellStyle name="Comma 4 4 4 3 3" xfId="21935" xr:uid="{FD97E817-A4F8-45FE-BD7B-C2E96C68946A}"/>
    <cellStyle name="Comma 4 4 4 4" xfId="9270" xr:uid="{E69A3DA4-40F8-4B6E-AEBD-36BD4360E2A7}"/>
    <cellStyle name="Comma 4 4 4 5" xfId="17718" xr:uid="{EE413449-87A3-4AF9-953D-08861511362D}"/>
    <cellStyle name="Comma 4 4 5" xfId="1143" xr:uid="{00000000-0005-0000-0000-0000160A0000}"/>
    <cellStyle name="Comma 4 4 5 2" xfId="3374" xr:uid="{00000000-0005-0000-0000-0000170A0000}"/>
    <cellStyle name="Comma 4 4 5 2 2" xfId="7596" xr:uid="{00000000-0005-0000-0000-0000180A0000}"/>
    <cellStyle name="Comma 4 4 5 2 2 2" xfId="16046" xr:uid="{833E7427-B6DA-4FF6-BE73-02AE9C153B82}"/>
    <cellStyle name="Comma 4 4 5 2 2 3" xfId="24493" xr:uid="{995DC567-8B29-4EFA-9101-B0CD82A7D6D8}"/>
    <cellStyle name="Comma 4 4 5 2 3" xfId="11828" xr:uid="{BAF3BEB0-4160-44B2-A8B8-62ADC7BAE197}"/>
    <cellStyle name="Comma 4 4 5 2 4" xfId="20276" xr:uid="{2F766446-FBFE-4A02-A80B-5938D5B0FE46}"/>
    <cellStyle name="Comma 4 4 5 3" xfId="5451" xr:uid="{00000000-0005-0000-0000-0000190A0000}"/>
    <cellStyle name="Comma 4 4 5 3 2" xfId="13901" xr:uid="{FC2EB772-927A-464C-9EF5-C70A6766F808}"/>
    <cellStyle name="Comma 4 4 5 3 3" xfId="22348" xr:uid="{D304B243-BE32-4142-9889-C58FE71C8F4C}"/>
    <cellStyle name="Comma 4 4 5 4" xfId="9683" xr:uid="{1B7C2656-68E7-4A2B-8C2F-2ECA8968EF48}"/>
    <cellStyle name="Comma 4 4 5 5" xfId="18131" xr:uid="{1C3BABB8-3D99-4CD0-8517-9D419C44E3D0}"/>
    <cellStyle name="Comma 4 4 6" xfId="1557" xr:uid="{00000000-0005-0000-0000-00001A0A0000}"/>
    <cellStyle name="Comma 4 4 6 2" xfId="3787" xr:uid="{00000000-0005-0000-0000-00001B0A0000}"/>
    <cellStyle name="Comma 4 4 6 2 2" xfId="8009" xr:uid="{00000000-0005-0000-0000-00001C0A0000}"/>
    <cellStyle name="Comma 4 4 6 2 2 2" xfId="16459" xr:uid="{25E9848B-41EF-45E8-A10C-6BDF23683F07}"/>
    <cellStyle name="Comma 4 4 6 2 2 3" xfId="24906" xr:uid="{9ACDE8BB-42C4-4F73-946A-105366B2C66F}"/>
    <cellStyle name="Comma 4 4 6 2 3" xfId="12241" xr:uid="{8E1125A1-B914-4989-BB57-523F9C9400BD}"/>
    <cellStyle name="Comma 4 4 6 2 4" xfId="20689" xr:uid="{0DC8FAB6-51E7-4347-BE1A-E9AFCD0DF42E}"/>
    <cellStyle name="Comma 4 4 6 3" xfId="5864" xr:uid="{00000000-0005-0000-0000-00001D0A0000}"/>
    <cellStyle name="Comma 4 4 6 3 2" xfId="14314" xr:uid="{D9F7774E-7641-4D7D-967C-7BB30BCCA0EC}"/>
    <cellStyle name="Comma 4 4 6 3 3" xfId="22761" xr:uid="{78507C38-AAFB-400E-80E5-94132316CB3D}"/>
    <cellStyle name="Comma 4 4 6 4" xfId="10096" xr:uid="{783446F2-E2B7-4180-BA0C-B5FFE8B10087}"/>
    <cellStyle name="Comma 4 4 6 5" xfId="18544" xr:uid="{6D2DAA5D-3429-4B81-AFD7-8663ADA21194}"/>
    <cellStyle name="Comma 4 4 7" xfId="1971" xr:uid="{00000000-0005-0000-0000-00001E0A0000}"/>
    <cellStyle name="Comma 4 4 7 2" xfId="4200" xr:uid="{00000000-0005-0000-0000-00001F0A0000}"/>
    <cellStyle name="Comma 4 4 7 2 2" xfId="8422" xr:uid="{00000000-0005-0000-0000-0000200A0000}"/>
    <cellStyle name="Comma 4 4 7 2 2 2" xfId="16872" xr:uid="{6E8A1543-5FDF-482C-BBD6-724C77D3D3CD}"/>
    <cellStyle name="Comma 4 4 7 2 2 3" xfId="25319" xr:uid="{C249C07F-6AF5-48A2-B925-503207908498}"/>
    <cellStyle name="Comma 4 4 7 2 3" xfId="12654" xr:uid="{739E76E5-63FF-4093-BA5C-7FA506D077B6}"/>
    <cellStyle name="Comma 4 4 7 2 4" xfId="21102" xr:uid="{38C47619-13DA-488A-A219-30EE5E87F0C0}"/>
    <cellStyle name="Comma 4 4 7 3" xfId="6277" xr:uid="{00000000-0005-0000-0000-0000210A0000}"/>
    <cellStyle name="Comma 4 4 7 3 2" xfId="14727" xr:uid="{90499B43-25CC-4D68-B988-EF40AFE89042}"/>
    <cellStyle name="Comma 4 4 7 3 3" xfId="23174" xr:uid="{712DF58C-37B7-4AF0-B4EC-F7F8F8ED4ABB}"/>
    <cellStyle name="Comma 4 4 7 4" xfId="10509" xr:uid="{1AF164A5-2792-400E-9C43-28647A8FD462}"/>
    <cellStyle name="Comma 4 4 7 5" xfId="18957" xr:uid="{579C9BA5-ECE5-4BD4-8D33-DA46233879D7}"/>
    <cellStyle name="Comma 4 4 8" xfId="2406" xr:uid="{00000000-0005-0000-0000-0000220A0000}"/>
    <cellStyle name="Comma 4 4 8 2" xfId="6690" xr:uid="{00000000-0005-0000-0000-0000230A0000}"/>
    <cellStyle name="Comma 4 4 8 2 2" xfId="15140" xr:uid="{AEB3B802-6512-44A7-A6FA-59D7B9412ACE}"/>
    <cellStyle name="Comma 4 4 8 2 3" xfId="23587" xr:uid="{8FC22140-2E3F-463A-AD74-F1153B24BDC9}"/>
    <cellStyle name="Comma 4 4 8 3" xfId="10922" xr:uid="{4FFB75A9-8282-4603-A3B0-7B22CAC6448B}"/>
    <cellStyle name="Comma 4 4 8 4" xfId="19370" xr:uid="{6399D701-1EA2-404E-BA37-07FFA8C5D91B}"/>
    <cellStyle name="Comma 4 4 9" xfId="2702" xr:uid="{00000000-0005-0000-0000-0000240A0000}"/>
    <cellStyle name="Comma 4 5" xfId="157" xr:uid="{00000000-0005-0000-0000-0000250A0000}"/>
    <cellStyle name="Comma 4 5 10" xfId="4628" xr:uid="{00000000-0005-0000-0000-0000260A0000}"/>
    <cellStyle name="Comma 4 5 10 2" xfId="13078" xr:uid="{D1FD6963-B44D-4936-99EF-CDA1F908ABC9}"/>
    <cellStyle name="Comma 4 5 10 3" xfId="21525" xr:uid="{0ECD8D40-67B0-47A2-A1DA-6782FC6F1F0B}"/>
    <cellStyle name="Comma 4 5 11" xfId="8860" xr:uid="{737D23AF-AD26-45E8-B9F5-4A6D65F529B1}"/>
    <cellStyle name="Comma 4 5 12" xfId="17308" xr:uid="{28987A16-E15F-4D0F-BB6C-A8A84154FE2D}"/>
    <cellStyle name="Comma 4 5 2" xfId="158" xr:uid="{00000000-0005-0000-0000-0000270A0000}"/>
    <cellStyle name="Comma 4 5 2 10" xfId="8861" xr:uid="{EC2D97A8-77C6-416A-8BD9-E76FDBE7C5C5}"/>
    <cellStyle name="Comma 4 5 2 11" xfId="17309" xr:uid="{623AE064-9AD4-4405-B52D-D29FD0B8FB69}"/>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9398A2C0-8403-4754-A11D-D184FA1E7ACA}"/>
    <cellStyle name="Comma 4 5 2 2 2 2 3" xfId="24085" xr:uid="{13B0E485-6C23-4777-8B05-C23D2C0FA9B2}"/>
    <cellStyle name="Comma 4 5 2 2 2 3" xfId="11420" xr:uid="{0A10F9FE-D131-4D4A-9591-B8CFA0092E2A}"/>
    <cellStyle name="Comma 4 5 2 2 2 4" xfId="19868" xr:uid="{DA204907-FAC8-4D0E-94B7-CE1518A588DB}"/>
    <cellStyle name="Comma 4 5 2 2 3" xfId="5043" xr:uid="{00000000-0005-0000-0000-00002B0A0000}"/>
    <cellStyle name="Comma 4 5 2 2 3 2" xfId="13493" xr:uid="{EF61C85C-CF8C-4170-A746-A3B1066D5591}"/>
    <cellStyle name="Comma 4 5 2 2 3 3" xfId="21940" xr:uid="{C85F5625-93A3-4B05-94BF-F6BA2B700B7A}"/>
    <cellStyle name="Comma 4 5 2 2 4" xfId="9275" xr:uid="{338C7B39-7101-4DF5-B6F8-C2390D5C8D8A}"/>
    <cellStyle name="Comma 4 5 2 2 5" xfId="17723" xr:uid="{5AF42225-63D3-4071-852F-2C7AAEA4EBC8}"/>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4C6F1C00-85A4-4D51-9077-22ACF55992ED}"/>
    <cellStyle name="Comma 4 5 2 3 2 2 3" xfId="24498" xr:uid="{0CE464CA-F07A-40F1-B019-4A6F4BE08C0F}"/>
    <cellStyle name="Comma 4 5 2 3 2 3" xfId="11833" xr:uid="{7F81B2B6-7A5E-4A52-A98B-61AB88B49DE6}"/>
    <cellStyle name="Comma 4 5 2 3 2 4" xfId="20281" xr:uid="{031D8478-0DB6-46C7-B1FA-2A7B979124BA}"/>
    <cellStyle name="Comma 4 5 2 3 3" xfId="5456" xr:uid="{00000000-0005-0000-0000-00002F0A0000}"/>
    <cellStyle name="Comma 4 5 2 3 3 2" xfId="13906" xr:uid="{C8C83474-9567-40B1-A19D-DE00B01792D0}"/>
    <cellStyle name="Comma 4 5 2 3 3 3" xfId="22353" xr:uid="{6DD21C93-413C-44EA-946E-964ECEC6331C}"/>
    <cellStyle name="Comma 4 5 2 3 4" xfId="9688" xr:uid="{C7FD026F-753C-400F-A276-74F72DCDB1CC}"/>
    <cellStyle name="Comma 4 5 2 3 5" xfId="18136" xr:uid="{B0A76BC8-F3BD-49D7-8CDB-E09DD0B27323}"/>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361E9FC5-E115-411F-B2DD-4D717041B9B6}"/>
    <cellStyle name="Comma 4 5 2 4 2 2 3" xfId="24911" xr:uid="{F89B2002-B44A-47DC-AA55-47E77384ECC8}"/>
    <cellStyle name="Comma 4 5 2 4 2 3" xfId="12246" xr:uid="{CD9A64E0-74CF-40B3-8366-385ECA21D152}"/>
    <cellStyle name="Comma 4 5 2 4 2 4" xfId="20694" xr:uid="{ECFF2A1E-607D-4939-94AC-E0F11449B8A5}"/>
    <cellStyle name="Comma 4 5 2 4 3" xfId="5869" xr:uid="{00000000-0005-0000-0000-0000330A0000}"/>
    <cellStyle name="Comma 4 5 2 4 3 2" xfId="14319" xr:uid="{D8A1F950-3B54-4856-AE6F-16C7FE79EC93}"/>
    <cellStyle name="Comma 4 5 2 4 3 3" xfId="22766" xr:uid="{950E7110-C065-426A-8528-EB9EB7368C72}"/>
    <cellStyle name="Comma 4 5 2 4 4" xfId="10101" xr:uid="{4E1504B9-41DC-49E2-8A13-58255ABF93ED}"/>
    <cellStyle name="Comma 4 5 2 4 5" xfId="18549" xr:uid="{44722B44-14DF-4086-8A94-BF0FCF47CF47}"/>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6CA28218-1D1A-42DC-A865-BA5FEEB7B23B}"/>
    <cellStyle name="Comma 4 5 2 5 2 2 3" xfId="25324" xr:uid="{B5C779BA-4968-4281-83EC-FF92066CD2DF}"/>
    <cellStyle name="Comma 4 5 2 5 2 3" xfId="12659" xr:uid="{24A05804-DFE3-48C7-8A49-40C28463C632}"/>
    <cellStyle name="Comma 4 5 2 5 2 4" xfId="21107" xr:uid="{4F42AC1F-20D6-4C3E-8F7D-E2008FC9F86C}"/>
    <cellStyle name="Comma 4 5 2 5 3" xfId="6282" xr:uid="{00000000-0005-0000-0000-0000370A0000}"/>
    <cellStyle name="Comma 4 5 2 5 3 2" xfId="14732" xr:uid="{9D88B94F-86E5-429C-B1C3-E73C85639045}"/>
    <cellStyle name="Comma 4 5 2 5 3 3" xfId="23179" xr:uid="{E3AA253F-5BE8-406D-AB1C-6DC4ED94C530}"/>
    <cellStyle name="Comma 4 5 2 5 4" xfId="10514" xr:uid="{2EF63FED-168E-49D7-AD06-E68E8EE00158}"/>
    <cellStyle name="Comma 4 5 2 5 5" xfId="18962" xr:uid="{0EC91C9D-1021-448E-A564-1DBB7DC859EC}"/>
    <cellStyle name="Comma 4 5 2 6" xfId="2411" xr:uid="{00000000-0005-0000-0000-0000380A0000}"/>
    <cellStyle name="Comma 4 5 2 6 2" xfId="6695" xr:uid="{00000000-0005-0000-0000-0000390A0000}"/>
    <cellStyle name="Comma 4 5 2 6 2 2" xfId="15145" xr:uid="{2AF4FA2A-069C-4484-9598-B4C8B3931DE3}"/>
    <cellStyle name="Comma 4 5 2 6 2 3" xfId="23592" xr:uid="{D1941879-7D53-4D33-9B5D-354F857E2C38}"/>
    <cellStyle name="Comma 4 5 2 6 3" xfId="10927" xr:uid="{8A2CB6A9-4B6F-41AA-81E8-5B3569278BB2}"/>
    <cellStyle name="Comma 4 5 2 6 4" xfId="19375" xr:uid="{1F024C71-2861-4C8B-9568-423DC697622D}"/>
    <cellStyle name="Comma 4 5 2 7" xfId="2707" xr:uid="{00000000-0005-0000-0000-00003A0A0000}"/>
    <cellStyle name="Comma 4 5 2 8" xfId="2789" xr:uid="{00000000-0005-0000-0000-00003B0A0000}"/>
    <cellStyle name="Comma 4 5 2 8 2" xfId="7012" xr:uid="{00000000-0005-0000-0000-00003C0A0000}"/>
    <cellStyle name="Comma 4 5 2 8 2 2" xfId="15462" xr:uid="{67D7773E-51FD-476E-8D0E-7B0CFC8A9648}"/>
    <cellStyle name="Comma 4 5 2 8 2 3" xfId="23909" xr:uid="{BC9202C1-BACD-4694-9C9B-DF14348BBBB6}"/>
    <cellStyle name="Comma 4 5 2 8 3" xfId="11244" xr:uid="{4DAD83D8-F5F8-42CB-96CA-39279C575E10}"/>
    <cellStyle name="Comma 4 5 2 8 4" xfId="19692" xr:uid="{8471DCE2-BE12-4EFF-997F-6948D69E1590}"/>
    <cellStyle name="Comma 4 5 2 9" xfId="4629" xr:uid="{00000000-0005-0000-0000-00003D0A0000}"/>
    <cellStyle name="Comma 4 5 2 9 2" xfId="13079" xr:uid="{2072ACC3-99B2-439D-A589-9B746ACA6ADC}"/>
    <cellStyle name="Comma 4 5 2 9 3" xfId="21526" xr:uid="{0CBFEA2B-4B0E-44BA-8A03-109F67EAD4C4}"/>
    <cellStyle name="Comma 4 5 3" xfId="694" xr:uid="{00000000-0005-0000-0000-00003E0A0000}"/>
    <cellStyle name="Comma 4 5 3 2" xfId="2965" xr:uid="{00000000-0005-0000-0000-00003F0A0000}"/>
    <cellStyle name="Comma 4 5 3 2 2" xfId="7187" xr:uid="{00000000-0005-0000-0000-0000400A0000}"/>
    <cellStyle name="Comma 4 5 3 2 2 2" xfId="15637" xr:uid="{9A7C49D9-5DD0-464A-8BC2-7914B54DC1AC}"/>
    <cellStyle name="Comma 4 5 3 2 2 3" xfId="24084" xr:uid="{5E01E222-B814-4729-A584-1F4B55E6635B}"/>
    <cellStyle name="Comma 4 5 3 2 3" xfId="11419" xr:uid="{5963066A-3B99-48B8-A44D-5CD479572895}"/>
    <cellStyle name="Comma 4 5 3 2 4" xfId="19867" xr:uid="{E92C9519-D08F-479A-8FAA-ABD6D5207938}"/>
    <cellStyle name="Comma 4 5 3 3" xfId="5042" xr:uid="{00000000-0005-0000-0000-0000410A0000}"/>
    <cellStyle name="Comma 4 5 3 3 2" xfId="13492" xr:uid="{EA1B110C-61FC-45E1-956A-C9E7CE4B8C82}"/>
    <cellStyle name="Comma 4 5 3 3 3" xfId="21939" xr:uid="{43F326C3-621A-40D2-A568-A9499B0476E1}"/>
    <cellStyle name="Comma 4 5 3 4" xfId="9274" xr:uid="{9F8D05B6-BD65-45D3-A5CE-8068F67E5CE7}"/>
    <cellStyle name="Comma 4 5 3 5" xfId="17722" xr:uid="{BFBAF173-ABBA-40DB-A848-C1A35DF51CB7}"/>
    <cellStyle name="Comma 4 5 4" xfId="1147" xr:uid="{00000000-0005-0000-0000-0000420A0000}"/>
    <cellStyle name="Comma 4 5 4 2" xfId="3378" xr:uid="{00000000-0005-0000-0000-0000430A0000}"/>
    <cellStyle name="Comma 4 5 4 2 2" xfId="7600" xr:uid="{00000000-0005-0000-0000-0000440A0000}"/>
    <cellStyle name="Comma 4 5 4 2 2 2" xfId="16050" xr:uid="{2711447D-EFD4-4E85-942D-7DBC34A8A2AB}"/>
    <cellStyle name="Comma 4 5 4 2 2 3" xfId="24497" xr:uid="{A20D0FAB-B4E6-407E-8C3E-99DECE55ED04}"/>
    <cellStyle name="Comma 4 5 4 2 3" xfId="11832" xr:uid="{246C6184-932D-4A12-9233-7F48D9F06C9C}"/>
    <cellStyle name="Comma 4 5 4 2 4" xfId="20280" xr:uid="{D8780AA5-E1EE-4A69-BFF0-2555ABC35FA2}"/>
    <cellStyle name="Comma 4 5 4 3" xfId="5455" xr:uid="{00000000-0005-0000-0000-0000450A0000}"/>
    <cellStyle name="Comma 4 5 4 3 2" xfId="13905" xr:uid="{A04FB25E-14FB-41A5-9B81-A3606A6A4E93}"/>
    <cellStyle name="Comma 4 5 4 3 3" xfId="22352" xr:uid="{98DDBC0F-AA58-46DF-8EFB-070750BF4610}"/>
    <cellStyle name="Comma 4 5 4 4" xfId="9687" xr:uid="{2B04BD77-7FB9-42EF-87BF-9AC51F3ACE19}"/>
    <cellStyle name="Comma 4 5 4 5" xfId="18135" xr:uid="{37C0018E-9B20-4DFD-875D-0458BFFCF188}"/>
    <cellStyle name="Comma 4 5 5" xfId="1561" xr:uid="{00000000-0005-0000-0000-0000460A0000}"/>
    <cellStyle name="Comma 4 5 5 2" xfId="3791" xr:uid="{00000000-0005-0000-0000-0000470A0000}"/>
    <cellStyle name="Comma 4 5 5 2 2" xfId="8013" xr:uid="{00000000-0005-0000-0000-0000480A0000}"/>
    <cellStyle name="Comma 4 5 5 2 2 2" xfId="16463" xr:uid="{BF5BA08C-19BA-4AAB-B0B9-7DC97BE1B3CE}"/>
    <cellStyle name="Comma 4 5 5 2 2 3" xfId="24910" xr:uid="{A6549496-05D3-44EF-982A-49CA0D49B516}"/>
    <cellStyle name="Comma 4 5 5 2 3" xfId="12245" xr:uid="{1E8A8E31-9F72-4374-8B79-9FB1D950EE65}"/>
    <cellStyle name="Comma 4 5 5 2 4" xfId="20693" xr:uid="{1DCBA131-2527-4CEF-9A8A-DC7EAE01E45B}"/>
    <cellStyle name="Comma 4 5 5 3" xfId="5868" xr:uid="{00000000-0005-0000-0000-0000490A0000}"/>
    <cellStyle name="Comma 4 5 5 3 2" xfId="14318" xr:uid="{E907EE1B-B886-47A4-BC3D-88B50E822318}"/>
    <cellStyle name="Comma 4 5 5 3 3" xfId="22765" xr:uid="{4AE96A81-0C1E-42F7-926A-E70DFBDF9BDF}"/>
    <cellStyle name="Comma 4 5 5 4" xfId="10100" xr:uid="{93FBE37A-4C93-4D02-91C2-68FD135A4526}"/>
    <cellStyle name="Comma 4 5 5 5" xfId="18548" xr:uid="{2C1BDC75-CCBC-4EC6-8EE1-121A65515844}"/>
    <cellStyle name="Comma 4 5 6" xfId="1975" xr:uid="{00000000-0005-0000-0000-00004A0A0000}"/>
    <cellStyle name="Comma 4 5 6 2" xfId="4204" xr:uid="{00000000-0005-0000-0000-00004B0A0000}"/>
    <cellStyle name="Comma 4 5 6 2 2" xfId="8426" xr:uid="{00000000-0005-0000-0000-00004C0A0000}"/>
    <cellStyle name="Comma 4 5 6 2 2 2" xfId="16876" xr:uid="{2C897323-DA9F-4306-A312-B4CB46EFAD4D}"/>
    <cellStyle name="Comma 4 5 6 2 2 3" xfId="25323" xr:uid="{FE5C91B8-9627-460C-B20C-B440A9249F1E}"/>
    <cellStyle name="Comma 4 5 6 2 3" xfId="12658" xr:uid="{CE8AF4D7-AB64-45C5-B9BA-F6AB0CCA2414}"/>
    <cellStyle name="Comma 4 5 6 2 4" xfId="21106" xr:uid="{F8677A28-C307-4E26-873D-3BC6FBB3C8E1}"/>
    <cellStyle name="Comma 4 5 6 3" xfId="6281" xr:uid="{00000000-0005-0000-0000-00004D0A0000}"/>
    <cellStyle name="Comma 4 5 6 3 2" xfId="14731" xr:uid="{43331BAE-021A-450D-8D42-9C5FA9926522}"/>
    <cellStyle name="Comma 4 5 6 3 3" xfId="23178" xr:uid="{71E1748B-F3BA-497A-9C21-D9054B4D0E12}"/>
    <cellStyle name="Comma 4 5 6 4" xfId="10513" xr:uid="{8ABD8531-5FB8-402F-B826-1469715A9912}"/>
    <cellStyle name="Comma 4 5 6 5" xfId="18961" xr:uid="{E78D5D0C-CB7D-496E-BEEF-B1E16B47EA36}"/>
    <cellStyle name="Comma 4 5 7" xfId="2410" xr:uid="{00000000-0005-0000-0000-00004E0A0000}"/>
    <cellStyle name="Comma 4 5 7 2" xfId="6694" xr:uid="{00000000-0005-0000-0000-00004F0A0000}"/>
    <cellStyle name="Comma 4 5 7 2 2" xfId="15144" xr:uid="{38F86D70-122C-4CBD-AD92-3DF2D11E01FF}"/>
    <cellStyle name="Comma 4 5 7 2 3" xfId="23591" xr:uid="{198EF3D5-1DBA-45B0-A81D-E9820D26FFA0}"/>
    <cellStyle name="Comma 4 5 7 3" xfId="10926" xr:uid="{203E49A5-7DE6-47C8-89F5-DE96CB3F4474}"/>
    <cellStyle name="Comma 4 5 7 4" xfId="19374" xr:uid="{006CF43E-4ECE-442C-903F-A0B7161E357A}"/>
    <cellStyle name="Comma 4 5 8" xfId="2706" xr:uid="{00000000-0005-0000-0000-0000500A0000}"/>
    <cellStyle name="Comma 4 5 9" xfId="2788" xr:uid="{00000000-0005-0000-0000-0000510A0000}"/>
    <cellStyle name="Comma 4 5 9 2" xfId="7011" xr:uid="{00000000-0005-0000-0000-0000520A0000}"/>
    <cellStyle name="Comma 4 5 9 2 2" xfId="15461" xr:uid="{22491EFE-5004-4D7A-B9FE-F769D8E81270}"/>
    <cellStyle name="Comma 4 5 9 2 3" xfId="23908" xr:uid="{7760B834-A520-4545-B570-C436A3778450}"/>
    <cellStyle name="Comma 4 5 9 3" xfId="11243" xr:uid="{DF87FDD9-3446-4A8D-A790-053115169B40}"/>
    <cellStyle name="Comma 4 5 9 4" xfId="19691" xr:uid="{B9CD8C93-9887-4ED1-8054-106DF15A2B85}"/>
    <cellStyle name="Comma 4 6" xfId="159" xr:uid="{00000000-0005-0000-0000-0000530A0000}"/>
    <cellStyle name="Comma 4 6 10" xfId="8862" xr:uid="{8D0F7ED8-EF77-4C2E-AB79-78AFA2A8594A}"/>
    <cellStyle name="Comma 4 6 11" xfId="17310" xr:uid="{D505739C-07B1-4232-8B50-2E83C7D0EBF6}"/>
    <cellStyle name="Comma 4 6 2" xfId="696" xr:uid="{00000000-0005-0000-0000-0000540A0000}"/>
    <cellStyle name="Comma 4 6 2 2" xfId="2967" xr:uid="{00000000-0005-0000-0000-0000550A0000}"/>
    <cellStyle name="Comma 4 6 2 2 2" xfId="7189" xr:uid="{00000000-0005-0000-0000-0000560A0000}"/>
    <cellStyle name="Comma 4 6 2 2 2 2" xfId="15639" xr:uid="{3884BA62-523D-4D8D-932A-88722FC25B21}"/>
    <cellStyle name="Comma 4 6 2 2 2 3" xfId="24086" xr:uid="{083A7088-8DED-4021-B845-026BF89BBC41}"/>
    <cellStyle name="Comma 4 6 2 2 3" xfId="11421" xr:uid="{F5489782-F8C7-4584-8106-B27BDDDB37E9}"/>
    <cellStyle name="Comma 4 6 2 2 4" xfId="19869" xr:uid="{95BF1748-F3FD-4673-8122-E9A296FE80C7}"/>
    <cellStyle name="Comma 4 6 2 3" xfId="5044" xr:uid="{00000000-0005-0000-0000-0000570A0000}"/>
    <cellStyle name="Comma 4 6 2 3 2" xfId="13494" xr:uid="{EF01AE47-7883-457A-B02E-65EFDEFFF565}"/>
    <cellStyle name="Comma 4 6 2 3 3" xfId="21941" xr:uid="{B2637246-DD7E-452F-A1CC-309413F727B2}"/>
    <cellStyle name="Comma 4 6 2 4" xfId="9276" xr:uid="{791E4888-DBC2-456E-A95A-B04808CA63D2}"/>
    <cellStyle name="Comma 4 6 2 5" xfId="17724" xr:uid="{62252D18-1DBA-4EB3-A53F-44AB9FF7461C}"/>
    <cellStyle name="Comma 4 6 3" xfId="1149" xr:uid="{00000000-0005-0000-0000-0000580A0000}"/>
    <cellStyle name="Comma 4 6 3 2" xfId="3380" xr:uid="{00000000-0005-0000-0000-0000590A0000}"/>
    <cellStyle name="Comma 4 6 3 2 2" xfId="7602" xr:uid="{00000000-0005-0000-0000-00005A0A0000}"/>
    <cellStyle name="Comma 4 6 3 2 2 2" xfId="16052" xr:uid="{16C5677F-7D95-4204-B422-13D93A8BEF6B}"/>
    <cellStyle name="Comma 4 6 3 2 2 3" xfId="24499" xr:uid="{F316C12B-5674-4EC9-B54E-4065622CDD25}"/>
    <cellStyle name="Comma 4 6 3 2 3" xfId="11834" xr:uid="{C4AB03C8-5FD5-4015-A339-06643E2B8F80}"/>
    <cellStyle name="Comma 4 6 3 2 4" xfId="20282" xr:uid="{941C467D-D63C-499C-9386-800225CA5E2F}"/>
    <cellStyle name="Comma 4 6 3 3" xfId="5457" xr:uid="{00000000-0005-0000-0000-00005B0A0000}"/>
    <cellStyle name="Comma 4 6 3 3 2" xfId="13907" xr:uid="{674EB67C-7CEE-420D-949B-E919EDF7ADF6}"/>
    <cellStyle name="Comma 4 6 3 3 3" xfId="22354" xr:uid="{B8D680C1-01F6-4C7A-BE64-A99E19CC29CA}"/>
    <cellStyle name="Comma 4 6 3 4" xfId="9689" xr:uid="{25098FF1-3764-43C0-A67C-204EB781A813}"/>
    <cellStyle name="Comma 4 6 3 5" xfId="18137" xr:uid="{51CB8200-FF6F-4FD6-B352-E48DA1955396}"/>
    <cellStyle name="Comma 4 6 4" xfId="1563" xr:uid="{00000000-0005-0000-0000-00005C0A0000}"/>
    <cellStyle name="Comma 4 6 4 2" xfId="3793" xr:uid="{00000000-0005-0000-0000-00005D0A0000}"/>
    <cellStyle name="Comma 4 6 4 2 2" xfId="8015" xr:uid="{00000000-0005-0000-0000-00005E0A0000}"/>
    <cellStyle name="Comma 4 6 4 2 2 2" xfId="16465" xr:uid="{7F7DC6B0-640C-4DC0-8617-5DE3428057A9}"/>
    <cellStyle name="Comma 4 6 4 2 2 3" xfId="24912" xr:uid="{6ED14769-F89C-462E-9138-73F06128BB37}"/>
    <cellStyle name="Comma 4 6 4 2 3" xfId="12247" xr:uid="{0C153760-252C-428B-8698-5ECC042505AD}"/>
    <cellStyle name="Comma 4 6 4 2 4" xfId="20695" xr:uid="{CF12C520-ED5B-4655-AE29-D0D2BB35B30D}"/>
    <cellStyle name="Comma 4 6 4 3" xfId="5870" xr:uid="{00000000-0005-0000-0000-00005F0A0000}"/>
    <cellStyle name="Comma 4 6 4 3 2" xfId="14320" xr:uid="{EA109A01-6146-4371-B4B9-B340AFD700AD}"/>
    <cellStyle name="Comma 4 6 4 3 3" xfId="22767" xr:uid="{89F3FB5A-53DB-4D9E-A07B-620A39F84CE9}"/>
    <cellStyle name="Comma 4 6 4 4" xfId="10102" xr:uid="{6AA7A9D2-B14D-4964-BE57-F57F854AA6BE}"/>
    <cellStyle name="Comma 4 6 4 5" xfId="18550" xr:uid="{A1897154-5171-496A-BED6-ED22E095F133}"/>
    <cellStyle name="Comma 4 6 5" xfId="1977" xr:uid="{00000000-0005-0000-0000-0000600A0000}"/>
    <cellStyle name="Comma 4 6 5 2" xfId="4206" xr:uid="{00000000-0005-0000-0000-0000610A0000}"/>
    <cellStyle name="Comma 4 6 5 2 2" xfId="8428" xr:uid="{00000000-0005-0000-0000-0000620A0000}"/>
    <cellStyle name="Comma 4 6 5 2 2 2" xfId="16878" xr:uid="{9DA5FFB1-576A-4887-AE9F-588A70CF686A}"/>
    <cellStyle name="Comma 4 6 5 2 2 3" xfId="25325" xr:uid="{6A8F5C63-C2C7-47A7-A96F-3EA3DCBE768D}"/>
    <cellStyle name="Comma 4 6 5 2 3" xfId="12660" xr:uid="{CA1F69DF-8332-4CFD-B8B2-074DCA21EFDE}"/>
    <cellStyle name="Comma 4 6 5 2 4" xfId="21108" xr:uid="{53B10798-5B86-47D3-9F50-D60E60B953C3}"/>
    <cellStyle name="Comma 4 6 5 3" xfId="6283" xr:uid="{00000000-0005-0000-0000-0000630A0000}"/>
    <cellStyle name="Comma 4 6 5 3 2" xfId="14733" xr:uid="{3DCE059C-600B-40C6-BCBB-4AF1068DCB2D}"/>
    <cellStyle name="Comma 4 6 5 3 3" xfId="23180" xr:uid="{B0FC5BAC-79C6-4D0E-9EB4-E7A8A76242C2}"/>
    <cellStyle name="Comma 4 6 5 4" xfId="10515" xr:uid="{EE84FF1B-05F3-4039-9495-9E9F4B847223}"/>
    <cellStyle name="Comma 4 6 5 5" xfId="18963" xr:uid="{60A9C1E5-44CE-4D80-87AA-EDD68674A6F6}"/>
    <cellStyle name="Comma 4 6 6" xfId="2412" xr:uid="{00000000-0005-0000-0000-0000640A0000}"/>
    <cellStyle name="Comma 4 6 6 2" xfId="6696" xr:uid="{00000000-0005-0000-0000-0000650A0000}"/>
    <cellStyle name="Comma 4 6 6 2 2" xfId="15146" xr:uid="{F61567D8-95A8-4973-891E-77508D1AC6F0}"/>
    <cellStyle name="Comma 4 6 6 2 3" xfId="23593" xr:uid="{386C1B62-3A08-4824-99C6-C01202535146}"/>
    <cellStyle name="Comma 4 6 6 3" xfId="10928" xr:uid="{DACAF2EC-32C6-40C5-9A4E-82023423BE6D}"/>
    <cellStyle name="Comma 4 6 6 4" xfId="19376" xr:uid="{2D6F2BC3-824B-47EA-B271-420307955181}"/>
    <cellStyle name="Comma 4 6 7" xfId="2708" xr:uid="{00000000-0005-0000-0000-0000660A0000}"/>
    <cellStyle name="Comma 4 6 8" xfId="2790" xr:uid="{00000000-0005-0000-0000-0000670A0000}"/>
    <cellStyle name="Comma 4 6 8 2" xfId="7013" xr:uid="{00000000-0005-0000-0000-0000680A0000}"/>
    <cellStyle name="Comma 4 6 8 2 2" xfId="15463" xr:uid="{F8827B88-085B-4B16-A95C-507F729199F4}"/>
    <cellStyle name="Comma 4 6 8 2 3" xfId="23910" xr:uid="{B42B74F8-0D34-4B9C-AF06-F0B118DC143D}"/>
    <cellStyle name="Comma 4 6 8 3" xfId="11245" xr:uid="{A956490F-4ABF-4C70-B863-19D847D27164}"/>
    <cellStyle name="Comma 4 6 8 4" xfId="19693" xr:uid="{52BC9D43-23BF-4A77-AAC8-497351E614BB}"/>
    <cellStyle name="Comma 4 6 9" xfId="4630" xr:uid="{00000000-0005-0000-0000-0000690A0000}"/>
    <cellStyle name="Comma 4 6 9 2" xfId="13080" xr:uid="{ECE463FF-62A8-4B2D-81B9-4E70171D8FDA}"/>
    <cellStyle name="Comma 4 6 9 3" xfId="21527" xr:uid="{B269E8F8-2A1B-4B20-B504-A8CA02897328}"/>
    <cellStyle name="Comma 4 7" xfId="160" xr:uid="{00000000-0005-0000-0000-00006A0A0000}"/>
    <cellStyle name="Comma 4 7 10" xfId="8863" xr:uid="{BCDC9FFF-FD5F-45D8-9B39-E93C394F2069}"/>
    <cellStyle name="Comma 4 7 11" xfId="17311" xr:uid="{5D620FB7-9446-455B-993D-4C3AE68AE780}"/>
    <cellStyle name="Comma 4 7 2" xfId="697" xr:uid="{00000000-0005-0000-0000-00006B0A0000}"/>
    <cellStyle name="Comma 4 7 2 2" xfId="2968" xr:uid="{00000000-0005-0000-0000-00006C0A0000}"/>
    <cellStyle name="Comma 4 7 2 2 2" xfId="7190" xr:uid="{00000000-0005-0000-0000-00006D0A0000}"/>
    <cellStyle name="Comma 4 7 2 2 2 2" xfId="15640" xr:uid="{94CF37FC-E91B-45C5-BA57-2782EBB7F048}"/>
    <cellStyle name="Comma 4 7 2 2 2 3" xfId="24087" xr:uid="{CC48624D-A1FE-4320-A4C3-6EC251D6B6D9}"/>
    <cellStyle name="Comma 4 7 2 2 3" xfId="11422" xr:uid="{37A0933D-A9BE-4CDD-8FD3-E7BC7734481B}"/>
    <cellStyle name="Comma 4 7 2 2 4" xfId="19870" xr:uid="{6FED0351-9BE6-4E37-87F3-DFDD97F70602}"/>
    <cellStyle name="Comma 4 7 2 3" xfId="5045" xr:uid="{00000000-0005-0000-0000-00006E0A0000}"/>
    <cellStyle name="Comma 4 7 2 3 2" xfId="13495" xr:uid="{ADF95DEE-9789-40CA-A777-85D40C533999}"/>
    <cellStyle name="Comma 4 7 2 3 3" xfId="21942" xr:uid="{E15373D3-E69C-4873-99DF-F95C98C81253}"/>
    <cellStyle name="Comma 4 7 2 4" xfId="9277" xr:uid="{95CBAEE7-A8DF-4724-9A2B-E6A5FDDF535A}"/>
    <cellStyle name="Comma 4 7 2 5" xfId="17725" xr:uid="{85D1A8A0-8769-45A9-866F-BEE0B40D7AA1}"/>
    <cellStyle name="Comma 4 7 3" xfId="1150" xr:uid="{00000000-0005-0000-0000-00006F0A0000}"/>
    <cellStyle name="Comma 4 7 3 2" xfId="3381" xr:uid="{00000000-0005-0000-0000-0000700A0000}"/>
    <cellStyle name="Comma 4 7 3 2 2" xfId="7603" xr:uid="{00000000-0005-0000-0000-0000710A0000}"/>
    <cellStyle name="Comma 4 7 3 2 2 2" xfId="16053" xr:uid="{F42A6771-A3C4-4EF5-879F-7A8842B3C0B1}"/>
    <cellStyle name="Comma 4 7 3 2 2 3" xfId="24500" xr:uid="{F6475409-627A-42E8-8FDB-446B5C98A3F2}"/>
    <cellStyle name="Comma 4 7 3 2 3" xfId="11835" xr:uid="{A0301123-6FB7-44CF-B3F3-30A2B6E34669}"/>
    <cellStyle name="Comma 4 7 3 2 4" xfId="20283" xr:uid="{BB13E4E8-C2E7-4E57-9605-2A858087F320}"/>
    <cellStyle name="Comma 4 7 3 3" xfId="5458" xr:uid="{00000000-0005-0000-0000-0000720A0000}"/>
    <cellStyle name="Comma 4 7 3 3 2" xfId="13908" xr:uid="{507A2360-9B4C-45CB-A78E-30C6B5BDC391}"/>
    <cellStyle name="Comma 4 7 3 3 3" xfId="22355" xr:uid="{3FD769B6-5C6D-4F99-B9FA-2F9A8B698B09}"/>
    <cellStyle name="Comma 4 7 3 4" xfId="9690" xr:uid="{16E41214-5A5B-48D9-9E29-52BD92CF74C8}"/>
    <cellStyle name="Comma 4 7 3 5" xfId="18138" xr:uid="{F7AE20E7-A519-4809-B7F7-460A9E7EC944}"/>
    <cellStyle name="Comma 4 7 4" xfId="1564" xr:uid="{00000000-0005-0000-0000-0000730A0000}"/>
    <cellStyle name="Comma 4 7 4 2" xfId="3794" xr:uid="{00000000-0005-0000-0000-0000740A0000}"/>
    <cellStyle name="Comma 4 7 4 2 2" xfId="8016" xr:uid="{00000000-0005-0000-0000-0000750A0000}"/>
    <cellStyle name="Comma 4 7 4 2 2 2" xfId="16466" xr:uid="{335A50B1-D47F-4430-A10E-5F719CABC145}"/>
    <cellStyle name="Comma 4 7 4 2 2 3" xfId="24913" xr:uid="{34CFBDEC-096B-459B-BFA6-BA344296C9BB}"/>
    <cellStyle name="Comma 4 7 4 2 3" xfId="12248" xr:uid="{06D40703-A5A3-4A93-9539-287B4A54EB8E}"/>
    <cellStyle name="Comma 4 7 4 2 4" xfId="20696" xr:uid="{0856DBFC-B1BB-4296-9EE5-E187CFCCBB92}"/>
    <cellStyle name="Comma 4 7 4 3" xfId="5871" xr:uid="{00000000-0005-0000-0000-0000760A0000}"/>
    <cellStyle name="Comma 4 7 4 3 2" xfId="14321" xr:uid="{6EF0D92F-A882-435B-9491-1C766F1C18CE}"/>
    <cellStyle name="Comma 4 7 4 3 3" xfId="22768" xr:uid="{69E1CF53-FFBE-44A7-9561-6C09111FCF49}"/>
    <cellStyle name="Comma 4 7 4 4" xfId="10103" xr:uid="{96A3ADD7-6181-4DD0-9B22-9A7FA560B85D}"/>
    <cellStyle name="Comma 4 7 4 5" xfId="18551" xr:uid="{A0EB9CE6-2768-4EF9-8E1F-333E5F3C485C}"/>
    <cellStyle name="Comma 4 7 5" xfId="1978" xr:uid="{00000000-0005-0000-0000-0000770A0000}"/>
    <cellStyle name="Comma 4 7 5 2" xfId="4207" xr:uid="{00000000-0005-0000-0000-0000780A0000}"/>
    <cellStyle name="Comma 4 7 5 2 2" xfId="8429" xr:uid="{00000000-0005-0000-0000-0000790A0000}"/>
    <cellStyle name="Comma 4 7 5 2 2 2" xfId="16879" xr:uid="{F3B6836E-D58D-43C4-94A8-067BBBF72A95}"/>
    <cellStyle name="Comma 4 7 5 2 2 3" xfId="25326" xr:uid="{6A5E856C-9834-4CB5-AC9C-5CC80DC33DED}"/>
    <cellStyle name="Comma 4 7 5 2 3" xfId="12661" xr:uid="{1FC3AD7F-3F4A-411A-9C57-4B98AE83E0C2}"/>
    <cellStyle name="Comma 4 7 5 2 4" xfId="21109" xr:uid="{B866FF39-0650-4463-B27C-B085CAA2480E}"/>
    <cellStyle name="Comma 4 7 5 3" xfId="6284" xr:uid="{00000000-0005-0000-0000-00007A0A0000}"/>
    <cellStyle name="Comma 4 7 5 3 2" xfId="14734" xr:uid="{E2DA4C70-F489-44CA-BE07-85A9E481B6AE}"/>
    <cellStyle name="Comma 4 7 5 3 3" xfId="23181" xr:uid="{FB07F127-A9E5-4F73-9BB2-61777D06FF2D}"/>
    <cellStyle name="Comma 4 7 5 4" xfId="10516" xr:uid="{FE7587B4-B966-4519-85E5-B513C9B5D5D8}"/>
    <cellStyle name="Comma 4 7 5 5" xfId="18964" xr:uid="{0B1C1679-8923-4B03-B43F-AEA6866E732D}"/>
    <cellStyle name="Comma 4 7 6" xfId="2413" xr:uid="{00000000-0005-0000-0000-00007B0A0000}"/>
    <cellStyle name="Comma 4 7 6 2" xfId="6697" xr:uid="{00000000-0005-0000-0000-00007C0A0000}"/>
    <cellStyle name="Comma 4 7 6 2 2" xfId="15147" xr:uid="{BCF261DF-E529-44A5-95BC-71A7EE4F5735}"/>
    <cellStyle name="Comma 4 7 6 2 3" xfId="23594" xr:uid="{ED008192-58AE-4756-A0F0-79F94B4BEA04}"/>
    <cellStyle name="Comma 4 7 6 3" xfId="10929" xr:uid="{AD655E0E-1966-4424-B6DE-E4E4A6F10383}"/>
    <cellStyle name="Comma 4 7 6 4" xfId="19377" xr:uid="{534043ED-4487-4F6C-A174-306E266DD62C}"/>
    <cellStyle name="Comma 4 7 7" xfId="2709" xr:uid="{00000000-0005-0000-0000-00007D0A0000}"/>
    <cellStyle name="Comma 4 7 8" xfId="2791" xr:uid="{00000000-0005-0000-0000-00007E0A0000}"/>
    <cellStyle name="Comma 4 7 8 2" xfId="7014" xr:uid="{00000000-0005-0000-0000-00007F0A0000}"/>
    <cellStyle name="Comma 4 7 8 2 2" xfId="15464" xr:uid="{10B795BC-67A1-410A-8B11-AE2F7EF78CA0}"/>
    <cellStyle name="Comma 4 7 8 2 3" xfId="23911" xr:uid="{EB6942CE-835A-49E1-9242-1FB56A44A130}"/>
    <cellStyle name="Comma 4 7 8 3" xfId="11246" xr:uid="{418A1FE8-A737-4F83-859C-E26AB77BE639}"/>
    <cellStyle name="Comma 4 7 8 4" xfId="19694" xr:uid="{59C38D2B-1BC4-4E1A-B035-2092E5F2690D}"/>
    <cellStyle name="Comma 4 7 9" xfId="4631" xr:uid="{00000000-0005-0000-0000-0000800A0000}"/>
    <cellStyle name="Comma 4 7 9 2" xfId="13081" xr:uid="{1CFB00B9-4DE5-4B1F-AC39-863153742150}"/>
    <cellStyle name="Comma 4 7 9 3" xfId="21528" xr:uid="{10E4D7A0-976A-46A0-A5A8-4CDAA58FD7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9A856163-E4AC-40F7-96C0-EDABEA564E16}"/>
    <cellStyle name="Comma 7 3" xfId="21396" xr:uid="{B1A344AB-ECFB-4EDA-91EB-158C19F482E7}"/>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7A74DC3A-A491-4DA6-89FA-C692D89FE794}"/>
    <cellStyle name="Currency 14 2 3" xfId="25613" xr:uid="{71BBD5B4-D857-43BE-83D3-B490569A6F7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2A3BFE98-E5D2-4FAE-A666-24EEC7A6DFE6}"/>
    <cellStyle name="Currency 14 3 2 2 2 2 3" xfId="25629" xr:uid="{82FA391F-1777-487C-A2AD-3EC62186C992}"/>
    <cellStyle name="Currency 14 3 2 2 2 3" xfId="17179" xr:uid="{17867CC4-50B7-484D-8847-B4B171AC8CDE}"/>
    <cellStyle name="Currency 14 3 2 2 2 4" xfId="25626" xr:uid="{84630672-9033-4853-A3B2-5A7FEB234D2D}"/>
    <cellStyle name="Currency 14 3 2 2 3" xfId="17175" xr:uid="{15DE89A0-F918-48C8-B10F-9CF2AD1AA66F}"/>
    <cellStyle name="Currency 14 3 2 2 4" xfId="25622" xr:uid="{36062302-385A-45B5-BC80-37C724C5E09F}"/>
    <cellStyle name="Currency 14 3 2 3" xfId="17172" xr:uid="{1FE8964D-8CFD-4DED-A1CD-BF94758F9880}"/>
    <cellStyle name="Currency 14 3 2 4" xfId="25619" xr:uid="{BDFA2550-3240-4A7A-9619-391F3F47B375}"/>
    <cellStyle name="Currency 14 3 3" xfId="17169" xr:uid="{239F4AB8-277B-443E-9E77-A4C671CB1C5B}"/>
    <cellStyle name="Currency 14 3 4" xfId="25616" xr:uid="{8B7A3870-65F6-45C8-BD22-277599DB6FA0}"/>
    <cellStyle name="Currency 14 4" xfId="12952" xr:uid="{71990FD8-EC13-43F2-AC7D-78D03AEB355E}"/>
    <cellStyle name="Currency 14 5" xfId="21399" xr:uid="{993BF6D2-90BF-4EED-A876-5BF431CF3E7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E3E0D13A-105C-45F6-B953-D49E2C7FA353}"/>
    <cellStyle name="Currency 3 2 2 10 2 3" xfId="23912" xr:uid="{BFE660DD-8E01-4693-8053-E03589976FE5}"/>
    <cellStyle name="Currency 3 2 2 10 3" xfId="11247" xr:uid="{90ED25A8-48D1-4794-A00D-47B2BF174636}"/>
    <cellStyle name="Currency 3 2 2 10 4" xfId="19695" xr:uid="{2499F61A-FCDD-4136-9851-9BB782B4A1E6}"/>
    <cellStyle name="Currency 3 2 2 11" xfId="4632" xr:uid="{00000000-0005-0000-0000-0000A50A0000}"/>
    <cellStyle name="Currency 3 2 2 11 2" xfId="13082" xr:uid="{D4719664-7F62-4969-B906-C8ABC5260C55}"/>
    <cellStyle name="Currency 3 2 2 11 3" xfId="21529" xr:uid="{645EF48F-19BE-45E9-A8EB-DF1F4FAB83E3}"/>
    <cellStyle name="Currency 3 2 2 12" xfId="8864" xr:uid="{5E5E0263-991F-41F0-8D38-04A6C4EFD129}"/>
    <cellStyle name="Currency 3 2 2 13" xfId="17312" xr:uid="{D6F37BFD-1442-4C14-89EB-2C7D83E9083C}"/>
    <cellStyle name="Currency 3 2 2 2" xfId="179" xr:uid="{00000000-0005-0000-0000-0000A60A0000}"/>
    <cellStyle name="Currency 3 2 2 2 10" xfId="4633" xr:uid="{00000000-0005-0000-0000-0000A70A0000}"/>
    <cellStyle name="Currency 3 2 2 2 10 2" xfId="13083" xr:uid="{D809E166-EF13-4925-A25B-D0133945AA1F}"/>
    <cellStyle name="Currency 3 2 2 2 10 3" xfId="21530" xr:uid="{8C5E00E7-8869-4356-B18D-FB929C20A13E}"/>
    <cellStyle name="Currency 3 2 2 2 11" xfId="8865" xr:uid="{979CBC5A-A00A-4D13-BD89-B758E622F529}"/>
    <cellStyle name="Currency 3 2 2 2 12" xfId="17313" xr:uid="{EDB34CFE-45BB-4369-9169-F1C8CB03A787}"/>
    <cellStyle name="Currency 3 2 2 2 2" xfId="180" xr:uid="{00000000-0005-0000-0000-0000A80A0000}"/>
    <cellStyle name="Currency 3 2 2 2 2 10" xfId="8866" xr:uid="{DC06A24A-7470-42FB-83D2-0B8B481E39B7}"/>
    <cellStyle name="Currency 3 2 2 2 2 11" xfId="17314" xr:uid="{F2E6A83D-20BE-4E19-B31F-ED9FC8CE9F4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ED91FAB5-CD6B-4BE0-A738-9C2FC0F97B06}"/>
    <cellStyle name="Currency 3 2 2 2 2 2 2 2 3" xfId="24090" xr:uid="{31E9D3FF-DF53-4CB2-8B5C-B50D5122FAD5}"/>
    <cellStyle name="Currency 3 2 2 2 2 2 2 3" xfId="11425" xr:uid="{B51EC345-8990-4FF5-813E-F67822B94B39}"/>
    <cellStyle name="Currency 3 2 2 2 2 2 2 4" xfId="19873" xr:uid="{0B1D873B-D9D6-4C09-96C9-8D4E4BF6EC5B}"/>
    <cellStyle name="Currency 3 2 2 2 2 2 3" xfId="5048" xr:uid="{00000000-0005-0000-0000-0000AC0A0000}"/>
    <cellStyle name="Currency 3 2 2 2 2 2 3 2" xfId="13498" xr:uid="{E55F3BE5-984E-467A-A86E-64823F5E31C4}"/>
    <cellStyle name="Currency 3 2 2 2 2 2 3 3" xfId="21945" xr:uid="{D467B33F-B7FC-49DB-8ADA-90DC266DD048}"/>
    <cellStyle name="Currency 3 2 2 2 2 2 4" xfId="9280" xr:uid="{D47870FF-7A76-41AC-8095-EE1D07E7FDA7}"/>
    <cellStyle name="Currency 3 2 2 2 2 2 5" xfId="17728" xr:uid="{10606F87-C494-4C03-87EE-76D9E218D014}"/>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855B5111-F1C4-415B-BF08-C4D16AE85F08}"/>
    <cellStyle name="Currency 3 2 2 2 2 3 2 2 3" xfId="24503" xr:uid="{8776DEF2-83B3-4699-A905-292E39426F62}"/>
    <cellStyle name="Currency 3 2 2 2 2 3 2 3" xfId="11838" xr:uid="{71CF5B3B-19F6-4EFF-8B93-5FDE9A43D79E}"/>
    <cellStyle name="Currency 3 2 2 2 2 3 2 4" xfId="20286" xr:uid="{B6EF62EF-37AE-45F1-A3FF-A41C792F358A}"/>
    <cellStyle name="Currency 3 2 2 2 2 3 3" xfId="5461" xr:uid="{00000000-0005-0000-0000-0000B00A0000}"/>
    <cellStyle name="Currency 3 2 2 2 2 3 3 2" xfId="13911" xr:uid="{B747036C-1791-45B4-BC55-368E638073FE}"/>
    <cellStyle name="Currency 3 2 2 2 2 3 3 3" xfId="22358" xr:uid="{83663E15-9520-496D-84BB-5BC68BED3F32}"/>
    <cellStyle name="Currency 3 2 2 2 2 3 4" xfId="9693" xr:uid="{E26FCF3E-4674-4312-9C27-7BFA436129F9}"/>
    <cellStyle name="Currency 3 2 2 2 2 3 5" xfId="18141" xr:uid="{38F49250-874E-4F88-A4CE-2E5A3394109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45EC2E5F-AE8D-478A-9652-05CA1A4AF4B3}"/>
    <cellStyle name="Currency 3 2 2 2 2 4 2 2 3" xfId="24916" xr:uid="{2E5083D0-9638-4ECF-AE46-D154BFFA90FF}"/>
    <cellStyle name="Currency 3 2 2 2 2 4 2 3" xfId="12251" xr:uid="{0AF0F21D-B791-48F1-B284-BCFF134C80F3}"/>
    <cellStyle name="Currency 3 2 2 2 2 4 2 4" xfId="20699" xr:uid="{0B50A44C-C52A-4A38-8765-9CE9FEAD8655}"/>
    <cellStyle name="Currency 3 2 2 2 2 4 3" xfId="5874" xr:uid="{00000000-0005-0000-0000-0000B40A0000}"/>
    <cellStyle name="Currency 3 2 2 2 2 4 3 2" xfId="14324" xr:uid="{AD5ADE6D-815A-40EE-AEBB-3386EF33B476}"/>
    <cellStyle name="Currency 3 2 2 2 2 4 3 3" xfId="22771" xr:uid="{6F3C7D36-0C0C-4153-9898-EEC6AF6C9615}"/>
    <cellStyle name="Currency 3 2 2 2 2 4 4" xfId="10106" xr:uid="{F29080A5-8105-4132-8653-3C0BADFD7B67}"/>
    <cellStyle name="Currency 3 2 2 2 2 4 5" xfId="18554" xr:uid="{AEEAD56E-FBCF-4910-B6EA-39E19134B4CC}"/>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EEE2111D-28CA-4C23-A941-596494E91E8E}"/>
    <cellStyle name="Currency 3 2 2 2 2 5 2 2 3" xfId="25329" xr:uid="{6BB2EB58-01F6-483D-8E5E-54285D488EC2}"/>
    <cellStyle name="Currency 3 2 2 2 2 5 2 3" xfId="12664" xr:uid="{4C9CF184-D157-40A1-93CC-066E12A2BF49}"/>
    <cellStyle name="Currency 3 2 2 2 2 5 2 4" xfId="21112" xr:uid="{E3DC92B9-5E92-4584-922F-44AA02BFF2B3}"/>
    <cellStyle name="Currency 3 2 2 2 2 5 3" xfId="6287" xr:uid="{00000000-0005-0000-0000-0000B80A0000}"/>
    <cellStyle name="Currency 3 2 2 2 2 5 3 2" xfId="14737" xr:uid="{DA75BCA4-0B38-4613-8181-ED1776DF1197}"/>
    <cellStyle name="Currency 3 2 2 2 2 5 3 3" xfId="23184" xr:uid="{E9F49D84-C922-4665-A5CD-D3A42A90DA6A}"/>
    <cellStyle name="Currency 3 2 2 2 2 5 4" xfId="10519" xr:uid="{F8B31CDB-14B4-4046-8F8B-9DB0E0FE487A}"/>
    <cellStyle name="Currency 3 2 2 2 2 5 5" xfId="18967" xr:uid="{5528657F-CAD5-4489-B363-B251194329EB}"/>
    <cellStyle name="Currency 3 2 2 2 2 6" xfId="2416" xr:uid="{00000000-0005-0000-0000-0000B90A0000}"/>
    <cellStyle name="Currency 3 2 2 2 2 6 2" xfId="6700" xr:uid="{00000000-0005-0000-0000-0000BA0A0000}"/>
    <cellStyle name="Currency 3 2 2 2 2 6 2 2" xfId="15150" xr:uid="{0E0D1C15-D349-443B-B441-D8AC5C52B3EE}"/>
    <cellStyle name="Currency 3 2 2 2 2 6 2 3" xfId="23597" xr:uid="{063473D8-8AA2-446A-ADDE-C1E9B8A7A7B3}"/>
    <cellStyle name="Currency 3 2 2 2 2 6 3" xfId="10932" xr:uid="{208937AB-4B55-45D6-839A-7E6C64F27DB4}"/>
    <cellStyle name="Currency 3 2 2 2 2 6 4" xfId="19380" xr:uid="{BC7665F8-6BEF-4620-8C75-27107FBE1C43}"/>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BDE3083F-FC71-41BE-B70F-B33347888615}"/>
    <cellStyle name="Currency 3 2 2 2 2 8 2 3" xfId="23914" xr:uid="{BF4024A1-35BA-4949-BD1D-EEB3E0CC0FCD}"/>
    <cellStyle name="Currency 3 2 2 2 2 8 3" xfId="11249" xr:uid="{7B735FD8-31F9-4B2A-A6F1-C1AC8CC83CDC}"/>
    <cellStyle name="Currency 3 2 2 2 2 8 4" xfId="19697" xr:uid="{2FEF9AB9-F0BE-4B66-AA5D-EA09B5D06607}"/>
    <cellStyle name="Currency 3 2 2 2 2 9" xfId="4634" xr:uid="{00000000-0005-0000-0000-0000BE0A0000}"/>
    <cellStyle name="Currency 3 2 2 2 2 9 2" xfId="13084" xr:uid="{8B3E082E-4B20-4E76-89D5-DD60769E43E7}"/>
    <cellStyle name="Currency 3 2 2 2 2 9 3" xfId="21531" xr:uid="{5E985FC3-1E6E-4621-9396-56495DEBC717}"/>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604E4279-D3EF-4321-98B4-60D53324CDC9}"/>
    <cellStyle name="Currency 3 2 2 2 3 2 2 3" xfId="24089" xr:uid="{DDC416D6-869B-404B-A06B-B2D97C70E72B}"/>
    <cellStyle name="Currency 3 2 2 2 3 2 3" xfId="11424" xr:uid="{059D2AA5-40E6-4BA0-8867-0B0B79C9BAD7}"/>
    <cellStyle name="Currency 3 2 2 2 3 2 4" xfId="19872" xr:uid="{86E0533D-A17C-4359-A0F2-3E33E53D0255}"/>
    <cellStyle name="Currency 3 2 2 2 3 3" xfId="5047" xr:uid="{00000000-0005-0000-0000-0000C20A0000}"/>
    <cellStyle name="Currency 3 2 2 2 3 3 2" xfId="13497" xr:uid="{C3AFC776-9E81-4B34-882D-0A0A28DA1357}"/>
    <cellStyle name="Currency 3 2 2 2 3 3 3" xfId="21944" xr:uid="{28EE8506-E230-42A6-95EB-0E35D5B135E9}"/>
    <cellStyle name="Currency 3 2 2 2 3 4" xfId="9279" xr:uid="{C0BFBE78-A465-4206-AF55-F2F683A1EB2B}"/>
    <cellStyle name="Currency 3 2 2 2 3 5" xfId="17727" xr:uid="{039D629D-D5BC-4410-A0B3-E7E25EF0AD5C}"/>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EE53E195-97FA-455B-B807-BED9FB67E48B}"/>
    <cellStyle name="Currency 3 2 2 2 4 2 2 3" xfId="24502" xr:uid="{DE45B066-A569-4740-B530-DC96FFAC89E3}"/>
    <cellStyle name="Currency 3 2 2 2 4 2 3" xfId="11837" xr:uid="{79159533-16F8-485D-B615-246C0FA7818A}"/>
    <cellStyle name="Currency 3 2 2 2 4 2 4" xfId="20285" xr:uid="{9A482743-6DCB-4EE4-A2C3-60824EA58D53}"/>
    <cellStyle name="Currency 3 2 2 2 4 3" xfId="5460" xr:uid="{00000000-0005-0000-0000-0000C60A0000}"/>
    <cellStyle name="Currency 3 2 2 2 4 3 2" xfId="13910" xr:uid="{C76CF78F-8372-4E5D-A5E2-301CBED9A418}"/>
    <cellStyle name="Currency 3 2 2 2 4 3 3" xfId="22357" xr:uid="{72202CE2-3BC1-4840-9947-9DC4DF617F85}"/>
    <cellStyle name="Currency 3 2 2 2 4 4" xfId="9692" xr:uid="{D8DB435F-4B33-436B-A3D3-2E22A478C4DF}"/>
    <cellStyle name="Currency 3 2 2 2 4 5" xfId="18140" xr:uid="{72F75A46-5B08-42F0-9204-3CF3E03BD33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F1D986BA-C76A-4B15-A8EF-5CB6E6977A8C}"/>
    <cellStyle name="Currency 3 2 2 2 5 2 2 3" xfId="24915" xr:uid="{70FE320C-1348-43E7-9F84-02D6EDFCC45A}"/>
    <cellStyle name="Currency 3 2 2 2 5 2 3" xfId="12250" xr:uid="{3FF42CFB-37B2-448C-87A9-A5ECE23A67A9}"/>
    <cellStyle name="Currency 3 2 2 2 5 2 4" xfId="20698" xr:uid="{8F0D30E6-27A3-4C6A-B7A3-377A5850AD8F}"/>
    <cellStyle name="Currency 3 2 2 2 5 3" xfId="5873" xr:uid="{00000000-0005-0000-0000-0000CA0A0000}"/>
    <cellStyle name="Currency 3 2 2 2 5 3 2" xfId="14323" xr:uid="{C368B340-943A-4934-9A26-A7E94C1F977B}"/>
    <cellStyle name="Currency 3 2 2 2 5 3 3" xfId="22770" xr:uid="{71595EC8-338C-4D3E-A179-881C3C11B9CA}"/>
    <cellStyle name="Currency 3 2 2 2 5 4" xfId="10105" xr:uid="{DECFFEA9-4375-4BAA-937F-6535289411E4}"/>
    <cellStyle name="Currency 3 2 2 2 5 5" xfId="18553" xr:uid="{ECAC8EF4-B561-4301-B1FC-12B166FF89EA}"/>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ED99137D-B70B-443D-B203-167C6EE033F8}"/>
    <cellStyle name="Currency 3 2 2 2 6 2 2 3" xfId="25328" xr:uid="{145C22B3-8F03-4FCF-A889-31F5EC0D22B7}"/>
    <cellStyle name="Currency 3 2 2 2 6 2 3" xfId="12663" xr:uid="{60E47357-1AB8-4BBB-BDCD-A167D0E8CD36}"/>
    <cellStyle name="Currency 3 2 2 2 6 2 4" xfId="21111" xr:uid="{1ED1E61F-2BEB-4D84-9CCC-1AD421A9AEE8}"/>
    <cellStyle name="Currency 3 2 2 2 6 3" xfId="6286" xr:uid="{00000000-0005-0000-0000-0000CE0A0000}"/>
    <cellStyle name="Currency 3 2 2 2 6 3 2" xfId="14736" xr:uid="{63E20BEA-3E1C-4374-9CDD-9837C5860B8E}"/>
    <cellStyle name="Currency 3 2 2 2 6 3 3" xfId="23183" xr:uid="{6ECD11D4-F02F-40D3-BECF-96F157531032}"/>
    <cellStyle name="Currency 3 2 2 2 6 4" xfId="10518" xr:uid="{9C62BD30-5B47-4D77-B83F-6212690B9228}"/>
    <cellStyle name="Currency 3 2 2 2 6 5" xfId="18966" xr:uid="{E9BCA995-E289-46D1-8841-ED706B896111}"/>
    <cellStyle name="Currency 3 2 2 2 7" xfId="2415" xr:uid="{00000000-0005-0000-0000-0000CF0A0000}"/>
    <cellStyle name="Currency 3 2 2 2 7 2" xfId="6699" xr:uid="{00000000-0005-0000-0000-0000D00A0000}"/>
    <cellStyle name="Currency 3 2 2 2 7 2 2" xfId="15149" xr:uid="{8BB4BFA8-8045-4D67-BE9F-4366D69B8832}"/>
    <cellStyle name="Currency 3 2 2 2 7 2 3" xfId="23596" xr:uid="{21E2E53E-E2DD-4AD7-8340-8FABE6542688}"/>
    <cellStyle name="Currency 3 2 2 2 7 3" xfId="10931" xr:uid="{6F27BD5A-D4BE-4905-A997-C3C042C7A1F5}"/>
    <cellStyle name="Currency 3 2 2 2 7 4" xfId="19379" xr:uid="{D68F5BB0-0012-4D09-A289-582E1C0165AC}"/>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9AB40CFA-AB18-46CB-A4EA-DDDC14571C5B}"/>
    <cellStyle name="Currency 3 2 2 2 9 2 3" xfId="23913" xr:uid="{7FFFD22F-7CD3-4FA4-8591-8CB8F71BF5F5}"/>
    <cellStyle name="Currency 3 2 2 2 9 3" xfId="11248" xr:uid="{531FFA03-26E3-4343-B900-4DB3C7015E03}"/>
    <cellStyle name="Currency 3 2 2 2 9 4" xfId="19696" xr:uid="{09B34ADE-88B2-4A28-905D-F8E719ABE8D5}"/>
    <cellStyle name="Currency 3 2 2 3" xfId="181" xr:uid="{00000000-0005-0000-0000-0000D40A0000}"/>
    <cellStyle name="Currency 3 2 2 3 10" xfId="8867" xr:uid="{77969E25-3336-413B-A8B9-B42578D0D41A}"/>
    <cellStyle name="Currency 3 2 2 3 11" xfId="17315" xr:uid="{BB434A3D-6FCC-4D47-8C15-D7B97481BE3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CF95BD32-F046-4300-A8E3-74982D210286}"/>
    <cellStyle name="Currency 3 2 2 3 2 2 2 3" xfId="24091" xr:uid="{4BDE1DD5-7F73-4AD9-A179-08F744A055BC}"/>
    <cellStyle name="Currency 3 2 2 3 2 2 3" xfId="11426" xr:uid="{35D21D5E-ED07-4A07-A103-30B8E93F33DF}"/>
    <cellStyle name="Currency 3 2 2 3 2 2 4" xfId="19874" xr:uid="{58EC7012-49A6-4E42-BCBF-E46E9C920219}"/>
    <cellStyle name="Currency 3 2 2 3 2 3" xfId="5049" xr:uid="{00000000-0005-0000-0000-0000D80A0000}"/>
    <cellStyle name="Currency 3 2 2 3 2 3 2" xfId="13499" xr:uid="{249399EC-16F1-4FD9-9113-C702FF7C16BC}"/>
    <cellStyle name="Currency 3 2 2 3 2 3 3" xfId="21946" xr:uid="{20905734-2E97-4575-B8C5-91BEF7556413}"/>
    <cellStyle name="Currency 3 2 2 3 2 4" xfId="9281" xr:uid="{62E60793-3202-4D1D-83B9-34E38675E071}"/>
    <cellStyle name="Currency 3 2 2 3 2 5" xfId="17729" xr:uid="{40F74DE7-08D2-410B-9C7B-A4888BE8AEB4}"/>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7CF2DACD-0238-459E-8170-CF4D0A819638}"/>
    <cellStyle name="Currency 3 2 2 3 3 2 2 3" xfId="24504" xr:uid="{841119F6-1718-438F-8E31-76BF419C64EE}"/>
    <cellStyle name="Currency 3 2 2 3 3 2 3" xfId="11839" xr:uid="{5AE6A24A-B5C5-41C3-BDA3-BF779E84EDF5}"/>
    <cellStyle name="Currency 3 2 2 3 3 2 4" xfId="20287" xr:uid="{7F2741A4-4A88-4708-B107-0672E90568C4}"/>
    <cellStyle name="Currency 3 2 2 3 3 3" xfId="5462" xr:uid="{00000000-0005-0000-0000-0000DC0A0000}"/>
    <cellStyle name="Currency 3 2 2 3 3 3 2" xfId="13912" xr:uid="{E1488018-BD3F-4ECE-A523-9CA478E6483F}"/>
    <cellStyle name="Currency 3 2 2 3 3 3 3" xfId="22359" xr:uid="{FA20BB9D-53D8-49FA-B460-A1BF083D62EB}"/>
    <cellStyle name="Currency 3 2 2 3 3 4" xfId="9694" xr:uid="{3DC3B30F-84CD-42B7-8D33-9D2604734BAC}"/>
    <cellStyle name="Currency 3 2 2 3 3 5" xfId="18142" xr:uid="{97DEDFA2-5F3C-40F1-8C28-A408C375C519}"/>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41343EF0-75FD-4FF3-B333-DB0190C5A5D8}"/>
    <cellStyle name="Currency 3 2 2 3 4 2 2 3" xfId="24917" xr:uid="{DC15E4B6-1088-4772-8DC6-84BAB2984D1E}"/>
    <cellStyle name="Currency 3 2 2 3 4 2 3" xfId="12252" xr:uid="{9E0606BC-2812-497A-B19C-58021356AEDD}"/>
    <cellStyle name="Currency 3 2 2 3 4 2 4" xfId="20700" xr:uid="{3CC650BE-4033-4651-A1B8-BF325A7A82EB}"/>
    <cellStyle name="Currency 3 2 2 3 4 3" xfId="5875" xr:uid="{00000000-0005-0000-0000-0000E00A0000}"/>
    <cellStyle name="Currency 3 2 2 3 4 3 2" xfId="14325" xr:uid="{313A0E72-DD72-4145-8183-DCBAB6215C3A}"/>
    <cellStyle name="Currency 3 2 2 3 4 3 3" xfId="22772" xr:uid="{8D376582-F65E-43D6-8B3F-B23F4C10FDB5}"/>
    <cellStyle name="Currency 3 2 2 3 4 4" xfId="10107" xr:uid="{7BB171C4-9241-4F7E-BDD4-C6CBA2FA37B1}"/>
    <cellStyle name="Currency 3 2 2 3 4 5" xfId="18555" xr:uid="{16731E59-0E6D-440F-9D53-4FC95B263244}"/>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A18C5D5C-B5E9-4109-8ECB-821CF01F541E}"/>
    <cellStyle name="Currency 3 2 2 3 5 2 2 3" xfId="25330" xr:uid="{FB3671CF-0857-4BEE-B5EF-4BF673911826}"/>
    <cellStyle name="Currency 3 2 2 3 5 2 3" xfId="12665" xr:uid="{9515620A-69E8-4565-B0DF-249AB840E1AC}"/>
    <cellStyle name="Currency 3 2 2 3 5 2 4" xfId="21113" xr:uid="{B425CB1A-D26B-4A8A-8F51-44C70DC01EB9}"/>
    <cellStyle name="Currency 3 2 2 3 5 3" xfId="6288" xr:uid="{00000000-0005-0000-0000-0000E40A0000}"/>
    <cellStyle name="Currency 3 2 2 3 5 3 2" xfId="14738" xr:uid="{5DFDEA71-21D6-4F8A-A173-CBCC73FD4A78}"/>
    <cellStyle name="Currency 3 2 2 3 5 3 3" xfId="23185" xr:uid="{89696E56-7B79-42FE-BDB9-C2180EB3E468}"/>
    <cellStyle name="Currency 3 2 2 3 5 4" xfId="10520" xr:uid="{7BC47E9B-5E1B-4382-B7CD-963711BAC431}"/>
    <cellStyle name="Currency 3 2 2 3 5 5" xfId="18968" xr:uid="{EF8A15CD-50FC-44A5-AC03-0E2FD6B22624}"/>
    <cellStyle name="Currency 3 2 2 3 6" xfId="2417" xr:uid="{00000000-0005-0000-0000-0000E50A0000}"/>
    <cellStyle name="Currency 3 2 2 3 6 2" xfId="6701" xr:uid="{00000000-0005-0000-0000-0000E60A0000}"/>
    <cellStyle name="Currency 3 2 2 3 6 2 2" xfId="15151" xr:uid="{0D08BB6B-A167-48E3-8A4C-CE0E5AE0D6EF}"/>
    <cellStyle name="Currency 3 2 2 3 6 2 3" xfId="23598" xr:uid="{EF10B001-84EF-4847-AB34-D992C1DD27E2}"/>
    <cellStyle name="Currency 3 2 2 3 6 3" xfId="10933" xr:uid="{2B0E9CB9-4D92-4888-9A66-6C5A6ACD57A9}"/>
    <cellStyle name="Currency 3 2 2 3 6 4" xfId="19381" xr:uid="{63463C9B-58EA-4BB6-BC45-55D45389760E}"/>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7DFCD94B-66C4-4C8F-873F-B52325E56809}"/>
    <cellStyle name="Currency 3 2 2 3 8 2 3" xfId="23915" xr:uid="{F08CEE10-4602-408B-B877-7C7EF5C1BAD3}"/>
    <cellStyle name="Currency 3 2 2 3 8 3" xfId="11250" xr:uid="{51346BE9-90FF-423A-8617-82BEC2202EB5}"/>
    <cellStyle name="Currency 3 2 2 3 8 4" xfId="19698" xr:uid="{9D52D344-E41C-4595-8099-8FA01B0FC174}"/>
    <cellStyle name="Currency 3 2 2 3 9" xfId="4635" xr:uid="{00000000-0005-0000-0000-0000EA0A0000}"/>
    <cellStyle name="Currency 3 2 2 3 9 2" xfId="13085" xr:uid="{25DE19EE-D4DD-4AFF-B777-D21A668FDC1E}"/>
    <cellStyle name="Currency 3 2 2 3 9 3" xfId="21532" xr:uid="{6B74E798-2D98-4932-B7AE-152C3F086A4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787EA412-79F5-497B-BE63-154065B6AAFA}"/>
    <cellStyle name="Currency 3 2 2 4 2 2 3" xfId="24088" xr:uid="{7B1ACF74-6C28-4564-B89E-71E5454EA97F}"/>
    <cellStyle name="Currency 3 2 2 4 2 3" xfId="11423" xr:uid="{44F4B31E-697E-4316-B9F8-309BAED7DDE7}"/>
    <cellStyle name="Currency 3 2 2 4 2 4" xfId="19871" xr:uid="{73FF858C-6A01-4743-A2D7-144BD8547E0E}"/>
    <cellStyle name="Currency 3 2 2 4 3" xfId="5046" xr:uid="{00000000-0005-0000-0000-0000EE0A0000}"/>
    <cellStyle name="Currency 3 2 2 4 3 2" xfId="13496" xr:uid="{D83E0E2C-C3DE-4BF5-A22C-F082EC37D9E4}"/>
    <cellStyle name="Currency 3 2 2 4 3 3" xfId="21943" xr:uid="{99F2B6D3-BA42-412F-97A4-B269441AA6D8}"/>
    <cellStyle name="Currency 3 2 2 4 4" xfId="9278" xr:uid="{790EBB19-6DC4-4A5F-A702-7BA940A7E323}"/>
    <cellStyle name="Currency 3 2 2 4 5" xfId="17726" xr:uid="{E7BD3F7B-7695-48FB-B9B7-FA408CF16062}"/>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A9677FCB-E017-43F4-98C0-A387F230BE64}"/>
    <cellStyle name="Currency 3 2 2 5 2 2 3" xfId="24501" xr:uid="{0943E159-748E-433C-83BF-4D2BA0616D22}"/>
    <cellStyle name="Currency 3 2 2 5 2 3" xfId="11836" xr:uid="{A8CAF50E-6FC5-4C68-91BE-A0485E75C9C2}"/>
    <cellStyle name="Currency 3 2 2 5 2 4" xfId="20284" xr:uid="{26094044-9717-42E5-BB1C-BDA23599BC34}"/>
    <cellStyle name="Currency 3 2 2 5 3" xfId="5459" xr:uid="{00000000-0005-0000-0000-0000F20A0000}"/>
    <cellStyle name="Currency 3 2 2 5 3 2" xfId="13909" xr:uid="{B8DEC199-1F44-4A3E-90C8-2B525E37145C}"/>
    <cellStyle name="Currency 3 2 2 5 3 3" xfId="22356" xr:uid="{4122AC52-0F38-4727-B420-1540AB00A5DC}"/>
    <cellStyle name="Currency 3 2 2 5 4" xfId="9691" xr:uid="{2E076E2E-D7BA-405E-9EAC-B143E2293345}"/>
    <cellStyle name="Currency 3 2 2 5 5" xfId="18139" xr:uid="{D24C76A1-85F1-4A21-BAE2-B816CC8E387B}"/>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4FEEAEDA-603A-4191-822B-8CDD164C1774}"/>
    <cellStyle name="Currency 3 2 2 6 2 2 3" xfId="24914" xr:uid="{F7D2763B-8DCE-41A7-8642-A6E3014C4A2E}"/>
    <cellStyle name="Currency 3 2 2 6 2 3" xfId="12249" xr:uid="{91420E17-6F68-454E-AC4F-DE3B9B6115D3}"/>
    <cellStyle name="Currency 3 2 2 6 2 4" xfId="20697" xr:uid="{AC7AE630-C7B5-48CE-9C00-CBD136791230}"/>
    <cellStyle name="Currency 3 2 2 6 3" xfId="5872" xr:uid="{00000000-0005-0000-0000-0000F60A0000}"/>
    <cellStyle name="Currency 3 2 2 6 3 2" xfId="14322" xr:uid="{62C3435C-783E-48B2-A572-EC3BFEEC71E0}"/>
    <cellStyle name="Currency 3 2 2 6 3 3" xfId="22769" xr:uid="{A994DA8E-CFC9-47E2-B6A4-E42798FE3BDF}"/>
    <cellStyle name="Currency 3 2 2 6 4" xfId="10104" xr:uid="{95F0C715-9684-458E-B3AC-CAFAF37F5B80}"/>
    <cellStyle name="Currency 3 2 2 6 5" xfId="18552" xr:uid="{1D3EB9A8-ED90-4E69-B869-1EAD1934DC0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7CE9F19D-B36F-4049-BB56-C1EEAC473F78}"/>
    <cellStyle name="Currency 3 2 2 7 2 2 3" xfId="25327" xr:uid="{6AF93C4D-06B7-42B0-BF35-C052F11E9DA9}"/>
    <cellStyle name="Currency 3 2 2 7 2 3" xfId="12662" xr:uid="{D40AF275-B782-4699-90E8-10088B76798E}"/>
    <cellStyle name="Currency 3 2 2 7 2 4" xfId="21110" xr:uid="{C9535171-52C4-48ED-AFA5-CEE78FA7D40B}"/>
    <cellStyle name="Currency 3 2 2 7 3" xfId="6285" xr:uid="{00000000-0005-0000-0000-0000FA0A0000}"/>
    <cellStyle name="Currency 3 2 2 7 3 2" xfId="14735" xr:uid="{9F77C8BC-784E-4D0D-8552-AB5A98EC9FA2}"/>
    <cellStyle name="Currency 3 2 2 7 3 3" xfId="23182" xr:uid="{16B5F002-C3D3-4A3B-A525-4499E47D73BC}"/>
    <cellStyle name="Currency 3 2 2 7 4" xfId="10517" xr:uid="{F0F3FFC9-8417-4E43-A0D3-9849A3F3FD5B}"/>
    <cellStyle name="Currency 3 2 2 7 5" xfId="18965" xr:uid="{4B372BCF-EE4E-45AC-B6DD-1B8A9CC3465A}"/>
    <cellStyle name="Currency 3 2 2 8" xfId="2414" xr:uid="{00000000-0005-0000-0000-0000FB0A0000}"/>
    <cellStyle name="Currency 3 2 2 8 2" xfId="6698" xr:uid="{00000000-0005-0000-0000-0000FC0A0000}"/>
    <cellStyle name="Currency 3 2 2 8 2 2" xfId="15148" xr:uid="{BCD8B272-F551-42B4-9615-425412056771}"/>
    <cellStyle name="Currency 3 2 2 8 2 3" xfId="23595" xr:uid="{58B94BF4-C4CA-46FE-8163-DF1433A64D88}"/>
    <cellStyle name="Currency 3 2 2 8 3" xfId="10930" xr:uid="{652A22A1-D11B-41E8-9805-84318D5410CC}"/>
    <cellStyle name="Currency 3 2 2 8 4" xfId="19378" xr:uid="{F52855C0-B37D-403B-AD85-B583DD6FE961}"/>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5E70E6E4-FC88-4EC7-87FE-55371C2CD673}"/>
    <cellStyle name="Currency 3 2 3 10 3" xfId="21533" xr:uid="{98C518E6-AF10-47B0-B3BF-27E1ABEFBE27}"/>
    <cellStyle name="Currency 3 2 3 11" xfId="8868" xr:uid="{8DC02C50-2408-489D-B0C0-8CDD5219F3E8}"/>
    <cellStyle name="Currency 3 2 3 12" xfId="17316" xr:uid="{7397643E-8F22-408E-AF0A-133741579064}"/>
    <cellStyle name="Currency 3 2 3 2" xfId="183" xr:uid="{00000000-0005-0000-0000-0000000B0000}"/>
    <cellStyle name="Currency 3 2 3 2 10" xfId="8869" xr:uid="{8EDA7168-1BF7-4984-89A3-BA16B3E1F986}"/>
    <cellStyle name="Currency 3 2 3 2 11" xfId="17317" xr:uid="{E6C0C978-5BFF-438B-86AB-8BADA40CB6F2}"/>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D1F20AC3-E0A9-4CB7-A510-D12611829F02}"/>
    <cellStyle name="Currency 3 2 3 2 2 2 2 3" xfId="24093" xr:uid="{D50FBB05-6A78-41A0-B76D-7A48FC0D6598}"/>
    <cellStyle name="Currency 3 2 3 2 2 2 3" xfId="11428" xr:uid="{B2A7D135-13AB-46DD-99DC-06DB1ACC9E96}"/>
    <cellStyle name="Currency 3 2 3 2 2 2 4" xfId="19876" xr:uid="{31BA3483-CC7A-4AE2-A49D-376C20EB2030}"/>
    <cellStyle name="Currency 3 2 3 2 2 3" xfId="5051" xr:uid="{00000000-0005-0000-0000-0000040B0000}"/>
    <cellStyle name="Currency 3 2 3 2 2 3 2" xfId="13501" xr:uid="{8DAC8818-1F4C-4223-95A9-67D0E1052E30}"/>
    <cellStyle name="Currency 3 2 3 2 2 3 3" xfId="21948" xr:uid="{FEFDC205-544D-4BE6-BC79-A23F64C3C51E}"/>
    <cellStyle name="Currency 3 2 3 2 2 4" xfId="9283" xr:uid="{910A5CA7-2368-4735-9D9D-E7BC06480F26}"/>
    <cellStyle name="Currency 3 2 3 2 2 5" xfId="17731" xr:uid="{E5AD6AFB-3E97-4AC3-8C8F-1D8B5E3CC2CE}"/>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4EB482E4-BBF6-4BFE-9C40-A37BF9127A13}"/>
    <cellStyle name="Currency 3 2 3 2 3 2 2 3" xfId="24506" xr:uid="{A026F90C-F18C-48D2-8FE4-ACF08026C931}"/>
    <cellStyle name="Currency 3 2 3 2 3 2 3" xfId="11841" xr:uid="{DA8F06C9-6CBC-47F4-B406-1543517FD863}"/>
    <cellStyle name="Currency 3 2 3 2 3 2 4" xfId="20289" xr:uid="{057DBF5D-1599-46C1-8575-035053872566}"/>
    <cellStyle name="Currency 3 2 3 2 3 3" xfId="5464" xr:uid="{00000000-0005-0000-0000-0000080B0000}"/>
    <cellStyle name="Currency 3 2 3 2 3 3 2" xfId="13914" xr:uid="{E1444EE0-EFB0-4B64-B9AF-FF17DF5A1AD6}"/>
    <cellStyle name="Currency 3 2 3 2 3 3 3" xfId="22361" xr:uid="{9207840E-2598-456A-8BFE-98B2C0CECECA}"/>
    <cellStyle name="Currency 3 2 3 2 3 4" xfId="9696" xr:uid="{6095DE78-A564-4058-9634-DEDA5CAB9E42}"/>
    <cellStyle name="Currency 3 2 3 2 3 5" xfId="18144" xr:uid="{E16EE9F9-58F6-4CD3-8BBF-D538B710E1EA}"/>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4B06F9D4-1C66-426C-BD1C-457C27E16ACC}"/>
    <cellStyle name="Currency 3 2 3 2 4 2 2 3" xfId="24919" xr:uid="{9F130A05-4696-4A3D-A603-0209189F5EE5}"/>
    <cellStyle name="Currency 3 2 3 2 4 2 3" xfId="12254" xr:uid="{27EBE68F-5096-4583-B75F-DEA15BB32BB6}"/>
    <cellStyle name="Currency 3 2 3 2 4 2 4" xfId="20702" xr:uid="{815FC257-77B9-42ED-AFE5-6321E3027CAB}"/>
    <cellStyle name="Currency 3 2 3 2 4 3" xfId="5877" xr:uid="{00000000-0005-0000-0000-00000C0B0000}"/>
    <cellStyle name="Currency 3 2 3 2 4 3 2" xfId="14327" xr:uid="{CC654194-71C7-4E03-8995-71257FD0C9B9}"/>
    <cellStyle name="Currency 3 2 3 2 4 3 3" xfId="22774" xr:uid="{DDCC6F30-8407-4E21-86DE-CEB6DAB3CEBD}"/>
    <cellStyle name="Currency 3 2 3 2 4 4" xfId="10109" xr:uid="{B2B48E28-C0C0-4BF6-AAE2-C59AF4039B17}"/>
    <cellStyle name="Currency 3 2 3 2 4 5" xfId="18557" xr:uid="{0599AEB6-1041-4538-B4FB-82FCE3932FDB}"/>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59092123-17C3-4776-99C9-7BD2DFD397FA}"/>
    <cellStyle name="Currency 3 2 3 2 5 2 2 3" xfId="25332" xr:uid="{DD053F1D-B0A9-45B1-B067-BBD4FA1568DD}"/>
    <cellStyle name="Currency 3 2 3 2 5 2 3" xfId="12667" xr:uid="{52008687-7070-4145-8C02-D4B5325D896E}"/>
    <cellStyle name="Currency 3 2 3 2 5 2 4" xfId="21115" xr:uid="{829E147A-7DA7-47AB-BC3F-EB538EE030EA}"/>
    <cellStyle name="Currency 3 2 3 2 5 3" xfId="6290" xr:uid="{00000000-0005-0000-0000-0000100B0000}"/>
    <cellStyle name="Currency 3 2 3 2 5 3 2" xfId="14740" xr:uid="{95974517-8B52-4DF3-BB4C-0FD445E9A41F}"/>
    <cellStyle name="Currency 3 2 3 2 5 3 3" xfId="23187" xr:uid="{E0ACAC4A-AF8D-4213-9B6D-004F41E05F77}"/>
    <cellStyle name="Currency 3 2 3 2 5 4" xfId="10522" xr:uid="{97133383-18DA-4C88-8011-A5E9E7F065AE}"/>
    <cellStyle name="Currency 3 2 3 2 5 5" xfId="18970" xr:uid="{1D36BD72-FA89-4928-84ED-CC0770918456}"/>
    <cellStyle name="Currency 3 2 3 2 6" xfId="2419" xr:uid="{00000000-0005-0000-0000-0000110B0000}"/>
    <cellStyle name="Currency 3 2 3 2 6 2" xfId="6703" xr:uid="{00000000-0005-0000-0000-0000120B0000}"/>
    <cellStyle name="Currency 3 2 3 2 6 2 2" xfId="15153" xr:uid="{EF55B032-5B55-483E-A656-B11277F13CE3}"/>
    <cellStyle name="Currency 3 2 3 2 6 2 3" xfId="23600" xr:uid="{B750A610-6DE4-4EE2-BA07-0E09C28B7383}"/>
    <cellStyle name="Currency 3 2 3 2 6 3" xfId="10935" xr:uid="{323BA517-60FE-4C5F-B40B-1057B94A2ECE}"/>
    <cellStyle name="Currency 3 2 3 2 6 4" xfId="19383" xr:uid="{043A89ED-C19C-4125-9079-2E14191B069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57F055ED-3273-4895-B0C6-6213ED0AA0AB}"/>
    <cellStyle name="Currency 3 2 3 2 8 2 3" xfId="23917" xr:uid="{EED6C89A-8288-434B-8B3B-562A7E0DC31A}"/>
    <cellStyle name="Currency 3 2 3 2 8 3" xfId="11252" xr:uid="{8639A1C8-B5E1-437C-BB78-AECC020DD6D1}"/>
    <cellStyle name="Currency 3 2 3 2 8 4" xfId="19700" xr:uid="{D690B507-B3E8-48B0-9E98-CEA49BFFF21A}"/>
    <cellStyle name="Currency 3 2 3 2 9" xfId="4637" xr:uid="{00000000-0005-0000-0000-0000160B0000}"/>
    <cellStyle name="Currency 3 2 3 2 9 2" xfId="13087" xr:uid="{F449A593-E955-49AB-B66B-3BD14FA0AE73}"/>
    <cellStyle name="Currency 3 2 3 2 9 3" xfId="21534" xr:uid="{CE2FF0DC-C092-4D8B-BE4E-2D28F0CFA0F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0C239E2D-BC8D-4128-9FD6-8694BA1F32FD}"/>
    <cellStyle name="Currency 3 2 3 3 2 2 3" xfId="24092" xr:uid="{4C3E3010-FB7E-429D-A08B-B03149672481}"/>
    <cellStyle name="Currency 3 2 3 3 2 3" xfId="11427" xr:uid="{923B6324-45AF-4F7A-9A72-3D48412305A6}"/>
    <cellStyle name="Currency 3 2 3 3 2 4" xfId="19875" xr:uid="{5776BF2A-BE8B-492B-BD74-BEAAEEF574F5}"/>
    <cellStyle name="Currency 3 2 3 3 3" xfId="5050" xr:uid="{00000000-0005-0000-0000-00001A0B0000}"/>
    <cellStyle name="Currency 3 2 3 3 3 2" xfId="13500" xr:uid="{9C1A38C7-4CA8-448E-8B79-31FCDEF419EE}"/>
    <cellStyle name="Currency 3 2 3 3 3 3" xfId="21947" xr:uid="{2EE8125D-B8F8-4A66-9C72-900A6C2ED87C}"/>
    <cellStyle name="Currency 3 2 3 3 4" xfId="9282" xr:uid="{20A65BB4-1985-461C-87E5-D87EDE33DE9C}"/>
    <cellStyle name="Currency 3 2 3 3 5" xfId="17730" xr:uid="{5A829512-7F90-4CAF-9D79-F7CDBF3A0798}"/>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6F63822D-90F5-486B-A108-251346CF4587}"/>
    <cellStyle name="Currency 3 2 3 4 2 2 3" xfId="24505" xr:uid="{FABF3234-4F85-489D-978A-E5168496724F}"/>
    <cellStyle name="Currency 3 2 3 4 2 3" xfId="11840" xr:uid="{641D4D7F-4862-4755-B36A-C5A5ADA4B82D}"/>
    <cellStyle name="Currency 3 2 3 4 2 4" xfId="20288" xr:uid="{2A18ADAC-278F-4C04-9ED2-C616E074835B}"/>
    <cellStyle name="Currency 3 2 3 4 3" xfId="5463" xr:uid="{00000000-0005-0000-0000-00001E0B0000}"/>
    <cellStyle name="Currency 3 2 3 4 3 2" xfId="13913" xr:uid="{1831CEAF-7BDB-4123-8A32-C9EF04369669}"/>
    <cellStyle name="Currency 3 2 3 4 3 3" xfId="22360" xr:uid="{C0A1EAC5-6BC5-4C1D-A0C5-3DB0AD28EE22}"/>
    <cellStyle name="Currency 3 2 3 4 4" xfId="9695" xr:uid="{E41B9B91-1F2A-4967-AF07-20EFBC9A5604}"/>
    <cellStyle name="Currency 3 2 3 4 5" xfId="18143" xr:uid="{E5B480BF-A746-4111-8F44-73129655D8D2}"/>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74B7DA88-972F-4F9A-8145-7AA581372B76}"/>
    <cellStyle name="Currency 3 2 3 5 2 2 3" xfId="24918" xr:uid="{B5B8EB58-B127-4797-B34D-56BC3B96C7F4}"/>
    <cellStyle name="Currency 3 2 3 5 2 3" xfId="12253" xr:uid="{AC4CBC8D-41AE-4B9C-B4EE-35256501E185}"/>
    <cellStyle name="Currency 3 2 3 5 2 4" xfId="20701" xr:uid="{89312BD1-771C-4EB2-AE1C-754387F25D88}"/>
    <cellStyle name="Currency 3 2 3 5 3" xfId="5876" xr:uid="{00000000-0005-0000-0000-0000220B0000}"/>
    <cellStyle name="Currency 3 2 3 5 3 2" xfId="14326" xr:uid="{01971C1D-3397-4E86-84AF-8B8E2AACA9D3}"/>
    <cellStyle name="Currency 3 2 3 5 3 3" xfId="22773" xr:uid="{C9713AFE-576C-447C-B688-7C9D06048607}"/>
    <cellStyle name="Currency 3 2 3 5 4" xfId="10108" xr:uid="{B8D7D6E7-FE82-472E-9C9E-EEF5C4C513F8}"/>
    <cellStyle name="Currency 3 2 3 5 5" xfId="18556" xr:uid="{5D3FE003-F5EA-43A8-875D-E94052FEB15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BBFF00DD-9302-4A63-808E-1060ED4F4C88}"/>
    <cellStyle name="Currency 3 2 3 6 2 2 3" xfId="25331" xr:uid="{354895B6-644B-4E00-BF8A-BD0FF8C2CBA7}"/>
    <cellStyle name="Currency 3 2 3 6 2 3" xfId="12666" xr:uid="{7DED2B57-3656-4250-93AD-5D6606FDBA40}"/>
    <cellStyle name="Currency 3 2 3 6 2 4" xfId="21114" xr:uid="{08831A38-8D36-4AF8-BF77-AFFEFB481429}"/>
    <cellStyle name="Currency 3 2 3 6 3" xfId="6289" xr:uid="{00000000-0005-0000-0000-0000260B0000}"/>
    <cellStyle name="Currency 3 2 3 6 3 2" xfId="14739" xr:uid="{FA07EA97-BB9B-4E71-8639-3AFD62021C48}"/>
    <cellStyle name="Currency 3 2 3 6 3 3" xfId="23186" xr:uid="{83386131-F9F8-41B7-AC30-9F487E9563C9}"/>
    <cellStyle name="Currency 3 2 3 6 4" xfId="10521" xr:uid="{F4FA4B1C-A719-4A3B-969E-C04DA3BDABC7}"/>
    <cellStyle name="Currency 3 2 3 6 5" xfId="18969" xr:uid="{E2E390A3-77C7-4696-994B-DBBC261019A9}"/>
    <cellStyle name="Currency 3 2 3 7" xfId="2418" xr:uid="{00000000-0005-0000-0000-0000270B0000}"/>
    <cellStyle name="Currency 3 2 3 7 2" xfId="6702" xr:uid="{00000000-0005-0000-0000-0000280B0000}"/>
    <cellStyle name="Currency 3 2 3 7 2 2" xfId="15152" xr:uid="{49647D2D-C375-471E-87BC-723A94555B83}"/>
    <cellStyle name="Currency 3 2 3 7 2 3" xfId="23599" xr:uid="{803E95B5-8A28-4C4C-849C-BAB2147FB342}"/>
    <cellStyle name="Currency 3 2 3 7 3" xfId="10934" xr:uid="{BC97DAF6-28DE-4293-99B6-D5C802D34C8E}"/>
    <cellStyle name="Currency 3 2 3 7 4" xfId="19382" xr:uid="{51CCAFB4-58B2-46EC-9F68-CFEDA7B66593}"/>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7D0CF284-76B4-4078-9B6C-E2CD8C83CDE3}"/>
    <cellStyle name="Currency 3 2 3 9 2 3" xfId="23916" xr:uid="{7E6FE92E-0ABA-454B-A72A-F72847FDF6CC}"/>
    <cellStyle name="Currency 3 2 3 9 3" xfId="11251" xr:uid="{676881A3-5F3C-421F-AD4F-00B48A451C8E}"/>
    <cellStyle name="Currency 3 2 3 9 4" xfId="19699" xr:uid="{CAF4E5C6-4057-42A4-A99B-1883CA9F7971}"/>
    <cellStyle name="Currency 3 2 4" xfId="184" xr:uid="{00000000-0005-0000-0000-00002C0B0000}"/>
    <cellStyle name="Currency 3 2 4 10" xfId="8870" xr:uid="{9EF46699-A74C-469D-B7E0-E3CEAFCCD8A5}"/>
    <cellStyle name="Currency 3 2 4 11" xfId="17318" xr:uid="{510565E8-61BA-4A4A-ADE2-B7CA21114FF6}"/>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86CA1277-98CB-4779-B6BE-466646F4E9BE}"/>
    <cellStyle name="Currency 3 2 4 2 2 2 3" xfId="24094" xr:uid="{D89F9666-C62D-4A39-956E-9C566D76E119}"/>
    <cellStyle name="Currency 3 2 4 2 2 3" xfId="11429" xr:uid="{C64E266C-99B5-45B5-886A-E5C0641BB376}"/>
    <cellStyle name="Currency 3 2 4 2 2 4" xfId="19877" xr:uid="{3B776017-094A-4670-912C-C1F44D7BFF28}"/>
    <cellStyle name="Currency 3 2 4 2 3" xfId="5052" xr:uid="{00000000-0005-0000-0000-0000300B0000}"/>
    <cellStyle name="Currency 3 2 4 2 3 2" xfId="13502" xr:uid="{5EACCF2C-EED8-47BF-B01B-CB31F4B965FD}"/>
    <cellStyle name="Currency 3 2 4 2 3 3" xfId="21949" xr:uid="{F567F123-88CA-4F22-831B-FF956BE213D4}"/>
    <cellStyle name="Currency 3 2 4 2 4" xfId="9284" xr:uid="{1BC4517B-1F9D-4DE9-B89E-4A334F11DB54}"/>
    <cellStyle name="Currency 3 2 4 2 5" xfId="17732" xr:uid="{96A0A4C3-DCA2-4728-822D-2B489361DA2C}"/>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D5BB14C3-8032-4FBF-BA18-AD12F5716673}"/>
    <cellStyle name="Currency 3 2 4 3 2 2 3" xfId="24507" xr:uid="{B2CDEABD-8CB8-4988-B768-C83DE3F82803}"/>
    <cellStyle name="Currency 3 2 4 3 2 3" xfId="11842" xr:uid="{CF7809BE-9C09-4836-9C4B-E33B5045BA89}"/>
    <cellStyle name="Currency 3 2 4 3 2 4" xfId="20290" xr:uid="{33303DAE-25E3-455E-8E36-846B27DC631F}"/>
    <cellStyle name="Currency 3 2 4 3 3" xfId="5465" xr:uid="{00000000-0005-0000-0000-0000340B0000}"/>
    <cellStyle name="Currency 3 2 4 3 3 2" xfId="13915" xr:uid="{31F9C013-A37F-4BEB-9D4F-78C7F85B0FE1}"/>
    <cellStyle name="Currency 3 2 4 3 3 3" xfId="22362" xr:uid="{9E7AA2A5-B80A-4979-A7B5-80E87918EEA9}"/>
    <cellStyle name="Currency 3 2 4 3 4" xfId="9697" xr:uid="{5842D9E0-69CE-47E7-B4A0-CB76191CEA2B}"/>
    <cellStyle name="Currency 3 2 4 3 5" xfId="18145" xr:uid="{9A7C037B-5AEE-4D34-AA60-D1464925A2D2}"/>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D70AFB99-44E0-4B5B-AC58-96C29CED1313}"/>
    <cellStyle name="Currency 3 2 4 4 2 2 3" xfId="24920" xr:uid="{C6EC103C-2079-46B7-B4A1-851E39CE438A}"/>
    <cellStyle name="Currency 3 2 4 4 2 3" xfId="12255" xr:uid="{7DB73CEE-6EDE-4F26-B31F-35D003985A5A}"/>
    <cellStyle name="Currency 3 2 4 4 2 4" xfId="20703" xr:uid="{3DF48A57-47C8-4A5F-9765-29033E0CECB8}"/>
    <cellStyle name="Currency 3 2 4 4 3" xfId="5878" xr:uid="{00000000-0005-0000-0000-0000380B0000}"/>
    <cellStyle name="Currency 3 2 4 4 3 2" xfId="14328" xr:uid="{84D1F49E-0802-4810-A8CA-E410BE10BF5A}"/>
    <cellStyle name="Currency 3 2 4 4 3 3" xfId="22775" xr:uid="{FAC3F6E7-E133-4FDC-8B75-2E84A165B6E7}"/>
    <cellStyle name="Currency 3 2 4 4 4" xfId="10110" xr:uid="{4E01A7D8-9C8B-4579-A36D-11D468AB9C98}"/>
    <cellStyle name="Currency 3 2 4 4 5" xfId="18558" xr:uid="{812A75C8-72CD-4843-A40C-EB5277126AE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9CA3510B-0AA4-496D-8E1E-42E9F1593D2F}"/>
    <cellStyle name="Currency 3 2 4 5 2 2 3" xfId="25333" xr:uid="{7FD03FDC-D98D-404C-B1FA-F0B797729C20}"/>
    <cellStyle name="Currency 3 2 4 5 2 3" xfId="12668" xr:uid="{42CE38EC-11DF-4429-A9D4-51E39465837D}"/>
    <cellStyle name="Currency 3 2 4 5 2 4" xfId="21116" xr:uid="{46F4B2EB-BAD1-4365-9091-006C02E4EAC9}"/>
    <cellStyle name="Currency 3 2 4 5 3" xfId="6291" xr:uid="{00000000-0005-0000-0000-00003C0B0000}"/>
    <cellStyle name="Currency 3 2 4 5 3 2" xfId="14741" xr:uid="{71702882-20F7-4038-9B03-1905537EF144}"/>
    <cellStyle name="Currency 3 2 4 5 3 3" xfId="23188" xr:uid="{CD2382AB-183D-4133-932F-84573724AB02}"/>
    <cellStyle name="Currency 3 2 4 5 4" xfId="10523" xr:uid="{B68A849A-8AAD-4096-A866-0F4369EE1663}"/>
    <cellStyle name="Currency 3 2 4 5 5" xfId="18971" xr:uid="{0E256BB2-CE51-44C9-B158-503225709732}"/>
    <cellStyle name="Currency 3 2 4 6" xfId="2420" xr:uid="{00000000-0005-0000-0000-00003D0B0000}"/>
    <cellStyle name="Currency 3 2 4 6 2" xfId="6704" xr:uid="{00000000-0005-0000-0000-00003E0B0000}"/>
    <cellStyle name="Currency 3 2 4 6 2 2" xfId="15154" xr:uid="{002FE05C-9CA2-47DE-89AB-CECC112F19AE}"/>
    <cellStyle name="Currency 3 2 4 6 2 3" xfId="23601" xr:uid="{1F9B3BE0-E164-4440-AC5A-0D90170F9217}"/>
    <cellStyle name="Currency 3 2 4 6 3" xfId="10936" xr:uid="{9150BCD4-8F48-4D37-B209-F1D784DAA312}"/>
    <cellStyle name="Currency 3 2 4 6 4" xfId="19384" xr:uid="{C92F8DBC-6280-4523-9B26-437728817808}"/>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D01F3FE8-455E-4468-A685-4719832E95DF}"/>
    <cellStyle name="Currency 3 2 4 8 2 3" xfId="23918" xr:uid="{D291DD20-5F40-439C-A3D4-14C8A55F5FEA}"/>
    <cellStyle name="Currency 3 2 4 8 3" xfId="11253" xr:uid="{B1AC4A6F-2475-45A2-8792-17C03A2075B9}"/>
    <cellStyle name="Currency 3 2 4 8 4" xfId="19701" xr:uid="{ECA01DB7-C868-4C0A-82E3-1E37AA6CDE39}"/>
    <cellStyle name="Currency 3 2 4 9" xfId="4638" xr:uid="{00000000-0005-0000-0000-0000420B0000}"/>
    <cellStyle name="Currency 3 2 4 9 2" xfId="13088" xr:uid="{FB90B7FC-B5BB-4052-8D1A-36FF40666B36}"/>
    <cellStyle name="Currency 3 2 4 9 3" xfId="21535" xr:uid="{71CA7B05-EE6A-466F-85AE-BFE2672F195D}"/>
    <cellStyle name="Currency 3 2 5" xfId="185" xr:uid="{00000000-0005-0000-0000-0000430B0000}"/>
    <cellStyle name="Currency 3 2 5 10" xfId="8871" xr:uid="{CF791094-B3C1-44AF-BE5C-956316D3DEEA}"/>
    <cellStyle name="Currency 3 2 5 11" xfId="17319" xr:uid="{25755B6F-32BB-4D43-B55E-8E23A484798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467D751F-937E-4D18-BB93-143C5EC120ED}"/>
    <cellStyle name="Currency 3 2 5 2 2 2 3" xfId="24095" xr:uid="{4A355AC3-DE47-4106-8E74-76C61AA66E2E}"/>
    <cellStyle name="Currency 3 2 5 2 2 3" xfId="11430" xr:uid="{9667153F-3C5C-43ED-9234-F994022B2560}"/>
    <cellStyle name="Currency 3 2 5 2 2 4" xfId="19878" xr:uid="{7C2E51E0-174C-404E-B6B1-7A838F11C405}"/>
    <cellStyle name="Currency 3 2 5 2 3" xfId="5053" xr:uid="{00000000-0005-0000-0000-0000470B0000}"/>
    <cellStyle name="Currency 3 2 5 2 3 2" xfId="13503" xr:uid="{FC6F9E4D-DE29-4F0B-AC75-B6D8B509DC20}"/>
    <cellStyle name="Currency 3 2 5 2 3 3" xfId="21950" xr:uid="{F50FFFE5-420F-46D8-BFE7-D6C885F49990}"/>
    <cellStyle name="Currency 3 2 5 2 4" xfId="9285" xr:uid="{64940839-7254-480A-89CE-7F6EA3D01ADF}"/>
    <cellStyle name="Currency 3 2 5 2 5" xfId="17733" xr:uid="{48A97F0D-046D-4716-ACC5-BA259B00BC49}"/>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B0098C0D-0A30-4A4E-A223-3DAF411EA65D}"/>
    <cellStyle name="Currency 3 2 5 3 2 2 3" xfId="24508" xr:uid="{CE530953-94DF-47EC-B8EB-25DC66FED603}"/>
    <cellStyle name="Currency 3 2 5 3 2 3" xfId="11843" xr:uid="{96209856-9B0F-4AC3-8ED1-1405870A1F74}"/>
    <cellStyle name="Currency 3 2 5 3 2 4" xfId="20291" xr:uid="{796B99A5-0BD7-43A7-8732-EE9B650C1E70}"/>
    <cellStyle name="Currency 3 2 5 3 3" xfId="5466" xr:uid="{00000000-0005-0000-0000-00004B0B0000}"/>
    <cellStyle name="Currency 3 2 5 3 3 2" xfId="13916" xr:uid="{33817A50-F9D0-46E3-918D-0EE39BEDA781}"/>
    <cellStyle name="Currency 3 2 5 3 3 3" xfId="22363" xr:uid="{CAB897AD-8605-43A0-9460-14ABD7C3FEE1}"/>
    <cellStyle name="Currency 3 2 5 3 4" xfId="9698" xr:uid="{64DBFC28-E3E5-43C3-BBA0-F0C9E2597E58}"/>
    <cellStyle name="Currency 3 2 5 3 5" xfId="18146" xr:uid="{F4AE1194-B3D4-491C-9673-E5507A1940B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1387AF5B-797A-425E-A512-C914C7A5B1DF}"/>
    <cellStyle name="Currency 3 2 5 4 2 2 3" xfId="24921" xr:uid="{64EB9C88-85A4-4CF0-848E-E0CAB1860A27}"/>
    <cellStyle name="Currency 3 2 5 4 2 3" xfId="12256" xr:uid="{F6BB2215-2A77-4DB2-9CDD-054C21492A99}"/>
    <cellStyle name="Currency 3 2 5 4 2 4" xfId="20704" xr:uid="{240D0A0D-E2D2-4571-9D00-68F1CC51CBB8}"/>
    <cellStyle name="Currency 3 2 5 4 3" xfId="5879" xr:uid="{00000000-0005-0000-0000-00004F0B0000}"/>
    <cellStyle name="Currency 3 2 5 4 3 2" xfId="14329" xr:uid="{0BBA0C2C-1D1C-49C8-BD59-0C762EBE2A85}"/>
    <cellStyle name="Currency 3 2 5 4 3 3" xfId="22776" xr:uid="{FA7D3958-8E01-4D08-8869-56F4D5B73F86}"/>
    <cellStyle name="Currency 3 2 5 4 4" xfId="10111" xr:uid="{C950521E-327C-4D48-91B8-0A4D70EBA455}"/>
    <cellStyle name="Currency 3 2 5 4 5" xfId="18559" xr:uid="{219D5B03-BF46-4451-9FAD-D96592502B7E}"/>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BDD255CD-7A65-4658-8DC9-4379745CE395}"/>
    <cellStyle name="Currency 3 2 5 5 2 2 3" xfId="25334" xr:uid="{A8DE2AB5-E5D1-452A-B23E-D1B87C3A6AE3}"/>
    <cellStyle name="Currency 3 2 5 5 2 3" xfId="12669" xr:uid="{F7FE53D0-97A3-4E27-A400-F3F4270534C2}"/>
    <cellStyle name="Currency 3 2 5 5 2 4" xfId="21117" xr:uid="{C68FBD97-C9B4-4EEF-94E4-ADB020DA39A5}"/>
    <cellStyle name="Currency 3 2 5 5 3" xfId="6292" xr:uid="{00000000-0005-0000-0000-0000530B0000}"/>
    <cellStyle name="Currency 3 2 5 5 3 2" xfId="14742" xr:uid="{4452E61B-A495-484E-8EFC-291260020830}"/>
    <cellStyle name="Currency 3 2 5 5 3 3" xfId="23189" xr:uid="{4A6576D0-2DEA-4994-B707-E8FDB1DE87AF}"/>
    <cellStyle name="Currency 3 2 5 5 4" xfId="10524" xr:uid="{D4F6A147-00AB-45F8-8906-B7071AD04F13}"/>
    <cellStyle name="Currency 3 2 5 5 5" xfId="18972" xr:uid="{486ADAF7-9630-43E5-BC8C-0BCB86B49E41}"/>
    <cellStyle name="Currency 3 2 5 6" xfId="2421" xr:uid="{00000000-0005-0000-0000-0000540B0000}"/>
    <cellStyle name="Currency 3 2 5 6 2" xfId="6705" xr:uid="{00000000-0005-0000-0000-0000550B0000}"/>
    <cellStyle name="Currency 3 2 5 6 2 2" xfId="15155" xr:uid="{B85F1740-5541-430C-B0EE-3BA7E9722EF9}"/>
    <cellStyle name="Currency 3 2 5 6 2 3" xfId="23602" xr:uid="{50EFD19E-5675-428D-A76B-8F41804900B6}"/>
    <cellStyle name="Currency 3 2 5 6 3" xfId="10937" xr:uid="{6909DDBA-6A3A-4D1D-A009-C186B41E578B}"/>
    <cellStyle name="Currency 3 2 5 6 4" xfId="19385" xr:uid="{1C3C92F8-99C6-4AFB-884D-CAA0149A0459}"/>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9C0A1B43-283D-44D1-A675-FBBDD425ADFC}"/>
    <cellStyle name="Currency 3 2 5 8 2 3" xfId="23919" xr:uid="{5F17ECAB-3B25-47C3-B2D0-FFD9CD2A6712}"/>
    <cellStyle name="Currency 3 2 5 8 3" xfId="11254" xr:uid="{0CADA36D-96CB-4C90-B3C4-D1019D9FFA28}"/>
    <cellStyle name="Currency 3 2 5 8 4" xfId="19702" xr:uid="{9DEFFCFF-194C-4337-9C5D-2245FEA73091}"/>
    <cellStyle name="Currency 3 2 5 9" xfId="4639" xr:uid="{00000000-0005-0000-0000-0000590B0000}"/>
    <cellStyle name="Currency 3 2 5 9 2" xfId="13089" xr:uid="{AF6DAC3B-4171-408C-B5EC-866C365FE798}"/>
    <cellStyle name="Currency 3 2 5 9 3" xfId="21536" xr:uid="{AE45789D-54E2-4D8A-A523-D0B9F56E6E7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C38C3EFF-398C-442B-B300-9364A2481D5A}"/>
    <cellStyle name="Currency 5 2 2 2 10 2 3" xfId="23920" xr:uid="{35B4B69D-370B-4070-A77B-7DB12CCF90E2}"/>
    <cellStyle name="Currency 5 2 2 2 10 3" xfId="11255" xr:uid="{B5A1B7D5-7B31-48F6-86A0-020CECD3AD06}"/>
    <cellStyle name="Currency 5 2 2 2 10 4" xfId="19703" xr:uid="{5657EB31-6AD2-4C75-9936-1397A75FFB23}"/>
    <cellStyle name="Currency 5 2 2 2 11" xfId="4640" xr:uid="{00000000-0005-0000-0000-00006C0B0000}"/>
    <cellStyle name="Currency 5 2 2 2 11 2" xfId="13090" xr:uid="{8955C943-EB86-4E90-A71C-58A805201019}"/>
    <cellStyle name="Currency 5 2 2 2 11 3" xfId="21537" xr:uid="{4C5D5E6D-E6D3-454F-A8E6-BBBB71709B26}"/>
    <cellStyle name="Currency 5 2 2 2 12" xfId="8872" xr:uid="{187C752A-B7AA-41F4-9EFD-14AD58AAAD9D}"/>
    <cellStyle name="Currency 5 2 2 2 13" xfId="17320" xr:uid="{52A5FD6F-1F02-48F7-AB27-9F5B38F7B737}"/>
    <cellStyle name="Currency 5 2 2 2 2" xfId="197" xr:uid="{00000000-0005-0000-0000-00006D0B0000}"/>
    <cellStyle name="Currency 5 2 2 2 2 10" xfId="4641" xr:uid="{00000000-0005-0000-0000-00006E0B0000}"/>
    <cellStyle name="Currency 5 2 2 2 2 10 2" xfId="13091" xr:uid="{8A9E679F-8ABA-4D1E-B796-429BEB494F98}"/>
    <cellStyle name="Currency 5 2 2 2 2 10 3" xfId="21538" xr:uid="{98B2563A-FD8B-455A-8A6B-5503882CC6C6}"/>
    <cellStyle name="Currency 5 2 2 2 2 11" xfId="8873" xr:uid="{4DEA0D16-F1BD-4AA2-BBE4-2706EFFD1D8B}"/>
    <cellStyle name="Currency 5 2 2 2 2 12" xfId="17321" xr:uid="{27B233D6-651F-4FA6-8812-D9BCE73264C1}"/>
    <cellStyle name="Currency 5 2 2 2 2 2" xfId="198" xr:uid="{00000000-0005-0000-0000-00006F0B0000}"/>
    <cellStyle name="Currency 5 2 2 2 2 2 10" xfId="8874" xr:uid="{AE8D4911-0181-4190-8297-DD9BDC6352A0}"/>
    <cellStyle name="Currency 5 2 2 2 2 2 11" xfId="17322" xr:uid="{8B2BF8A2-A253-4540-9FB9-A4C79F97830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129C2D07-3BC3-448A-823F-544F131EA8C3}"/>
    <cellStyle name="Currency 5 2 2 2 2 2 2 2 2 3" xfId="24098" xr:uid="{A33F526B-2A30-48F3-93E1-6A70EE32D4B1}"/>
    <cellStyle name="Currency 5 2 2 2 2 2 2 2 3" xfId="11433" xr:uid="{41E62ABD-6D22-4E9C-B2D7-3DD55F3742AF}"/>
    <cellStyle name="Currency 5 2 2 2 2 2 2 2 4" xfId="19881" xr:uid="{4B2B213F-1DCB-44A6-BDA2-12FC549BBA87}"/>
    <cellStyle name="Currency 5 2 2 2 2 2 2 3" xfId="5056" xr:uid="{00000000-0005-0000-0000-0000730B0000}"/>
    <cellStyle name="Currency 5 2 2 2 2 2 2 3 2" xfId="13506" xr:uid="{1BCF22E2-8A17-459D-B9A1-6B37FF1084B4}"/>
    <cellStyle name="Currency 5 2 2 2 2 2 2 3 3" xfId="21953" xr:uid="{058E660B-B4F7-45F8-A4EA-0B2AF2541710}"/>
    <cellStyle name="Currency 5 2 2 2 2 2 2 4" xfId="9288" xr:uid="{4C5B9C2F-393F-4E9F-BDF0-0EDEFA066E22}"/>
    <cellStyle name="Currency 5 2 2 2 2 2 2 5" xfId="17736" xr:uid="{B16DDE1B-1DDD-48D6-9D33-B3EAA0773BC5}"/>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366B164D-F393-43C9-9450-1DFF70A2A110}"/>
    <cellStyle name="Currency 5 2 2 2 2 2 3 2 2 3" xfId="24511" xr:uid="{3AF29E4B-A7B0-45BF-B8D1-022FECB6FA66}"/>
    <cellStyle name="Currency 5 2 2 2 2 2 3 2 3" xfId="11846" xr:uid="{9C3D5A3A-2537-4C0A-8FAD-C267DD5A4151}"/>
    <cellStyle name="Currency 5 2 2 2 2 2 3 2 4" xfId="20294" xr:uid="{46847703-DBBE-4E66-A06D-E2E898B6FEC2}"/>
    <cellStyle name="Currency 5 2 2 2 2 2 3 3" xfId="5469" xr:uid="{00000000-0005-0000-0000-0000770B0000}"/>
    <cellStyle name="Currency 5 2 2 2 2 2 3 3 2" xfId="13919" xr:uid="{5E5C51D2-902B-42A5-9CBE-B5986EB6CB30}"/>
    <cellStyle name="Currency 5 2 2 2 2 2 3 3 3" xfId="22366" xr:uid="{1973B418-BF69-4927-9294-5668D6DAE77E}"/>
    <cellStyle name="Currency 5 2 2 2 2 2 3 4" xfId="9701" xr:uid="{2CB04F2E-5510-4831-9E9A-376EBDA5683F}"/>
    <cellStyle name="Currency 5 2 2 2 2 2 3 5" xfId="18149" xr:uid="{4E1EE6B0-A916-4FEB-B7F6-9669188CCC3B}"/>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625889A5-C05F-4E91-A271-C9E6E9265A44}"/>
    <cellStyle name="Currency 5 2 2 2 2 2 4 2 2 3" xfId="24924" xr:uid="{2D41BB47-F64D-407A-A885-7BE760E53771}"/>
    <cellStyle name="Currency 5 2 2 2 2 2 4 2 3" xfId="12259" xr:uid="{1FC6C440-A995-48DA-9E10-A21726E45D41}"/>
    <cellStyle name="Currency 5 2 2 2 2 2 4 2 4" xfId="20707" xr:uid="{5AEA7E53-FAC0-4D72-9A75-1D52D9D5D9DF}"/>
    <cellStyle name="Currency 5 2 2 2 2 2 4 3" xfId="5882" xr:uid="{00000000-0005-0000-0000-00007B0B0000}"/>
    <cellStyle name="Currency 5 2 2 2 2 2 4 3 2" xfId="14332" xr:uid="{D6AB09D7-DC75-4EBA-A6C3-00FF1158F19A}"/>
    <cellStyle name="Currency 5 2 2 2 2 2 4 3 3" xfId="22779" xr:uid="{D6DBDED8-1C38-439F-8C63-6AF9ED9D351C}"/>
    <cellStyle name="Currency 5 2 2 2 2 2 4 4" xfId="10114" xr:uid="{744484B9-09A2-4890-A84A-845E78DBE8F5}"/>
    <cellStyle name="Currency 5 2 2 2 2 2 4 5" xfId="18562" xr:uid="{176AA58C-0397-4D6C-AB88-B91A88ED3CF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C81BA3F4-3E75-498A-93CC-CA0B112029DE}"/>
    <cellStyle name="Currency 5 2 2 2 2 2 5 2 2 3" xfId="25337" xr:uid="{6AAC2156-68CB-4FEE-B0E3-45DB53F16C5E}"/>
    <cellStyle name="Currency 5 2 2 2 2 2 5 2 3" xfId="12672" xr:uid="{A47F1CFD-DB73-43B0-9AE0-C9D443956B6C}"/>
    <cellStyle name="Currency 5 2 2 2 2 2 5 2 4" xfId="21120" xr:uid="{DE24B4EC-ED82-4DD1-88DE-5C7C1786DC29}"/>
    <cellStyle name="Currency 5 2 2 2 2 2 5 3" xfId="6295" xr:uid="{00000000-0005-0000-0000-00007F0B0000}"/>
    <cellStyle name="Currency 5 2 2 2 2 2 5 3 2" xfId="14745" xr:uid="{4D37CD25-15CE-4E30-8F5A-88CF7C832B2E}"/>
    <cellStyle name="Currency 5 2 2 2 2 2 5 3 3" xfId="23192" xr:uid="{0C1677EB-9A47-4F8B-BADF-651C9261E4BD}"/>
    <cellStyle name="Currency 5 2 2 2 2 2 5 4" xfId="10527" xr:uid="{732A35BB-42F6-43D7-985F-F61EEE2307D5}"/>
    <cellStyle name="Currency 5 2 2 2 2 2 5 5" xfId="18975" xr:uid="{17CA476B-76F7-4FA8-9EFC-6B9513A4A65F}"/>
    <cellStyle name="Currency 5 2 2 2 2 2 6" xfId="2424" xr:uid="{00000000-0005-0000-0000-0000800B0000}"/>
    <cellStyle name="Currency 5 2 2 2 2 2 6 2" xfId="6708" xr:uid="{00000000-0005-0000-0000-0000810B0000}"/>
    <cellStyle name="Currency 5 2 2 2 2 2 6 2 2" xfId="15158" xr:uid="{AAE40120-6908-4075-9259-123D358AB5E5}"/>
    <cellStyle name="Currency 5 2 2 2 2 2 6 2 3" xfId="23605" xr:uid="{FEBBF763-F0C3-439D-B260-4F96A1A045E3}"/>
    <cellStyle name="Currency 5 2 2 2 2 2 6 3" xfId="10940" xr:uid="{591C8E82-B06D-44BC-9C4B-755C69941959}"/>
    <cellStyle name="Currency 5 2 2 2 2 2 6 4" xfId="19388" xr:uid="{B3651189-BCAE-4E12-87A6-958708A4DAA5}"/>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9C7BA1F3-F28B-4AA8-9684-5A9572842609}"/>
    <cellStyle name="Currency 5 2 2 2 2 2 8 2 3" xfId="23922" xr:uid="{366FB17C-805E-48B8-BED3-61043523DC03}"/>
    <cellStyle name="Currency 5 2 2 2 2 2 8 3" xfId="11257" xr:uid="{72384EDE-9107-479B-A1D0-7CBE7BD253ED}"/>
    <cellStyle name="Currency 5 2 2 2 2 2 8 4" xfId="19705" xr:uid="{CF9D5693-9FD5-4A69-AE73-467027AE17A8}"/>
    <cellStyle name="Currency 5 2 2 2 2 2 9" xfId="4642" xr:uid="{00000000-0005-0000-0000-0000850B0000}"/>
    <cellStyle name="Currency 5 2 2 2 2 2 9 2" xfId="13092" xr:uid="{004C3D8A-CB7F-48AC-AA04-24D274B33FD1}"/>
    <cellStyle name="Currency 5 2 2 2 2 2 9 3" xfId="21539" xr:uid="{ECF8B1CE-6D38-4D57-8004-EEC2505705EB}"/>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72C878DA-2B53-4837-A6B1-AF56AA287634}"/>
    <cellStyle name="Currency 5 2 2 2 2 3 2 2 3" xfId="24097" xr:uid="{191B3E3E-1F2C-4C3C-8A46-DB06B685E848}"/>
    <cellStyle name="Currency 5 2 2 2 2 3 2 3" xfId="11432" xr:uid="{F6A80A6B-E926-4642-8442-DF006BC8BF21}"/>
    <cellStyle name="Currency 5 2 2 2 2 3 2 4" xfId="19880" xr:uid="{A51BDFF1-6F91-4783-A523-2F5081B1F525}"/>
    <cellStyle name="Currency 5 2 2 2 2 3 3" xfId="5055" xr:uid="{00000000-0005-0000-0000-0000890B0000}"/>
    <cellStyle name="Currency 5 2 2 2 2 3 3 2" xfId="13505" xr:uid="{5C42DA6E-72FD-4F49-A70C-CC1653D4F5C6}"/>
    <cellStyle name="Currency 5 2 2 2 2 3 3 3" xfId="21952" xr:uid="{15B7A691-9E3E-4471-B93C-6757C2BAC9D6}"/>
    <cellStyle name="Currency 5 2 2 2 2 3 4" xfId="9287" xr:uid="{C36AA74A-FC6C-4C34-BD7F-7778BF713760}"/>
    <cellStyle name="Currency 5 2 2 2 2 3 5" xfId="17735" xr:uid="{B178A722-D2EB-4402-A20D-4A375E145B8C}"/>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A0B316B3-8438-4FA8-9380-589366256E8B}"/>
    <cellStyle name="Currency 5 2 2 2 2 4 2 2 3" xfId="24510" xr:uid="{4B715FA3-C8B8-4C8E-A15E-A121F4729E3E}"/>
    <cellStyle name="Currency 5 2 2 2 2 4 2 3" xfId="11845" xr:uid="{8D756CDC-9451-407E-A2F9-43EBFC066DD5}"/>
    <cellStyle name="Currency 5 2 2 2 2 4 2 4" xfId="20293" xr:uid="{02274571-EA56-40F5-A1BE-7B25C7AE64CB}"/>
    <cellStyle name="Currency 5 2 2 2 2 4 3" xfId="5468" xr:uid="{00000000-0005-0000-0000-00008D0B0000}"/>
    <cellStyle name="Currency 5 2 2 2 2 4 3 2" xfId="13918" xr:uid="{5EB3B0DE-C8E6-4ED0-831F-F2068BCAFBB0}"/>
    <cellStyle name="Currency 5 2 2 2 2 4 3 3" xfId="22365" xr:uid="{04E44E8A-D2B3-4D61-8E2B-C90B2383FC5B}"/>
    <cellStyle name="Currency 5 2 2 2 2 4 4" xfId="9700" xr:uid="{4641ECF7-6E88-4C37-9ADD-A28003EA533A}"/>
    <cellStyle name="Currency 5 2 2 2 2 4 5" xfId="18148" xr:uid="{0F6CEDA1-4C80-4C68-911B-55C91F34F338}"/>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790FFE0C-3ED7-415F-9861-DC64A63A2E7A}"/>
    <cellStyle name="Currency 5 2 2 2 2 5 2 2 3" xfId="24923" xr:uid="{D5DE265A-237D-46D0-9699-8A1089FDFA7D}"/>
    <cellStyle name="Currency 5 2 2 2 2 5 2 3" xfId="12258" xr:uid="{DB73F6D3-D619-42D9-A038-15AA9992095C}"/>
    <cellStyle name="Currency 5 2 2 2 2 5 2 4" xfId="20706" xr:uid="{83037DA6-C755-4464-ACA2-1D53F9BED2EB}"/>
    <cellStyle name="Currency 5 2 2 2 2 5 3" xfId="5881" xr:uid="{00000000-0005-0000-0000-0000910B0000}"/>
    <cellStyle name="Currency 5 2 2 2 2 5 3 2" xfId="14331" xr:uid="{6D5926A9-BF11-460A-9259-F80476710769}"/>
    <cellStyle name="Currency 5 2 2 2 2 5 3 3" xfId="22778" xr:uid="{E72625CB-20B9-4257-81F5-2C1AD1744047}"/>
    <cellStyle name="Currency 5 2 2 2 2 5 4" xfId="10113" xr:uid="{2FF6ABEB-EE34-4D55-B645-007AD2FBFDB9}"/>
    <cellStyle name="Currency 5 2 2 2 2 5 5" xfId="18561" xr:uid="{77216843-39A6-4A1B-B6DE-81C0EC4EC63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FB0313E5-A0DF-4109-AB3C-229FAB8EE81A}"/>
    <cellStyle name="Currency 5 2 2 2 2 6 2 2 3" xfId="25336" xr:uid="{6A2973AF-B389-45CE-917E-28A525519288}"/>
    <cellStyle name="Currency 5 2 2 2 2 6 2 3" xfId="12671" xr:uid="{FF980F4B-37AC-4EDE-BE09-788F1B11433B}"/>
    <cellStyle name="Currency 5 2 2 2 2 6 2 4" xfId="21119" xr:uid="{509F585D-9A33-424F-A333-3643CCFDF67D}"/>
    <cellStyle name="Currency 5 2 2 2 2 6 3" xfId="6294" xr:uid="{00000000-0005-0000-0000-0000950B0000}"/>
    <cellStyle name="Currency 5 2 2 2 2 6 3 2" xfId="14744" xr:uid="{F1B848CD-79EF-4FEC-BC1F-A660D890B73C}"/>
    <cellStyle name="Currency 5 2 2 2 2 6 3 3" xfId="23191" xr:uid="{97550886-4839-41AF-BF75-242035C9F617}"/>
    <cellStyle name="Currency 5 2 2 2 2 6 4" xfId="10526" xr:uid="{14977306-4EBE-4B98-A621-3060933891A0}"/>
    <cellStyle name="Currency 5 2 2 2 2 6 5" xfId="18974" xr:uid="{ACFF8262-35E3-4C56-9DB8-D3F7FEA41B72}"/>
    <cellStyle name="Currency 5 2 2 2 2 7" xfId="2423" xr:uid="{00000000-0005-0000-0000-0000960B0000}"/>
    <cellStyle name="Currency 5 2 2 2 2 7 2" xfId="6707" xr:uid="{00000000-0005-0000-0000-0000970B0000}"/>
    <cellStyle name="Currency 5 2 2 2 2 7 2 2" xfId="15157" xr:uid="{AB9684CF-3FAB-42ED-B1CE-92167A7638F5}"/>
    <cellStyle name="Currency 5 2 2 2 2 7 2 3" xfId="23604" xr:uid="{3F0496BD-EA9C-4FE8-AAAE-72FD3B8A0A62}"/>
    <cellStyle name="Currency 5 2 2 2 2 7 3" xfId="10939" xr:uid="{E6420BA3-0502-485F-BEE3-8D385BC0245C}"/>
    <cellStyle name="Currency 5 2 2 2 2 7 4" xfId="19387" xr:uid="{E8FC8097-851E-437E-8F33-75B175E07CE4}"/>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A947A3A4-59CC-4824-B401-F1541F40700A}"/>
    <cellStyle name="Currency 5 2 2 2 2 9 2 3" xfId="23921" xr:uid="{8586CC0D-1483-4F76-9F11-05D01223D68E}"/>
    <cellStyle name="Currency 5 2 2 2 2 9 3" xfId="11256" xr:uid="{A41E8D10-9306-4630-B089-7625B9F6F741}"/>
    <cellStyle name="Currency 5 2 2 2 2 9 4" xfId="19704" xr:uid="{4D65373F-7B87-4C64-A5B6-61892225F247}"/>
    <cellStyle name="Currency 5 2 2 2 3" xfId="199" xr:uid="{00000000-0005-0000-0000-00009B0B0000}"/>
    <cellStyle name="Currency 5 2 2 2 3 10" xfId="8875" xr:uid="{EF47610E-3083-4E70-B6F3-D7AC40442DF8}"/>
    <cellStyle name="Currency 5 2 2 2 3 11" xfId="17323" xr:uid="{B1D82F57-59A4-473F-9389-9DE557B21CD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2CC0C43F-695F-4BB8-984E-89A7A990C290}"/>
    <cellStyle name="Currency 5 2 2 2 3 2 2 2 3" xfId="24099" xr:uid="{FBFD0FED-A9A7-4971-BF2D-BD43E7F04D5A}"/>
    <cellStyle name="Currency 5 2 2 2 3 2 2 3" xfId="11434" xr:uid="{F6329F3D-920F-4094-A5B4-0BB3C56520E4}"/>
    <cellStyle name="Currency 5 2 2 2 3 2 2 4" xfId="19882" xr:uid="{827CFB48-8518-4F8E-B7B7-1C62F0F4E2D2}"/>
    <cellStyle name="Currency 5 2 2 2 3 2 3" xfId="5057" xr:uid="{00000000-0005-0000-0000-00009F0B0000}"/>
    <cellStyle name="Currency 5 2 2 2 3 2 3 2" xfId="13507" xr:uid="{797EBEC2-0B06-43ED-A2BA-4C96E4217613}"/>
    <cellStyle name="Currency 5 2 2 2 3 2 3 3" xfId="21954" xr:uid="{7163FFBB-70C9-4EF7-A999-F58B30B00F35}"/>
    <cellStyle name="Currency 5 2 2 2 3 2 4" xfId="9289" xr:uid="{A8BD61CE-5781-4616-BFD6-E855F973B2FC}"/>
    <cellStyle name="Currency 5 2 2 2 3 2 5" xfId="17737" xr:uid="{0D96BDF0-937B-4FB9-9E28-96654F4068AB}"/>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88A2708B-68DF-45C6-967C-A4BFF78405F1}"/>
    <cellStyle name="Currency 5 2 2 2 3 3 2 2 3" xfId="24512" xr:uid="{F44390EE-AE5C-4294-9E02-0F75DB3BCF53}"/>
    <cellStyle name="Currency 5 2 2 2 3 3 2 3" xfId="11847" xr:uid="{8611314D-8FAA-4ECF-9944-8268E173F112}"/>
    <cellStyle name="Currency 5 2 2 2 3 3 2 4" xfId="20295" xr:uid="{631951E3-C8DF-4FCD-AAB8-8E21CCA7D691}"/>
    <cellStyle name="Currency 5 2 2 2 3 3 3" xfId="5470" xr:uid="{00000000-0005-0000-0000-0000A30B0000}"/>
    <cellStyle name="Currency 5 2 2 2 3 3 3 2" xfId="13920" xr:uid="{0C4096C7-1925-41FD-933D-D8980A41EEF1}"/>
    <cellStyle name="Currency 5 2 2 2 3 3 3 3" xfId="22367" xr:uid="{D508C3C1-A460-4D18-AA6E-DC94BBDD0636}"/>
    <cellStyle name="Currency 5 2 2 2 3 3 4" xfId="9702" xr:uid="{2AE1BBD2-FFCA-46B3-8C07-80DADBDEC48C}"/>
    <cellStyle name="Currency 5 2 2 2 3 3 5" xfId="18150" xr:uid="{4B031837-5D5B-4CA0-87C3-0660BDBB4E5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1A1F959C-3CB1-4075-BC01-80DEC2243C9F}"/>
    <cellStyle name="Currency 5 2 2 2 3 4 2 2 3" xfId="24925" xr:uid="{A4ADEF71-B32D-4EA8-8CA3-D76FEB6E6031}"/>
    <cellStyle name="Currency 5 2 2 2 3 4 2 3" xfId="12260" xr:uid="{BBACA943-AD3F-4CC0-8BF8-15B7CE00C4A4}"/>
    <cellStyle name="Currency 5 2 2 2 3 4 2 4" xfId="20708" xr:uid="{D0F0D887-B94A-43B6-B88D-0997D7D07E1F}"/>
    <cellStyle name="Currency 5 2 2 2 3 4 3" xfId="5883" xr:uid="{00000000-0005-0000-0000-0000A70B0000}"/>
    <cellStyle name="Currency 5 2 2 2 3 4 3 2" xfId="14333" xr:uid="{9C1305DE-86E2-4826-83CA-9134AB1F1BC7}"/>
    <cellStyle name="Currency 5 2 2 2 3 4 3 3" xfId="22780" xr:uid="{FF856AB8-3198-4DD9-A22B-B186D8B2BF1B}"/>
    <cellStyle name="Currency 5 2 2 2 3 4 4" xfId="10115" xr:uid="{5F5280ED-2E61-4ABF-B0C8-CB55AD0EEA74}"/>
    <cellStyle name="Currency 5 2 2 2 3 4 5" xfId="18563" xr:uid="{44F20FE7-52F6-421F-88EE-BDFB44215E42}"/>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4B5FC156-64EA-42A1-B0D6-8E82BCC33B5E}"/>
    <cellStyle name="Currency 5 2 2 2 3 5 2 2 3" xfId="25338" xr:uid="{0C870991-D661-4BAC-9126-88C25D52E997}"/>
    <cellStyle name="Currency 5 2 2 2 3 5 2 3" xfId="12673" xr:uid="{8003BA86-ECEF-484A-A50D-685DA2051342}"/>
    <cellStyle name="Currency 5 2 2 2 3 5 2 4" xfId="21121" xr:uid="{79B44353-F174-40AB-84A3-AC4FBCE2766B}"/>
    <cellStyle name="Currency 5 2 2 2 3 5 3" xfId="6296" xr:uid="{00000000-0005-0000-0000-0000AB0B0000}"/>
    <cellStyle name="Currency 5 2 2 2 3 5 3 2" xfId="14746" xr:uid="{C7D3C04D-DF13-4BD8-BCC0-E8FBEE6C0B1A}"/>
    <cellStyle name="Currency 5 2 2 2 3 5 3 3" xfId="23193" xr:uid="{261F37AC-C07A-4A6B-BC0F-944F89451164}"/>
    <cellStyle name="Currency 5 2 2 2 3 5 4" xfId="10528" xr:uid="{FFF2674B-E596-4014-86AD-12A288B25BF1}"/>
    <cellStyle name="Currency 5 2 2 2 3 5 5" xfId="18976" xr:uid="{BAC38ED5-F656-4D2E-9B85-86236CFD36BB}"/>
    <cellStyle name="Currency 5 2 2 2 3 6" xfId="2425" xr:uid="{00000000-0005-0000-0000-0000AC0B0000}"/>
    <cellStyle name="Currency 5 2 2 2 3 6 2" xfId="6709" xr:uid="{00000000-0005-0000-0000-0000AD0B0000}"/>
    <cellStyle name="Currency 5 2 2 2 3 6 2 2" xfId="15159" xr:uid="{3C90BC82-FEE7-481A-822F-57EA49D83572}"/>
    <cellStyle name="Currency 5 2 2 2 3 6 2 3" xfId="23606" xr:uid="{9AE23A9E-1D0E-4647-A7C4-0B99CF9388E3}"/>
    <cellStyle name="Currency 5 2 2 2 3 6 3" xfId="10941" xr:uid="{63735916-B79C-4A53-8539-1793ECCEB9A4}"/>
    <cellStyle name="Currency 5 2 2 2 3 6 4" xfId="19389" xr:uid="{E4447A11-2BB0-4F59-A84C-3375C28FE287}"/>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61A40EAF-8F46-46D7-8BD9-2A76F68A2DB7}"/>
    <cellStyle name="Currency 5 2 2 2 3 8 2 3" xfId="23923" xr:uid="{7B26DE03-85E5-4FAF-925B-DFEE0B7EB199}"/>
    <cellStyle name="Currency 5 2 2 2 3 8 3" xfId="11258" xr:uid="{C141F50A-95FF-40E2-B5B2-8FBA9F29C91E}"/>
    <cellStyle name="Currency 5 2 2 2 3 8 4" xfId="19706" xr:uid="{BD7F05E3-3714-4561-963A-CD2ACC260013}"/>
    <cellStyle name="Currency 5 2 2 2 3 9" xfId="4643" xr:uid="{00000000-0005-0000-0000-0000B10B0000}"/>
    <cellStyle name="Currency 5 2 2 2 3 9 2" xfId="13093" xr:uid="{D6369375-7EB8-46DC-9555-87C88FF924FF}"/>
    <cellStyle name="Currency 5 2 2 2 3 9 3" xfId="21540" xr:uid="{FE56407B-9AB9-4EC0-B0EB-5E4FE91F04BB}"/>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05BFD57-5C13-487D-9ECC-C34FDA31ECF7}"/>
    <cellStyle name="Currency 5 2 2 2 4 2 2 3" xfId="24096" xr:uid="{FD53C304-4B95-487C-9C80-BADBA7CD4EA7}"/>
    <cellStyle name="Currency 5 2 2 2 4 2 3" xfId="11431" xr:uid="{DA63B3F8-1DBF-4E25-A1B1-ECC00522FDB8}"/>
    <cellStyle name="Currency 5 2 2 2 4 2 4" xfId="19879" xr:uid="{7DDD0349-7438-4760-B1EB-2F51FBAADB79}"/>
    <cellStyle name="Currency 5 2 2 2 4 3" xfId="5054" xr:uid="{00000000-0005-0000-0000-0000B50B0000}"/>
    <cellStyle name="Currency 5 2 2 2 4 3 2" xfId="13504" xr:uid="{242DA2D3-FCE9-4278-8986-1BD36943CE77}"/>
    <cellStyle name="Currency 5 2 2 2 4 3 3" xfId="21951" xr:uid="{5EF55DE1-F5EC-474A-879C-879E95F70F76}"/>
    <cellStyle name="Currency 5 2 2 2 4 4" xfId="9286" xr:uid="{48EC386F-294A-4A44-8505-E4ADC1F4DE47}"/>
    <cellStyle name="Currency 5 2 2 2 4 5" xfId="17734" xr:uid="{D2269702-EF25-4341-88C6-BB0E301FF2C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45408A13-D915-4008-B784-A7B5727D3274}"/>
    <cellStyle name="Currency 5 2 2 2 5 2 2 3" xfId="24509" xr:uid="{7643EC44-43E2-44BB-9C88-561DA66F5D74}"/>
    <cellStyle name="Currency 5 2 2 2 5 2 3" xfId="11844" xr:uid="{1D3ECA80-E873-4674-81C3-32752D2E369C}"/>
    <cellStyle name="Currency 5 2 2 2 5 2 4" xfId="20292" xr:uid="{528D751A-0ABC-4C80-9D8D-51AAE845FEA6}"/>
    <cellStyle name="Currency 5 2 2 2 5 3" xfId="5467" xr:uid="{00000000-0005-0000-0000-0000B90B0000}"/>
    <cellStyle name="Currency 5 2 2 2 5 3 2" xfId="13917" xr:uid="{858AA5CA-DCA3-4DD3-8C85-8B0A04838190}"/>
    <cellStyle name="Currency 5 2 2 2 5 3 3" xfId="22364" xr:uid="{C7ADE48C-0627-4897-BA58-4C1BF56ECA07}"/>
    <cellStyle name="Currency 5 2 2 2 5 4" xfId="9699" xr:uid="{D03075E0-47B4-4D1C-ACF7-7D723641DAD0}"/>
    <cellStyle name="Currency 5 2 2 2 5 5" xfId="18147" xr:uid="{9A77BCE3-B858-4618-9FB4-A7C568D552E3}"/>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0F640FD0-C7A1-4ECC-AAC2-3FF250AD1993}"/>
    <cellStyle name="Currency 5 2 2 2 6 2 2 3" xfId="24922" xr:uid="{96E4F7A1-D4AC-4362-A74D-9363FB46989A}"/>
    <cellStyle name="Currency 5 2 2 2 6 2 3" xfId="12257" xr:uid="{030FEC1B-D4FF-4CB3-9557-F4E2DB5C0DB6}"/>
    <cellStyle name="Currency 5 2 2 2 6 2 4" xfId="20705" xr:uid="{28066839-2865-4E5E-9B14-7F8174414D99}"/>
    <cellStyle name="Currency 5 2 2 2 6 3" xfId="5880" xr:uid="{00000000-0005-0000-0000-0000BD0B0000}"/>
    <cellStyle name="Currency 5 2 2 2 6 3 2" xfId="14330" xr:uid="{A3689C75-7037-4519-93E4-93799359599B}"/>
    <cellStyle name="Currency 5 2 2 2 6 3 3" xfId="22777" xr:uid="{121CE917-600E-4DE0-8BEC-3B492F573823}"/>
    <cellStyle name="Currency 5 2 2 2 6 4" xfId="10112" xr:uid="{7CE59561-2E19-49C4-B656-DC9BBB27A934}"/>
    <cellStyle name="Currency 5 2 2 2 6 5" xfId="18560" xr:uid="{0421FE35-A351-4F60-94DA-B2BC73AF958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575A6100-03FA-45A2-AA9D-EA71D6707D2D}"/>
    <cellStyle name="Currency 5 2 2 2 7 2 2 3" xfId="25335" xr:uid="{FF800B20-E0DB-4009-91AD-48A306C380BE}"/>
    <cellStyle name="Currency 5 2 2 2 7 2 3" xfId="12670" xr:uid="{C6EA0220-EA11-4D1D-8FB4-355514BBB3B2}"/>
    <cellStyle name="Currency 5 2 2 2 7 2 4" xfId="21118" xr:uid="{B69593FE-EBF7-4D58-9207-DC37ED4CC839}"/>
    <cellStyle name="Currency 5 2 2 2 7 3" xfId="6293" xr:uid="{00000000-0005-0000-0000-0000C10B0000}"/>
    <cellStyle name="Currency 5 2 2 2 7 3 2" xfId="14743" xr:uid="{7BF8FA00-67D6-4339-A67C-A7B0497276E5}"/>
    <cellStyle name="Currency 5 2 2 2 7 3 3" xfId="23190" xr:uid="{36163FD5-08BC-4A77-BDF4-0C1D458FEE66}"/>
    <cellStyle name="Currency 5 2 2 2 7 4" xfId="10525" xr:uid="{274BFD36-856C-467B-9BEE-AB255F3A2A2F}"/>
    <cellStyle name="Currency 5 2 2 2 7 5" xfId="18973" xr:uid="{74365766-2F79-4C4B-A2DE-3D6A0D8E509F}"/>
    <cellStyle name="Currency 5 2 2 2 8" xfId="2422" xr:uid="{00000000-0005-0000-0000-0000C20B0000}"/>
    <cellStyle name="Currency 5 2 2 2 8 2" xfId="6706" xr:uid="{00000000-0005-0000-0000-0000C30B0000}"/>
    <cellStyle name="Currency 5 2 2 2 8 2 2" xfId="15156" xr:uid="{F3D3B0F8-E8FC-4A89-8F99-BAA4806E4C75}"/>
    <cellStyle name="Currency 5 2 2 2 8 2 3" xfId="23603" xr:uid="{E1B30EF2-C55C-4674-B981-EF8EDFF9D098}"/>
    <cellStyle name="Currency 5 2 2 2 8 3" xfId="10938" xr:uid="{97C50352-30F5-4B5C-9610-E96E1F9CB1F7}"/>
    <cellStyle name="Currency 5 2 2 2 8 4" xfId="19386" xr:uid="{271A6328-7A38-46B2-90F7-5B9EF80EEF79}"/>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853DC83E-3178-487F-8CDD-5CA2D50FDC0E}"/>
    <cellStyle name="Currency 5 2 2 3 10 3" xfId="21541" xr:uid="{2938B401-113B-4C0D-B71A-2036E48E767F}"/>
    <cellStyle name="Currency 5 2 2 3 11" xfId="8876" xr:uid="{B8C1C01C-001A-4FB5-91DD-32E20D15D923}"/>
    <cellStyle name="Currency 5 2 2 3 12" xfId="17324" xr:uid="{B828A56B-D351-4EAE-ADAA-73AB62631A41}"/>
    <cellStyle name="Currency 5 2 2 3 2" xfId="201" xr:uid="{00000000-0005-0000-0000-0000C70B0000}"/>
    <cellStyle name="Currency 5 2 2 3 2 10" xfId="8877" xr:uid="{5CAF5C93-3CC2-480C-97C0-86D95D83572E}"/>
    <cellStyle name="Currency 5 2 2 3 2 11" xfId="17325" xr:uid="{C957993C-EA7D-4993-AD45-EFBD08A75287}"/>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040272C5-9966-483E-AB41-78C3F47BAEDB}"/>
    <cellStyle name="Currency 5 2 2 3 2 2 2 2 3" xfId="24101" xr:uid="{06D225FA-50A2-4844-9463-5A20CC1EF608}"/>
    <cellStyle name="Currency 5 2 2 3 2 2 2 3" xfId="11436" xr:uid="{C17FC538-92AA-413C-B38F-D1A6F4345B36}"/>
    <cellStyle name="Currency 5 2 2 3 2 2 2 4" xfId="19884" xr:uid="{460ED32A-78F5-4A86-81C9-E6246574AA27}"/>
    <cellStyle name="Currency 5 2 2 3 2 2 3" xfId="5059" xr:uid="{00000000-0005-0000-0000-0000CB0B0000}"/>
    <cellStyle name="Currency 5 2 2 3 2 2 3 2" xfId="13509" xr:uid="{3A6A0401-40EC-45FC-A6C0-FB343D00801A}"/>
    <cellStyle name="Currency 5 2 2 3 2 2 3 3" xfId="21956" xr:uid="{5ECA16B3-1F76-4519-AB75-CCED5807F568}"/>
    <cellStyle name="Currency 5 2 2 3 2 2 4" xfId="9291" xr:uid="{AB7765F5-C7B5-4EAF-B0AA-88DA8E0F7D78}"/>
    <cellStyle name="Currency 5 2 2 3 2 2 5" xfId="17739" xr:uid="{BB774967-CE35-45AE-93D1-C9C0CA403203}"/>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B259BA3E-A0A2-47C6-86B3-42A0B5BE9D3B}"/>
    <cellStyle name="Currency 5 2 2 3 2 3 2 2 3" xfId="24514" xr:uid="{62A3F5FA-1CAF-4CC2-8038-D6A69F84D492}"/>
    <cellStyle name="Currency 5 2 2 3 2 3 2 3" xfId="11849" xr:uid="{DF688515-CA97-45BE-81C7-4A22731976BD}"/>
    <cellStyle name="Currency 5 2 2 3 2 3 2 4" xfId="20297" xr:uid="{C394F885-C542-4D8E-9A32-37314AA210A8}"/>
    <cellStyle name="Currency 5 2 2 3 2 3 3" xfId="5472" xr:uid="{00000000-0005-0000-0000-0000CF0B0000}"/>
    <cellStyle name="Currency 5 2 2 3 2 3 3 2" xfId="13922" xr:uid="{7A036B03-98DD-4710-BCAE-E404F14D4BF9}"/>
    <cellStyle name="Currency 5 2 2 3 2 3 3 3" xfId="22369" xr:uid="{53DB2895-608A-46C5-AA78-11E8167405FD}"/>
    <cellStyle name="Currency 5 2 2 3 2 3 4" xfId="9704" xr:uid="{C8351CCC-1B8C-4474-8A56-BB28BEB8E375}"/>
    <cellStyle name="Currency 5 2 2 3 2 3 5" xfId="18152" xr:uid="{BA6CF28B-48AA-4321-975A-63B49959AE98}"/>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A0D0842B-43BD-4A20-ADF0-52DC7B018FC3}"/>
    <cellStyle name="Currency 5 2 2 3 2 4 2 2 3" xfId="24927" xr:uid="{26C2E073-4993-419F-AE55-4F7BC25C063A}"/>
    <cellStyle name="Currency 5 2 2 3 2 4 2 3" xfId="12262" xr:uid="{B7C42EC1-1C32-41E8-A0B2-EFE893D5EF4F}"/>
    <cellStyle name="Currency 5 2 2 3 2 4 2 4" xfId="20710" xr:uid="{BF03EE6E-0E44-478E-82FF-D5C1F3F2CA48}"/>
    <cellStyle name="Currency 5 2 2 3 2 4 3" xfId="5885" xr:uid="{00000000-0005-0000-0000-0000D30B0000}"/>
    <cellStyle name="Currency 5 2 2 3 2 4 3 2" xfId="14335" xr:uid="{9A31857E-729A-4D81-BC26-19496204DE4C}"/>
    <cellStyle name="Currency 5 2 2 3 2 4 3 3" xfId="22782" xr:uid="{C204477E-41CB-41AB-94E2-177450080069}"/>
    <cellStyle name="Currency 5 2 2 3 2 4 4" xfId="10117" xr:uid="{AEC856BB-2892-4901-A68B-4CB2EB7D27EC}"/>
    <cellStyle name="Currency 5 2 2 3 2 4 5" xfId="18565" xr:uid="{BF421E02-A92F-4810-82EE-63BE4780E3A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7634810F-9E13-4B8F-B826-C3DA70D64527}"/>
    <cellStyle name="Currency 5 2 2 3 2 5 2 2 3" xfId="25340" xr:uid="{EF73C077-AF5F-49B1-BF47-CF897570FA0D}"/>
    <cellStyle name="Currency 5 2 2 3 2 5 2 3" xfId="12675" xr:uid="{85675794-AD48-45AC-8635-6BC480E9C239}"/>
    <cellStyle name="Currency 5 2 2 3 2 5 2 4" xfId="21123" xr:uid="{C7F5E91B-1894-4C0E-9C12-A3A91E25EFE6}"/>
    <cellStyle name="Currency 5 2 2 3 2 5 3" xfId="6298" xr:uid="{00000000-0005-0000-0000-0000D70B0000}"/>
    <cellStyle name="Currency 5 2 2 3 2 5 3 2" xfId="14748" xr:uid="{F83F523E-B0A5-4940-8E49-3F36F2BC4FF1}"/>
    <cellStyle name="Currency 5 2 2 3 2 5 3 3" xfId="23195" xr:uid="{CB5AEB04-80FA-49D7-8924-F7C97136812C}"/>
    <cellStyle name="Currency 5 2 2 3 2 5 4" xfId="10530" xr:uid="{94C327A2-0F05-4E8A-B405-54DF6BF675C5}"/>
    <cellStyle name="Currency 5 2 2 3 2 5 5" xfId="18978" xr:uid="{056C2E8D-7A30-49C4-BEBB-797AF0980B1C}"/>
    <cellStyle name="Currency 5 2 2 3 2 6" xfId="2427" xr:uid="{00000000-0005-0000-0000-0000D80B0000}"/>
    <cellStyle name="Currency 5 2 2 3 2 6 2" xfId="6711" xr:uid="{00000000-0005-0000-0000-0000D90B0000}"/>
    <cellStyle name="Currency 5 2 2 3 2 6 2 2" xfId="15161" xr:uid="{6142A900-AEE7-4871-B421-621612FFFD80}"/>
    <cellStyle name="Currency 5 2 2 3 2 6 2 3" xfId="23608" xr:uid="{272BC4AE-5850-4840-B0D0-4234CD6D55AA}"/>
    <cellStyle name="Currency 5 2 2 3 2 6 3" xfId="10943" xr:uid="{484F88A7-FF90-4326-8B7B-CEAD433741C9}"/>
    <cellStyle name="Currency 5 2 2 3 2 6 4" xfId="19391" xr:uid="{3C8100ED-3E09-4D17-8A73-C44E426270B1}"/>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F4A09EA8-DD72-4D1F-A9B2-B33FE4AE378E}"/>
    <cellStyle name="Currency 5 2 2 3 2 8 2 3" xfId="23925" xr:uid="{410177EC-5F81-4BBD-9278-A0D24317EE81}"/>
    <cellStyle name="Currency 5 2 2 3 2 8 3" xfId="11260" xr:uid="{7D0258BD-62D1-4D34-8813-DFB61B7F8B3F}"/>
    <cellStyle name="Currency 5 2 2 3 2 8 4" xfId="19708" xr:uid="{744FEA51-F5DC-450D-B2CF-A0CDB5620F4E}"/>
    <cellStyle name="Currency 5 2 2 3 2 9" xfId="4645" xr:uid="{00000000-0005-0000-0000-0000DD0B0000}"/>
    <cellStyle name="Currency 5 2 2 3 2 9 2" xfId="13095" xr:uid="{A9D2C984-0242-4E00-ADDE-5B0875250E2F}"/>
    <cellStyle name="Currency 5 2 2 3 2 9 3" xfId="21542" xr:uid="{FA1532E8-7D2D-4EE3-ABA5-6FF248C31E75}"/>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5F302F27-861D-4050-A06E-03DB399C4A3B}"/>
    <cellStyle name="Currency 5 2 2 3 3 2 2 3" xfId="24100" xr:uid="{70736D8B-08DB-4C8D-BD6D-4D2F4AA5A5BA}"/>
    <cellStyle name="Currency 5 2 2 3 3 2 3" xfId="11435" xr:uid="{8A50FC0A-7E07-44BF-BE46-65B08445CAD9}"/>
    <cellStyle name="Currency 5 2 2 3 3 2 4" xfId="19883" xr:uid="{BE46AC1E-169E-4691-9403-60276A9A0AC1}"/>
    <cellStyle name="Currency 5 2 2 3 3 3" xfId="5058" xr:uid="{00000000-0005-0000-0000-0000E10B0000}"/>
    <cellStyle name="Currency 5 2 2 3 3 3 2" xfId="13508" xr:uid="{D3A7F825-0486-4F6E-BE6F-82C88E751CBF}"/>
    <cellStyle name="Currency 5 2 2 3 3 3 3" xfId="21955" xr:uid="{CE44DB66-03A2-4992-9D5A-7AE7D74EF13E}"/>
    <cellStyle name="Currency 5 2 2 3 3 4" xfId="9290" xr:uid="{0A2DAFC0-BAAE-4837-B966-01C9FC170E3C}"/>
    <cellStyle name="Currency 5 2 2 3 3 5" xfId="17738" xr:uid="{9F5018EA-4CCF-4B22-A734-6981D7913B4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266155F5-599C-447E-A9AC-E057E0EEDFD7}"/>
    <cellStyle name="Currency 5 2 2 3 4 2 2 3" xfId="24513" xr:uid="{3CC434D7-C2AA-4292-B5E4-74D828A315FA}"/>
    <cellStyle name="Currency 5 2 2 3 4 2 3" xfId="11848" xr:uid="{A2EC3E77-4C7E-4ACB-96C6-547D588D8313}"/>
    <cellStyle name="Currency 5 2 2 3 4 2 4" xfId="20296" xr:uid="{FE9A1E60-31F0-4E93-887C-09F5D0CF0F9A}"/>
    <cellStyle name="Currency 5 2 2 3 4 3" xfId="5471" xr:uid="{00000000-0005-0000-0000-0000E50B0000}"/>
    <cellStyle name="Currency 5 2 2 3 4 3 2" xfId="13921" xr:uid="{DFAB3C49-5C9F-4D86-9C1D-36C20B6D6440}"/>
    <cellStyle name="Currency 5 2 2 3 4 3 3" xfId="22368" xr:uid="{777B517D-8578-453B-AE82-3FF0130F8FB8}"/>
    <cellStyle name="Currency 5 2 2 3 4 4" xfId="9703" xr:uid="{C875759B-773D-4625-87F6-5939801D2C52}"/>
    <cellStyle name="Currency 5 2 2 3 4 5" xfId="18151" xr:uid="{37A0F768-C562-4CAF-8C3E-EB05D1759B82}"/>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E83C9A65-12E6-491A-A18E-44143FEE2E37}"/>
    <cellStyle name="Currency 5 2 2 3 5 2 2 3" xfId="24926" xr:uid="{4440D17B-8FC4-45A9-A8BB-A264D18FE12B}"/>
    <cellStyle name="Currency 5 2 2 3 5 2 3" xfId="12261" xr:uid="{635DC9BA-8874-4E43-AE55-20ABE077A187}"/>
    <cellStyle name="Currency 5 2 2 3 5 2 4" xfId="20709" xr:uid="{4E5941EE-6F35-4894-9715-660232BC556C}"/>
    <cellStyle name="Currency 5 2 2 3 5 3" xfId="5884" xr:uid="{00000000-0005-0000-0000-0000E90B0000}"/>
    <cellStyle name="Currency 5 2 2 3 5 3 2" xfId="14334" xr:uid="{00C1EE6A-1370-4836-8B00-3F5DD7C11877}"/>
    <cellStyle name="Currency 5 2 2 3 5 3 3" xfId="22781" xr:uid="{1EB69BEB-A432-4B7C-B95A-045BC0AC07E7}"/>
    <cellStyle name="Currency 5 2 2 3 5 4" xfId="10116" xr:uid="{00AF285F-8E97-4AD1-A49E-3782C278F06C}"/>
    <cellStyle name="Currency 5 2 2 3 5 5" xfId="18564" xr:uid="{F4618D04-3398-4ADA-8A66-88AE9507F2F3}"/>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DF219851-3D44-46F0-BB3D-9CE87E4E4684}"/>
    <cellStyle name="Currency 5 2 2 3 6 2 2 3" xfId="25339" xr:uid="{3A2DB290-64BF-4B67-8504-2A665A3ADB87}"/>
    <cellStyle name="Currency 5 2 2 3 6 2 3" xfId="12674" xr:uid="{EC001C9E-2358-420A-840D-B0A8C0945A0C}"/>
    <cellStyle name="Currency 5 2 2 3 6 2 4" xfId="21122" xr:uid="{38AE0EEF-6A60-42D9-B33E-11610E7F51EF}"/>
    <cellStyle name="Currency 5 2 2 3 6 3" xfId="6297" xr:uid="{00000000-0005-0000-0000-0000ED0B0000}"/>
    <cellStyle name="Currency 5 2 2 3 6 3 2" xfId="14747" xr:uid="{85B83331-9BF5-40B4-9CFB-0C48D2806227}"/>
    <cellStyle name="Currency 5 2 2 3 6 3 3" xfId="23194" xr:uid="{E084AD52-7BCF-4C94-9176-3A35E9CE8EA4}"/>
    <cellStyle name="Currency 5 2 2 3 6 4" xfId="10529" xr:uid="{A54CE893-96C0-4115-A860-49D2795E5E75}"/>
    <cellStyle name="Currency 5 2 2 3 6 5" xfId="18977" xr:uid="{02AA7B4E-9AA0-4DBD-A4F0-C44C20FB1C70}"/>
    <cellStyle name="Currency 5 2 2 3 7" xfId="2426" xr:uid="{00000000-0005-0000-0000-0000EE0B0000}"/>
    <cellStyle name="Currency 5 2 2 3 7 2" xfId="6710" xr:uid="{00000000-0005-0000-0000-0000EF0B0000}"/>
    <cellStyle name="Currency 5 2 2 3 7 2 2" xfId="15160" xr:uid="{D97C51A5-B12F-45F5-84CB-621C737D745D}"/>
    <cellStyle name="Currency 5 2 2 3 7 2 3" xfId="23607" xr:uid="{5CED97E5-A621-450F-926E-1A6C17880D52}"/>
    <cellStyle name="Currency 5 2 2 3 7 3" xfId="10942" xr:uid="{CC244C71-0538-4DFC-A3E4-B6524C7BC6E0}"/>
    <cellStyle name="Currency 5 2 2 3 7 4" xfId="19390" xr:uid="{6F0ABEEB-BD5B-44B3-9071-532B52147541}"/>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F14AC87B-4480-4023-A060-986723E76CAC}"/>
    <cellStyle name="Currency 5 2 2 3 9 2 3" xfId="23924" xr:uid="{BDB2567C-C422-4F3B-8122-93A8376D79EC}"/>
    <cellStyle name="Currency 5 2 2 3 9 3" xfId="11259" xr:uid="{94DB7469-EA7E-4240-891D-070CA71B24EC}"/>
    <cellStyle name="Currency 5 2 2 3 9 4" xfId="19707" xr:uid="{E492D0D2-F3C5-4E17-A8A6-BCB62FE03707}"/>
    <cellStyle name="Currency 5 2 2 4" xfId="202" xr:uid="{00000000-0005-0000-0000-0000F30B0000}"/>
    <cellStyle name="Currency 5 2 2 4 10" xfId="8878" xr:uid="{E76CC6EF-4D93-4D2E-9B4E-808E6B4FB25C}"/>
    <cellStyle name="Currency 5 2 2 4 11" xfId="17326" xr:uid="{43E38176-E953-445B-B51C-25184E07C92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B9CCDB2F-CBD1-49F1-A9A1-8B7DDD2CD794}"/>
    <cellStyle name="Currency 5 2 2 4 2 2 2 3" xfId="24102" xr:uid="{19145CD7-33CE-4B06-ADBC-9D3E4AA6D92F}"/>
    <cellStyle name="Currency 5 2 2 4 2 2 3" xfId="11437" xr:uid="{AF1B4F15-2E2E-41B5-9903-B62A94FF1981}"/>
    <cellStyle name="Currency 5 2 2 4 2 2 4" xfId="19885" xr:uid="{BBB03A09-835A-40A9-9847-31F97916585B}"/>
    <cellStyle name="Currency 5 2 2 4 2 3" xfId="5060" xr:uid="{00000000-0005-0000-0000-0000F70B0000}"/>
    <cellStyle name="Currency 5 2 2 4 2 3 2" xfId="13510" xr:uid="{06440A45-CDD2-4AC2-BB39-4D608DA755EC}"/>
    <cellStyle name="Currency 5 2 2 4 2 3 3" xfId="21957" xr:uid="{8AAAB5CD-BB7F-4ED7-B55C-15F34C29B84C}"/>
    <cellStyle name="Currency 5 2 2 4 2 4" xfId="9292" xr:uid="{5E5C2B1B-7EA0-45F3-9358-6BF6DB85C1BE}"/>
    <cellStyle name="Currency 5 2 2 4 2 5" xfId="17740" xr:uid="{3CCE4BD2-2A7E-4870-A317-6602E75A46A8}"/>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82A6944A-930E-4C21-972B-68C96390F81F}"/>
    <cellStyle name="Currency 5 2 2 4 3 2 2 3" xfId="24515" xr:uid="{EAED5B51-832A-4A80-AFA9-354281BC39AF}"/>
    <cellStyle name="Currency 5 2 2 4 3 2 3" xfId="11850" xr:uid="{1BBC478D-F3CD-4197-999E-FBFB76B911EC}"/>
    <cellStyle name="Currency 5 2 2 4 3 2 4" xfId="20298" xr:uid="{17DF903F-2739-4BD4-8631-6BEFC9A2E724}"/>
    <cellStyle name="Currency 5 2 2 4 3 3" xfId="5473" xr:uid="{00000000-0005-0000-0000-0000FB0B0000}"/>
    <cellStyle name="Currency 5 2 2 4 3 3 2" xfId="13923" xr:uid="{A68ED49C-A04C-416E-A7D7-6B6621A4FD04}"/>
    <cellStyle name="Currency 5 2 2 4 3 3 3" xfId="22370" xr:uid="{4A3B22B1-50B6-4026-BCA6-1FBAD51034DA}"/>
    <cellStyle name="Currency 5 2 2 4 3 4" xfId="9705" xr:uid="{6F1BFC56-A17D-42A5-AF2D-124096F862B2}"/>
    <cellStyle name="Currency 5 2 2 4 3 5" xfId="18153" xr:uid="{08DDA147-9217-433A-92B4-8E8197B1348F}"/>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62278203-447E-48DD-996D-3A4DDFA0C6EE}"/>
    <cellStyle name="Currency 5 2 2 4 4 2 2 3" xfId="24928" xr:uid="{935A8F76-87E7-486B-AA7E-94EF031E12D3}"/>
    <cellStyle name="Currency 5 2 2 4 4 2 3" xfId="12263" xr:uid="{5D74AA6C-D4D4-484B-8CC3-B90E506A4D83}"/>
    <cellStyle name="Currency 5 2 2 4 4 2 4" xfId="20711" xr:uid="{C230222D-1D73-4682-8D40-8C20D7F91774}"/>
    <cellStyle name="Currency 5 2 2 4 4 3" xfId="5886" xr:uid="{00000000-0005-0000-0000-0000FF0B0000}"/>
    <cellStyle name="Currency 5 2 2 4 4 3 2" xfId="14336" xr:uid="{9175B7BA-C14D-4A06-B1FC-B000F3A1D8C5}"/>
    <cellStyle name="Currency 5 2 2 4 4 3 3" xfId="22783" xr:uid="{5018567D-7A15-4F1E-9B3C-6A1440536B60}"/>
    <cellStyle name="Currency 5 2 2 4 4 4" xfId="10118" xr:uid="{75B8E5AF-822C-4641-A0B9-199563233E03}"/>
    <cellStyle name="Currency 5 2 2 4 4 5" xfId="18566" xr:uid="{A20C39C1-B8A4-402E-AAAA-18D047AE51EA}"/>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56A53215-F56D-4B1D-8173-6C651991D671}"/>
    <cellStyle name="Currency 5 2 2 4 5 2 2 3" xfId="25341" xr:uid="{6D59BEF8-B705-4E0E-85DA-9D26EDDC2712}"/>
    <cellStyle name="Currency 5 2 2 4 5 2 3" xfId="12676" xr:uid="{E44B9F9B-3A86-44FF-8F0C-C3230F951293}"/>
    <cellStyle name="Currency 5 2 2 4 5 2 4" xfId="21124" xr:uid="{B5FF6708-52B8-4F86-AD82-1333E36896CA}"/>
    <cellStyle name="Currency 5 2 2 4 5 3" xfId="6299" xr:uid="{00000000-0005-0000-0000-0000030C0000}"/>
    <cellStyle name="Currency 5 2 2 4 5 3 2" xfId="14749" xr:uid="{43BF4689-6D95-4EE7-85FE-8B17650DC690}"/>
    <cellStyle name="Currency 5 2 2 4 5 3 3" xfId="23196" xr:uid="{95F2FCC6-40E2-4845-B86D-87BC67A47292}"/>
    <cellStyle name="Currency 5 2 2 4 5 4" xfId="10531" xr:uid="{45A072E4-9B65-462F-8E74-02A784602C06}"/>
    <cellStyle name="Currency 5 2 2 4 5 5" xfId="18979" xr:uid="{9C33B849-4940-4980-80D7-18AB4D094F96}"/>
    <cellStyle name="Currency 5 2 2 4 6" xfId="2428" xr:uid="{00000000-0005-0000-0000-0000040C0000}"/>
    <cellStyle name="Currency 5 2 2 4 6 2" xfId="6712" xr:uid="{00000000-0005-0000-0000-0000050C0000}"/>
    <cellStyle name="Currency 5 2 2 4 6 2 2" xfId="15162" xr:uid="{547AD309-64EB-4C25-8D32-F87A1D31C16F}"/>
    <cellStyle name="Currency 5 2 2 4 6 2 3" xfId="23609" xr:uid="{214A2585-2D20-4E1E-9BE2-1B01650828EB}"/>
    <cellStyle name="Currency 5 2 2 4 6 3" xfId="10944" xr:uid="{B31B6F00-AA13-45D4-8F00-1022B74FB08F}"/>
    <cellStyle name="Currency 5 2 2 4 6 4" xfId="19392" xr:uid="{363B8DA4-8496-47E6-ABDF-F43625B7EB9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B8276887-06B7-4D20-AEDB-C754C9DB1904}"/>
    <cellStyle name="Currency 5 2 2 4 8 2 3" xfId="23926" xr:uid="{62CD558F-8650-42A7-B60D-18B2715C534B}"/>
    <cellStyle name="Currency 5 2 2 4 8 3" xfId="11261" xr:uid="{5BC0BC99-AC60-4B4F-9A04-D6AB1ED3B4AB}"/>
    <cellStyle name="Currency 5 2 2 4 8 4" xfId="19709" xr:uid="{3A1DC506-D942-47EF-BD7F-9FB31956074E}"/>
    <cellStyle name="Currency 5 2 2 4 9" xfId="4646" xr:uid="{00000000-0005-0000-0000-0000090C0000}"/>
    <cellStyle name="Currency 5 2 2 4 9 2" xfId="13096" xr:uid="{49441E58-8425-47F2-8E2D-DE252E9FD814}"/>
    <cellStyle name="Currency 5 2 2 4 9 3" xfId="21543" xr:uid="{89A5BD8F-02A2-4FCA-9A57-38963C18D315}"/>
    <cellStyle name="Currency 5 2 2 5" xfId="203" xr:uid="{00000000-0005-0000-0000-00000A0C0000}"/>
    <cellStyle name="Currency 5 2 2 5 10" xfId="8879" xr:uid="{C343B5C5-A63A-420C-BB3C-6758F3C71E8C}"/>
    <cellStyle name="Currency 5 2 2 5 11" xfId="17327" xr:uid="{CAC4E847-CD25-420C-8FD9-1F57860A9E37}"/>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2F31CC3-FBEB-4B0C-97F5-7CB427E4A711}"/>
    <cellStyle name="Currency 5 2 2 5 2 2 2 3" xfId="24103" xr:uid="{86095928-C00F-4B3D-BD65-D154E77B7E64}"/>
    <cellStyle name="Currency 5 2 2 5 2 2 3" xfId="11438" xr:uid="{03DE4971-CE20-4C79-A5B9-1CE645BD8024}"/>
    <cellStyle name="Currency 5 2 2 5 2 2 4" xfId="19886" xr:uid="{066B3A4A-88DD-49EE-946C-813E129679BD}"/>
    <cellStyle name="Currency 5 2 2 5 2 3" xfId="5061" xr:uid="{00000000-0005-0000-0000-00000E0C0000}"/>
    <cellStyle name="Currency 5 2 2 5 2 3 2" xfId="13511" xr:uid="{8041130A-2984-48A8-A277-C799A6981969}"/>
    <cellStyle name="Currency 5 2 2 5 2 3 3" xfId="21958" xr:uid="{F07E0BB3-946B-4A66-BDD8-BDD84D1B3A03}"/>
    <cellStyle name="Currency 5 2 2 5 2 4" xfId="9293" xr:uid="{2C46F99B-84C4-460D-A0C0-EAA4BC284BF6}"/>
    <cellStyle name="Currency 5 2 2 5 2 5" xfId="17741" xr:uid="{98CADB19-2DC5-4642-BA9F-2E1D1EE582C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BF9E5260-BD89-4A90-9AA7-19FB8CC76636}"/>
    <cellStyle name="Currency 5 2 2 5 3 2 2 3" xfId="24516" xr:uid="{94D13ABB-5190-471F-86C3-C4EC34A9DE42}"/>
    <cellStyle name="Currency 5 2 2 5 3 2 3" xfId="11851" xr:uid="{797C6B6D-0878-4EC9-806D-0C5967F30BA4}"/>
    <cellStyle name="Currency 5 2 2 5 3 2 4" xfId="20299" xr:uid="{2AE56D57-9C7B-43EF-9373-84CE09C32C56}"/>
    <cellStyle name="Currency 5 2 2 5 3 3" xfId="5474" xr:uid="{00000000-0005-0000-0000-0000120C0000}"/>
    <cellStyle name="Currency 5 2 2 5 3 3 2" xfId="13924" xr:uid="{E4D08FF1-5D00-4696-AEA4-8EC6CD109BAE}"/>
    <cellStyle name="Currency 5 2 2 5 3 3 3" xfId="22371" xr:uid="{BEAE5881-2B26-4F3C-B7E0-E454EA8AED0D}"/>
    <cellStyle name="Currency 5 2 2 5 3 4" xfId="9706" xr:uid="{9AF5B98C-E786-4EBE-AB9B-807CF3284040}"/>
    <cellStyle name="Currency 5 2 2 5 3 5" xfId="18154" xr:uid="{331E7F2B-2225-4799-8B3D-7BC35C20789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0DA06DB1-4F80-4BCC-8771-2EF3F94F4730}"/>
    <cellStyle name="Currency 5 2 2 5 4 2 2 3" xfId="24929" xr:uid="{16ABAD17-0EFE-4FC5-A94A-056A4D3B2EF8}"/>
    <cellStyle name="Currency 5 2 2 5 4 2 3" xfId="12264" xr:uid="{D4F654E9-D25F-4A8B-953D-7750DDBD657E}"/>
    <cellStyle name="Currency 5 2 2 5 4 2 4" xfId="20712" xr:uid="{CB0B25AC-7CBC-4697-94AD-6006EB9D8962}"/>
    <cellStyle name="Currency 5 2 2 5 4 3" xfId="5887" xr:uid="{00000000-0005-0000-0000-0000160C0000}"/>
    <cellStyle name="Currency 5 2 2 5 4 3 2" xfId="14337" xr:uid="{FD101819-7F38-460B-A041-E281048DE7BE}"/>
    <cellStyle name="Currency 5 2 2 5 4 3 3" xfId="22784" xr:uid="{16517D8A-770D-4821-9256-F281AC3C5230}"/>
    <cellStyle name="Currency 5 2 2 5 4 4" xfId="10119" xr:uid="{311C9022-F832-444F-B45B-C6709152C806}"/>
    <cellStyle name="Currency 5 2 2 5 4 5" xfId="18567" xr:uid="{E9BA68B1-F6C8-4E36-947D-1D2EC148CC3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FD3A1CE9-C6F9-42FF-A03E-D0300AAC5DAA}"/>
    <cellStyle name="Currency 5 2 2 5 5 2 2 3" xfId="25342" xr:uid="{135CE369-BD0A-4565-A168-4C90A7BC73BA}"/>
    <cellStyle name="Currency 5 2 2 5 5 2 3" xfId="12677" xr:uid="{14D6D499-15D8-4C9E-AE50-80CE027C336E}"/>
    <cellStyle name="Currency 5 2 2 5 5 2 4" xfId="21125" xr:uid="{E3DCCC9F-915B-4A2F-8396-FB58317AB851}"/>
    <cellStyle name="Currency 5 2 2 5 5 3" xfId="6300" xr:uid="{00000000-0005-0000-0000-00001A0C0000}"/>
    <cellStyle name="Currency 5 2 2 5 5 3 2" xfId="14750" xr:uid="{BA412AED-2977-4EDE-B677-7830418A8915}"/>
    <cellStyle name="Currency 5 2 2 5 5 3 3" xfId="23197" xr:uid="{ACA08ADB-0D6C-45F0-978F-1F58EDD5F974}"/>
    <cellStyle name="Currency 5 2 2 5 5 4" xfId="10532" xr:uid="{ABFDE163-7653-4DB2-BE91-C5C73CD7C74A}"/>
    <cellStyle name="Currency 5 2 2 5 5 5" xfId="18980" xr:uid="{AF8D033A-BFA3-4CAC-8B18-97B151564124}"/>
    <cellStyle name="Currency 5 2 2 5 6" xfId="2429" xr:uid="{00000000-0005-0000-0000-00001B0C0000}"/>
    <cellStyle name="Currency 5 2 2 5 6 2" xfId="6713" xr:uid="{00000000-0005-0000-0000-00001C0C0000}"/>
    <cellStyle name="Currency 5 2 2 5 6 2 2" xfId="15163" xr:uid="{1B9FD3DF-2477-4A23-891B-82D54EB5BF3A}"/>
    <cellStyle name="Currency 5 2 2 5 6 2 3" xfId="23610" xr:uid="{7AC74285-8A83-4958-82D3-CD007FD6B73F}"/>
    <cellStyle name="Currency 5 2 2 5 6 3" xfId="10945" xr:uid="{34742E84-28EF-4DF2-9096-4C9B5A9C2EA6}"/>
    <cellStyle name="Currency 5 2 2 5 6 4" xfId="19393" xr:uid="{60E6798D-7B32-4CD0-B8C6-C1DA55CA3872}"/>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7E29CD3C-5540-4E44-A280-6C6EAF2F6E00}"/>
    <cellStyle name="Currency 5 2 2 5 8 2 3" xfId="23927" xr:uid="{F6655E63-B9F7-4B32-8275-9C3ECFAFD98F}"/>
    <cellStyle name="Currency 5 2 2 5 8 3" xfId="11262" xr:uid="{23EDC669-311E-4EDE-9379-12B9367FF5F0}"/>
    <cellStyle name="Currency 5 2 2 5 8 4" xfId="19710" xr:uid="{DA87E20E-AFF3-43D7-A000-64F5B97F60E1}"/>
    <cellStyle name="Currency 5 2 2 5 9" xfId="4647" xr:uid="{00000000-0005-0000-0000-0000200C0000}"/>
    <cellStyle name="Currency 5 2 2 5 9 2" xfId="13097" xr:uid="{61171D2E-680F-4011-A166-421DFE92E7E6}"/>
    <cellStyle name="Currency 5 2 2 5 9 3" xfId="21544" xr:uid="{19C11D58-755D-454D-B401-00193B716AF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4ADCA2E3-EC66-4C56-8696-6AE85AD5A86A}"/>
    <cellStyle name="Currency 5 2 4 10 3" xfId="21545" xr:uid="{B4AF13BA-610C-4456-B5C6-0FF6E043A66B}"/>
    <cellStyle name="Currency 5 2 4 11" xfId="8880" xr:uid="{D46CF387-8E80-4395-B168-3FABA3C6F322}"/>
    <cellStyle name="Currency 5 2 4 12" xfId="17328" xr:uid="{980A582B-0F21-42D5-8611-9C2E3880967A}"/>
    <cellStyle name="Currency 5 2 4 2" xfId="206" xr:uid="{00000000-0005-0000-0000-0000250C0000}"/>
    <cellStyle name="Currency 5 2 4 2 10" xfId="8881" xr:uid="{C4B31479-030A-47C2-80A0-3415A6D10CDA}"/>
    <cellStyle name="Currency 5 2 4 2 11" xfId="17329" xr:uid="{F26BF86B-8DEB-420E-ADD2-29195BD25111}"/>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2069F4ED-EFD7-4374-B1A7-EF6D7878C9BF}"/>
    <cellStyle name="Currency 5 2 4 2 2 2 2 3" xfId="24105" xr:uid="{153D202A-03C7-45F1-8D3D-75164CECFA35}"/>
    <cellStyle name="Currency 5 2 4 2 2 2 3" xfId="11440" xr:uid="{86138F8A-3935-4787-9C74-CF3B61BD984E}"/>
    <cellStyle name="Currency 5 2 4 2 2 2 4" xfId="19888" xr:uid="{339828D8-9C29-45FB-9C67-9E8094D0A550}"/>
    <cellStyle name="Currency 5 2 4 2 2 3" xfId="5063" xr:uid="{00000000-0005-0000-0000-0000290C0000}"/>
    <cellStyle name="Currency 5 2 4 2 2 3 2" xfId="13513" xr:uid="{DC7DBF41-E13D-4547-AE45-2AD48BF32C66}"/>
    <cellStyle name="Currency 5 2 4 2 2 3 3" xfId="21960" xr:uid="{2DEA04B4-606A-4110-992E-B9D4AF8336B3}"/>
    <cellStyle name="Currency 5 2 4 2 2 4" xfId="9295" xr:uid="{F1F971B7-4199-4A73-B135-8ECE5DF74915}"/>
    <cellStyle name="Currency 5 2 4 2 2 5" xfId="17743" xr:uid="{92601550-B538-457B-9661-68FD6E500519}"/>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A0F89891-6E4C-474B-B08A-3B7D02C6C348}"/>
    <cellStyle name="Currency 5 2 4 2 3 2 2 3" xfId="24518" xr:uid="{D06251F4-E680-4E6D-A005-7B9C4E5EA112}"/>
    <cellStyle name="Currency 5 2 4 2 3 2 3" xfId="11853" xr:uid="{B0BE1AE6-6BC7-430C-A0DD-AB7462C799FA}"/>
    <cellStyle name="Currency 5 2 4 2 3 2 4" xfId="20301" xr:uid="{A4233799-7A31-4E15-9A1E-64503E64B5BD}"/>
    <cellStyle name="Currency 5 2 4 2 3 3" xfId="5476" xr:uid="{00000000-0005-0000-0000-00002D0C0000}"/>
    <cellStyle name="Currency 5 2 4 2 3 3 2" xfId="13926" xr:uid="{FE3EEDC4-F177-4064-A91F-02790A225BE4}"/>
    <cellStyle name="Currency 5 2 4 2 3 3 3" xfId="22373" xr:uid="{B84CECF5-A1BD-4654-998F-97D87F23782F}"/>
    <cellStyle name="Currency 5 2 4 2 3 4" xfId="9708" xr:uid="{FAD6E95C-9919-474C-A453-D475A4901832}"/>
    <cellStyle name="Currency 5 2 4 2 3 5" xfId="18156" xr:uid="{173FC71B-D6FC-4844-B8AD-46B1CF116977}"/>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F4B80B81-4991-4863-A3EB-E4C366487BFE}"/>
    <cellStyle name="Currency 5 2 4 2 4 2 2 3" xfId="24931" xr:uid="{E01D7F73-1BC5-47C4-ACA2-99427D356215}"/>
    <cellStyle name="Currency 5 2 4 2 4 2 3" xfId="12266" xr:uid="{21D3AE35-9019-423C-9B1F-0C11AE7879FE}"/>
    <cellStyle name="Currency 5 2 4 2 4 2 4" xfId="20714" xr:uid="{6B5694A7-E435-4255-AF85-89A3E9C3C752}"/>
    <cellStyle name="Currency 5 2 4 2 4 3" xfId="5889" xr:uid="{00000000-0005-0000-0000-0000310C0000}"/>
    <cellStyle name="Currency 5 2 4 2 4 3 2" xfId="14339" xr:uid="{E36021A2-532F-4AA5-B90C-F58269F7B64C}"/>
    <cellStyle name="Currency 5 2 4 2 4 3 3" xfId="22786" xr:uid="{A4873E79-E6BD-4DCD-913C-4E83BFB9AC38}"/>
    <cellStyle name="Currency 5 2 4 2 4 4" xfId="10121" xr:uid="{97024782-0370-445B-8016-F5E4633206AF}"/>
    <cellStyle name="Currency 5 2 4 2 4 5" xfId="18569" xr:uid="{247CF56C-68E6-4484-9C06-28437CA14372}"/>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FA97838B-37B7-4985-9ADC-9B0663FDF8CE}"/>
    <cellStyle name="Currency 5 2 4 2 5 2 2 3" xfId="25344" xr:uid="{5BBBE4A5-0C15-484E-BEC5-DD615B03CA16}"/>
    <cellStyle name="Currency 5 2 4 2 5 2 3" xfId="12679" xr:uid="{343D3DE3-FE2A-4554-A94D-20B730F54C48}"/>
    <cellStyle name="Currency 5 2 4 2 5 2 4" xfId="21127" xr:uid="{27B18C70-263D-400E-9B94-38579A7CDCA5}"/>
    <cellStyle name="Currency 5 2 4 2 5 3" xfId="6302" xr:uid="{00000000-0005-0000-0000-0000350C0000}"/>
    <cellStyle name="Currency 5 2 4 2 5 3 2" xfId="14752" xr:uid="{0C59833F-C747-4EEB-A6E4-E2D1BC2584B5}"/>
    <cellStyle name="Currency 5 2 4 2 5 3 3" xfId="23199" xr:uid="{2E657F0C-C883-4833-9638-62C54DF98DEA}"/>
    <cellStyle name="Currency 5 2 4 2 5 4" xfId="10534" xr:uid="{ED1D929D-FD2F-4F50-8315-10610B1B4352}"/>
    <cellStyle name="Currency 5 2 4 2 5 5" xfId="18982" xr:uid="{1F364E3E-C993-44CA-94B9-EC82ECD87466}"/>
    <cellStyle name="Currency 5 2 4 2 6" xfId="2431" xr:uid="{00000000-0005-0000-0000-0000360C0000}"/>
    <cellStyle name="Currency 5 2 4 2 6 2" xfId="6715" xr:uid="{00000000-0005-0000-0000-0000370C0000}"/>
    <cellStyle name="Currency 5 2 4 2 6 2 2" xfId="15165" xr:uid="{3019F39A-BA87-406A-B4A7-E3394B32EEC2}"/>
    <cellStyle name="Currency 5 2 4 2 6 2 3" xfId="23612" xr:uid="{C2D9F6F4-1394-497B-9E20-36AF14BF4FDF}"/>
    <cellStyle name="Currency 5 2 4 2 6 3" xfId="10947" xr:uid="{63423CBA-1496-4E0B-B027-CC56B89A1F60}"/>
    <cellStyle name="Currency 5 2 4 2 6 4" xfId="19395" xr:uid="{6893FC6D-4227-4701-AF7E-68512BB1633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0A64E12C-B32A-4A57-ABE2-40E1208C38AD}"/>
    <cellStyle name="Currency 5 2 4 2 8 2 3" xfId="23929" xr:uid="{CA029F6D-798C-410E-A8D2-D4BD55ED8050}"/>
    <cellStyle name="Currency 5 2 4 2 8 3" xfId="11264" xr:uid="{6514A416-C1C8-49E9-B43D-E7CB23599AD1}"/>
    <cellStyle name="Currency 5 2 4 2 8 4" xfId="19712" xr:uid="{209ECAF8-5324-407B-8B2F-FCD7083ECDE0}"/>
    <cellStyle name="Currency 5 2 4 2 9" xfId="4649" xr:uid="{00000000-0005-0000-0000-00003B0C0000}"/>
    <cellStyle name="Currency 5 2 4 2 9 2" xfId="13099" xr:uid="{C0D13104-55E5-4E20-AEA8-8D79CD79C56B}"/>
    <cellStyle name="Currency 5 2 4 2 9 3" xfId="21546" xr:uid="{52F9FF34-4F41-43AD-8C01-B4D1B50DB4A4}"/>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11AB73A3-EAD0-4295-A4FA-E7CFA13CE61A}"/>
    <cellStyle name="Currency 5 2 4 3 2 2 3" xfId="24104" xr:uid="{564B2780-F109-4CB7-9C03-3F80DAED6C5A}"/>
    <cellStyle name="Currency 5 2 4 3 2 3" xfId="11439" xr:uid="{CF303108-DAD2-4CCE-9C79-3F421E1D6061}"/>
    <cellStyle name="Currency 5 2 4 3 2 4" xfId="19887" xr:uid="{E15E547A-B98E-41F1-B8A4-F4FBD7668C56}"/>
    <cellStyle name="Currency 5 2 4 3 3" xfId="5062" xr:uid="{00000000-0005-0000-0000-00003F0C0000}"/>
    <cellStyle name="Currency 5 2 4 3 3 2" xfId="13512" xr:uid="{94FA4D34-AB78-454A-8CFE-10F87FB00CD9}"/>
    <cellStyle name="Currency 5 2 4 3 3 3" xfId="21959" xr:uid="{C3A8D25F-FDDB-4863-B0F7-7043282F9614}"/>
    <cellStyle name="Currency 5 2 4 3 4" xfId="9294" xr:uid="{496CB4F6-64B4-4771-AF0E-367872B351D3}"/>
    <cellStyle name="Currency 5 2 4 3 5" xfId="17742" xr:uid="{5BA7E2B1-6E91-4065-B76C-8813E571964F}"/>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44963CBA-1619-432B-8A2D-A2AEBAE13598}"/>
    <cellStyle name="Currency 5 2 4 4 2 2 3" xfId="24517" xr:uid="{ABA696EF-534F-42E1-8A42-085E65DBB9A0}"/>
    <cellStyle name="Currency 5 2 4 4 2 3" xfId="11852" xr:uid="{1C697E1E-9B8D-4AD4-BDFC-4DFB4DD507B7}"/>
    <cellStyle name="Currency 5 2 4 4 2 4" xfId="20300" xr:uid="{D9251F60-4E52-4157-8257-40A40F9F00A2}"/>
    <cellStyle name="Currency 5 2 4 4 3" xfId="5475" xr:uid="{00000000-0005-0000-0000-0000430C0000}"/>
    <cellStyle name="Currency 5 2 4 4 3 2" xfId="13925" xr:uid="{7BD2B4A9-87EF-4AB2-BA65-F250EB8C2D17}"/>
    <cellStyle name="Currency 5 2 4 4 3 3" xfId="22372" xr:uid="{F9995F7C-3B1A-46DF-8FEC-C8F284FC0CD6}"/>
    <cellStyle name="Currency 5 2 4 4 4" xfId="9707" xr:uid="{B7E1A9BC-5DF6-438C-BA2F-02FA9EBD438D}"/>
    <cellStyle name="Currency 5 2 4 4 5" xfId="18155" xr:uid="{FDD527FF-F912-4F5B-BD58-B30870E5E82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9D7C4FFE-AB31-4CD9-BE81-183029C8075E}"/>
    <cellStyle name="Currency 5 2 4 5 2 2 3" xfId="24930" xr:uid="{3EE14B09-B681-41FB-AA6B-8B21C96EB171}"/>
    <cellStyle name="Currency 5 2 4 5 2 3" xfId="12265" xr:uid="{E998C907-8B7A-44BC-998D-FAB221FE1D11}"/>
    <cellStyle name="Currency 5 2 4 5 2 4" xfId="20713" xr:uid="{F51B2837-6953-44AD-8F5F-21CCC0A9467D}"/>
    <cellStyle name="Currency 5 2 4 5 3" xfId="5888" xr:uid="{00000000-0005-0000-0000-0000470C0000}"/>
    <cellStyle name="Currency 5 2 4 5 3 2" xfId="14338" xr:uid="{72F718A2-CE76-4013-807E-AD8AFF9235FC}"/>
    <cellStyle name="Currency 5 2 4 5 3 3" xfId="22785" xr:uid="{2B856FD0-F8CD-4F63-9FD6-7958A6582F75}"/>
    <cellStyle name="Currency 5 2 4 5 4" xfId="10120" xr:uid="{8AC19C74-8204-40B9-BFE0-99CE8FFA403A}"/>
    <cellStyle name="Currency 5 2 4 5 5" xfId="18568" xr:uid="{7DC07B0E-19DF-4F27-B7C3-77DBEC1AA5A1}"/>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BE8D28CC-376A-4A4E-9CCC-22A672007AAA}"/>
    <cellStyle name="Currency 5 2 4 6 2 2 3" xfId="25343" xr:uid="{F16C31BB-1206-44FA-BED9-AA33EC378A7E}"/>
    <cellStyle name="Currency 5 2 4 6 2 3" xfId="12678" xr:uid="{8E099491-FFB3-4C4C-84D2-6032296F5EB5}"/>
    <cellStyle name="Currency 5 2 4 6 2 4" xfId="21126" xr:uid="{08EE2283-D635-49A0-BB8A-AAA296ED6B8F}"/>
    <cellStyle name="Currency 5 2 4 6 3" xfId="6301" xr:uid="{00000000-0005-0000-0000-00004B0C0000}"/>
    <cellStyle name="Currency 5 2 4 6 3 2" xfId="14751" xr:uid="{151D9654-E2EA-4579-B32E-6260CC570B5A}"/>
    <cellStyle name="Currency 5 2 4 6 3 3" xfId="23198" xr:uid="{0B456455-C69A-4C5A-BBD8-7E4CB74646D7}"/>
    <cellStyle name="Currency 5 2 4 6 4" xfId="10533" xr:uid="{CB7F25E6-D46A-421A-A183-C3D9E1CBE348}"/>
    <cellStyle name="Currency 5 2 4 6 5" xfId="18981" xr:uid="{CDE18EAE-3308-4129-A141-0FCE33FD5D73}"/>
    <cellStyle name="Currency 5 2 4 7" xfId="2430" xr:uid="{00000000-0005-0000-0000-00004C0C0000}"/>
    <cellStyle name="Currency 5 2 4 7 2" xfId="6714" xr:uid="{00000000-0005-0000-0000-00004D0C0000}"/>
    <cellStyle name="Currency 5 2 4 7 2 2" xfId="15164" xr:uid="{CF033C5F-260E-4B50-A088-DF2F70FDFBEB}"/>
    <cellStyle name="Currency 5 2 4 7 2 3" xfId="23611" xr:uid="{93C1A67E-FD8C-4554-9898-D5E004BCAE9C}"/>
    <cellStyle name="Currency 5 2 4 7 3" xfId="10946" xr:uid="{FB40D30F-E87C-46E2-BCE2-14B6C21D16C7}"/>
    <cellStyle name="Currency 5 2 4 7 4" xfId="19394" xr:uid="{882901AF-1140-442C-8E27-10C5AB25B105}"/>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53203651-9955-4F97-8708-F9C1A1BC7D7B}"/>
    <cellStyle name="Currency 5 2 4 9 2 3" xfId="23928" xr:uid="{19214348-6D04-4AE5-8F26-A385C6CB6EE4}"/>
    <cellStyle name="Currency 5 2 4 9 3" xfId="11263" xr:uid="{81DA2626-E6C8-4704-A76C-1389FB3CB499}"/>
    <cellStyle name="Currency 5 2 4 9 4" xfId="19711" xr:uid="{1E3FE388-4843-4E38-B50F-F18A03990E0F}"/>
    <cellStyle name="Currency 5 2 5" xfId="207" xr:uid="{00000000-0005-0000-0000-0000510C0000}"/>
    <cellStyle name="Currency 5 2 5 10" xfId="8882" xr:uid="{3B63BAF9-69E6-4DAB-B22D-303794DEE5DF}"/>
    <cellStyle name="Currency 5 2 5 11" xfId="17330" xr:uid="{A71FBCFC-E1F6-45E7-98A7-A40DA7A943AB}"/>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76709E1E-A8FE-4634-9CFA-FC2B12DAE785}"/>
    <cellStyle name="Currency 5 2 5 2 2 2 3" xfId="24106" xr:uid="{EF98EFA8-1183-4E32-8320-7D720CEE86DF}"/>
    <cellStyle name="Currency 5 2 5 2 2 3" xfId="11441" xr:uid="{7BA3EE46-0553-4653-92E6-82623F7B6415}"/>
    <cellStyle name="Currency 5 2 5 2 2 4" xfId="19889" xr:uid="{82AECC72-2105-453B-9199-F9C2E2885DA9}"/>
    <cellStyle name="Currency 5 2 5 2 3" xfId="5064" xr:uid="{00000000-0005-0000-0000-0000550C0000}"/>
    <cellStyle name="Currency 5 2 5 2 3 2" xfId="13514" xr:uid="{60ED60CB-94DB-498D-87D1-4E26BA73F220}"/>
    <cellStyle name="Currency 5 2 5 2 3 3" xfId="21961" xr:uid="{FF5DF13F-B083-49D7-89F9-929B45557B5B}"/>
    <cellStyle name="Currency 5 2 5 2 4" xfId="9296" xr:uid="{3019215D-2561-4B6D-9042-4840CE994AE8}"/>
    <cellStyle name="Currency 5 2 5 2 5" xfId="17744" xr:uid="{282E08ED-731E-4C3C-A369-6949FBC28E8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BFB66C0F-AF1A-4D91-A2C1-708A971B5B01}"/>
    <cellStyle name="Currency 5 2 5 3 2 2 3" xfId="24519" xr:uid="{60286D85-197E-41D1-A1D5-F786BF791FA2}"/>
    <cellStyle name="Currency 5 2 5 3 2 3" xfId="11854" xr:uid="{102EAB7A-48EF-4034-B1FC-24F24B12508A}"/>
    <cellStyle name="Currency 5 2 5 3 2 4" xfId="20302" xr:uid="{EA777449-AC09-4916-846D-9234A4878943}"/>
    <cellStyle name="Currency 5 2 5 3 3" xfId="5477" xr:uid="{00000000-0005-0000-0000-0000590C0000}"/>
    <cellStyle name="Currency 5 2 5 3 3 2" xfId="13927" xr:uid="{D6C8882E-8A04-48B5-B9BF-36B18275BEDE}"/>
    <cellStyle name="Currency 5 2 5 3 3 3" xfId="22374" xr:uid="{E121C825-E766-49D2-8464-28A42FDA99D8}"/>
    <cellStyle name="Currency 5 2 5 3 4" xfId="9709" xr:uid="{9D3AC66E-0150-44AC-BC6E-FABF171D92B2}"/>
    <cellStyle name="Currency 5 2 5 3 5" xfId="18157" xr:uid="{FF938E61-3411-4F52-862B-60DF3FB9C7E5}"/>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ABF37210-0796-4202-AC1A-E8DDA6D25622}"/>
    <cellStyle name="Currency 5 2 5 4 2 2 3" xfId="24932" xr:uid="{27724270-2A89-4036-9A2C-361981B2D590}"/>
    <cellStyle name="Currency 5 2 5 4 2 3" xfId="12267" xr:uid="{F7E86A9D-9E23-4370-AD82-7C603DA4B5D8}"/>
    <cellStyle name="Currency 5 2 5 4 2 4" xfId="20715" xr:uid="{F7381BD9-8D63-4602-B355-4B4F435710D5}"/>
    <cellStyle name="Currency 5 2 5 4 3" xfId="5890" xr:uid="{00000000-0005-0000-0000-00005D0C0000}"/>
    <cellStyle name="Currency 5 2 5 4 3 2" xfId="14340" xr:uid="{555DED2A-BD9B-410E-BEC8-3D2D2F580A44}"/>
    <cellStyle name="Currency 5 2 5 4 3 3" xfId="22787" xr:uid="{FD907143-9345-4D71-80F3-E940B67432B9}"/>
    <cellStyle name="Currency 5 2 5 4 4" xfId="10122" xr:uid="{40EB295E-BB51-4399-BD69-312BACAD17E4}"/>
    <cellStyle name="Currency 5 2 5 4 5" xfId="18570" xr:uid="{525A12C6-C5B0-4D97-8CEC-A75B59B077C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B78C478A-8B69-48EA-A672-D1C5FE64232D}"/>
    <cellStyle name="Currency 5 2 5 5 2 2 3" xfId="25345" xr:uid="{651E3B52-AE63-43F1-945B-F3CCBF6112C4}"/>
    <cellStyle name="Currency 5 2 5 5 2 3" xfId="12680" xr:uid="{6C393284-F7E2-4E0C-BA94-CDEDBBA7399D}"/>
    <cellStyle name="Currency 5 2 5 5 2 4" xfId="21128" xr:uid="{4A6ABC42-90A7-4B21-82CB-D2036477E7A0}"/>
    <cellStyle name="Currency 5 2 5 5 3" xfId="6303" xr:uid="{00000000-0005-0000-0000-0000610C0000}"/>
    <cellStyle name="Currency 5 2 5 5 3 2" xfId="14753" xr:uid="{5EA75473-3505-4E47-847A-25BF870B4901}"/>
    <cellStyle name="Currency 5 2 5 5 3 3" xfId="23200" xr:uid="{9E4BABBB-CAB5-4272-9BAD-0FA2FC1FD170}"/>
    <cellStyle name="Currency 5 2 5 5 4" xfId="10535" xr:uid="{656D8E3C-2788-42C5-9F4D-C867DA6D7329}"/>
    <cellStyle name="Currency 5 2 5 5 5" xfId="18983" xr:uid="{5D09608C-BCE6-4F6A-BFFD-07B5C97B91A0}"/>
    <cellStyle name="Currency 5 2 5 6" xfId="2432" xr:uid="{00000000-0005-0000-0000-0000620C0000}"/>
    <cellStyle name="Currency 5 2 5 6 2" xfId="6716" xr:uid="{00000000-0005-0000-0000-0000630C0000}"/>
    <cellStyle name="Currency 5 2 5 6 2 2" xfId="15166" xr:uid="{1089F9B6-A124-457C-9D32-6FF957CEFC64}"/>
    <cellStyle name="Currency 5 2 5 6 2 3" xfId="23613" xr:uid="{C33B7521-E66D-4DFC-8456-D2135B5DF212}"/>
    <cellStyle name="Currency 5 2 5 6 3" xfId="10948" xr:uid="{CF456447-CD19-4F47-A9F8-67416782F117}"/>
    <cellStyle name="Currency 5 2 5 6 4" xfId="19396" xr:uid="{232098D1-2142-4C50-8CA1-19057D70C940}"/>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5937EA6C-20F1-4DFB-A8CD-E85A11D91533}"/>
    <cellStyle name="Currency 5 2 5 8 2 3" xfId="23930" xr:uid="{552AB0B2-49A8-438F-AD6E-54C227F54154}"/>
    <cellStyle name="Currency 5 2 5 8 3" xfId="11265" xr:uid="{F4DE6E96-84C4-44AB-8B28-67BC8A0FD23B}"/>
    <cellStyle name="Currency 5 2 5 8 4" xfId="19713" xr:uid="{67AFE38C-38E2-47BB-928A-113E91399704}"/>
    <cellStyle name="Currency 5 2 5 9" xfId="4650" xr:uid="{00000000-0005-0000-0000-0000670C0000}"/>
    <cellStyle name="Currency 5 2 5 9 2" xfId="13100" xr:uid="{1F9F529F-A746-482E-B9A5-FABF8ACFE7D3}"/>
    <cellStyle name="Currency 5 2 5 9 3" xfId="21547" xr:uid="{8EB614B2-63BE-400F-8CC3-DDF277B2D7BB}"/>
    <cellStyle name="Currency 5 2 6" xfId="208" xr:uid="{00000000-0005-0000-0000-0000680C0000}"/>
    <cellStyle name="Currency 5 2 6 10" xfId="8883" xr:uid="{5BA1B893-D1A5-4CC2-A579-92780B498591}"/>
    <cellStyle name="Currency 5 2 6 11" xfId="17331" xr:uid="{A1AB3C27-8475-4ACE-9130-7133C049B60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113229C2-6E3F-4300-8CCB-0683759945C0}"/>
    <cellStyle name="Currency 5 2 6 2 2 2 3" xfId="24107" xr:uid="{F816C0A2-8DFC-40C3-8CA4-BA5EE6A01B7F}"/>
    <cellStyle name="Currency 5 2 6 2 2 3" xfId="11442" xr:uid="{FFB642AC-64A6-442B-B3D8-0E04DB23E613}"/>
    <cellStyle name="Currency 5 2 6 2 2 4" xfId="19890" xr:uid="{ACA4D7D4-F36F-4393-9791-117874E4485A}"/>
    <cellStyle name="Currency 5 2 6 2 3" xfId="5065" xr:uid="{00000000-0005-0000-0000-00006C0C0000}"/>
    <cellStyle name="Currency 5 2 6 2 3 2" xfId="13515" xr:uid="{44069DD1-7DC8-4ECF-99F3-1C8B316DCA2C}"/>
    <cellStyle name="Currency 5 2 6 2 3 3" xfId="21962" xr:uid="{90689F6F-C7DE-4EB5-BB94-16238D8F38AC}"/>
    <cellStyle name="Currency 5 2 6 2 4" xfId="9297" xr:uid="{C33B4D66-B7EC-4127-BF8D-F1F55634B24D}"/>
    <cellStyle name="Currency 5 2 6 2 5" xfId="17745" xr:uid="{BD82586D-2EFC-4405-B44A-62A2A881BB9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24E68438-654F-4181-B92F-A11C796CC88D}"/>
    <cellStyle name="Currency 5 2 6 3 2 2 3" xfId="24520" xr:uid="{CD9996F0-899F-439F-B0D3-77C972BD2768}"/>
    <cellStyle name="Currency 5 2 6 3 2 3" xfId="11855" xr:uid="{F6BD9590-B37C-47F4-8516-7DF83DB57BDD}"/>
    <cellStyle name="Currency 5 2 6 3 2 4" xfId="20303" xr:uid="{8DD87CBE-2FE3-48DC-AAD3-7BD9224E0D6D}"/>
    <cellStyle name="Currency 5 2 6 3 3" xfId="5478" xr:uid="{00000000-0005-0000-0000-0000700C0000}"/>
    <cellStyle name="Currency 5 2 6 3 3 2" xfId="13928" xr:uid="{B61B143F-D8B5-4984-8763-B35AB2872AF9}"/>
    <cellStyle name="Currency 5 2 6 3 3 3" xfId="22375" xr:uid="{A95961D0-4C80-4BA6-B3F3-9F2FFD2B4BD5}"/>
    <cellStyle name="Currency 5 2 6 3 4" xfId="9710" xr:uid="{CB0DCD6A-606F-450C-8E78-B118A1676AA7}"/>
    <cellStyle name="Currency 5 2 6 3 5" xfId="18158" xr:uid="{7CD58CE9-B23D-4FEC-A490-BDECF50E7EA7}"/>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9C489CC6-348C-46B5-BCD2-97C81CCA71D5}"/>
    <cellStyle name="Currency 5 2 6 4 2 2 3" xfId="24933" xr:uid="{BE6BD743-B6DC-4343-86B1-9A2606758E39}"/>
    <cellStyle name="Currency 5 2 6 4 2 3" xfId="12268" xr:uid="{B984C015-2E3F-46A7-A954-7EE60A727E84}"/>
    <cellStyle name="Currency 5 2 6 4 2 4" xfId="20716" xr:uid="{C4BD3168-772A-4D4C-8288-0386E431E632}"/>
    <cellStyle name="Currency 5 2 6 4 3" xfId="5891" xr:uid="{00000000-0005-0000-0000-0000740C0000}"/>
    <cellStyle name="Currency 5 2 6 4 3 2" xfId="14341" xr:uid="{9ECA592B-6321-468D-9959-AF661AC4F48E}"/>
    <cellStyle name="Currency 5 2 6 4 3 3" xfId="22788" xr:uid="{A701F973-1725-4AE5-80D6-DFF68C1CB13F}"/>
    <cellStyle name="Currency 5 2 6 4 4" xfId="10123" xr:uid="{23690B55-CBC2-492F-BE52-B2537DF877AC}"/>
    <cellStyle name="Currency 5 2 6 4 5" xfId="18571" xr:uid="{54DBF810-CAEE-4771-A046-10111968B29C}"/>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93459F07-99CF-406B-86A5-C10F344042E6}"/>
    <cellStyle name="Currency 5 2 6 5 2 2 3" xfId="25346" xr:uid="{2E2519ED-5604-4A48-9D77-81EFC8327372}"/>
    <cellStyle name="Currency 5 2 6 5 2 3" xfId="12681" xr:uid="{0038E372-39B6-402D-933C-DE887DD1455B}"/>
    <cellStyle name="Currency 5 2 6 5 2 4" xfId="21129" xr:uid="{0F11F4C7-E480-4EF9-BC13-B33FA7719A3E}"/>
    <cellStyle name="Currency 5 2 6 5 3" xfId="6304" xr:uid="{00000000-0005-0000-0000-0000780C0000}"/>
    <cellStyle name="Currency 5 2 6 5 3 2" xfId="14754" xr:uid="{4CFD027F-875C-4ED0-9768-93B79317AF50}"/>
    <cellStyle name="Currency 5 2 6 5 3 3" xfId="23201" xr:uid="{208933A9-FF0C-48DF-A6A1-5136076661AA}"/>
    <cellStyle name="Currency 5 2 6 5 4" xfId="10536" xr:uid="{E856FAB7-520D-4271-B2AE-824DB3479581}"/>
    <cellStyle name="Currency 5 2 6 5 5" xfId="18984" xr:uid="{D2E37150-92C7-4A9A-B367-C75181297A0F}"/>
    <cellStyle name="Currency 5 2 6 6" xfId="2433" xr:uid="{00000000-0005-0000-0000-0000790C0000}"/>
    <cellStyle name="Currency 5 2 6 6 2" xfId="6717" xr:uid="{00000000-0005-0000-0000-00007A0C0000}"/>
    <cellStyle name="Currency 5 2 6 6 2 2" xfId="15167" xr:uid="{870215FA-4FB9-4DB6-8122-AEA7F14F75D5}"/>
    <cellStyle name="Currency 5 2 6 6 2 3" xfId="23614" xr:uid="{A4D22680-428F-4AA4-A340-7E7F47C2C220}"/>
    <cellStyle name="Currency 5 2 6 6 3" xfId="10949" xr:uid="{B7B7CC1F-16DC-44AD-825E-1D08469604C9}"/>
    <cellStyle name="Currency 5 2 6 6 4" xfId="19397" xr:uid="{1491F658-51C5-4BB6-9C23-2EA00E9733E3}"/>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06C7FB80-8F65-446C-A64C-513D54D920D4}"/>
    <cellStyle name="Currency 5 2 6 8 2 3" xfId="23931" xr:uid="{26D99A80-1DCD-42BF-A2AC-C616F84A3D9D}"/>
    <cellStyle name="Currency 5 2 6 8 3" xfId="11266" xr:uid="{B1714CCD-2E21-454A-BA5B-88A4963DCD6C}"/>
    <cellStyle name="Currency 5 2 6 8 4" xfId="19714" xr:uid="{69AC84F0-13C2-4A16-8F66-E48BB72A166C}"/>
    <cellStyle name="Currency 5 2 6 9" xfId="4651" xr:uid="{00000000-0005-0000-0000-00007E0C0000}"/>
    <cellStyle name="Currency 5 2 6 9 2" xfId="13101" xr:uid="{A41F03D3-B139-4D69-A578-755A1B6AD0F0}"/>
    <cellStyle name="Currency 5 2 6 9 3" xfId="21548" xr:uid="{38F3E336-D188-4580-9BF0-59D171777BE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1E74BBE7-38E4-465B-838D-E83EB057BCEC}"/>
    <cellStyle name="Currency 5 3 2 10 2 3" xfId="23932" xr:uid="{44A5580F-E58B-4CD4-A9EC-B591228C0BCE}"/>
    <cellStyle name="Currency 5 3 2 10 3" xfId="11267" xr:uid="{42236C97-3158-419E-8A53-02D039730615}"/>
    <cellStyle name="Currency 5 3 2 10 4" xfId="19715" xr:uid="{CC17D285-9816-428F-A710-C16C6CEB5792}"/>
    <cellStyle name="Currency 5 3 2 11" xfId="4652" xr:uid="{00000000-0005-0000-0000-0000840C0000}"/>
    <cellStyle name="Currency 5 3 2 11 2" xfId="13102" xr:uid="{1F251C12-9334-454C-B03B-85E7D3885F28}"/>
    <cellStyle name="Currency 5 3 2 11 3" xfId="21549" xr:uid="{0FD79704-50A0-4ECC-8594-DB1C02A21A77}"/>
    <cellStyle name="Currency 5 3 2 12" xfId="8884" xr:uid="{050FD7E8-AEE6-45EA-A0D3-3BA583B28424}"/>
    <cellStyle name="Currency 5 3 2 13" xfId="17332" xr:uid="{54034D3B-4596-462B-A185-04E966085D08}"/>
    <cellStyle name="Currency 5 3 2 2" xfId="211" xr:uid="{00000000-0005-0000-0000-0000850C0000}"/>
    <cellStyle name="Currency 5 3 2 2 10" xfId="4653" xr:uid="{00000000-0005-0000-0000-0000860C0000}"/>
    <cellStyle name="Currency 5 3 2 2 10 2" xfId="13103" xr:uid="{04CFFCA8-ABE3-441C-ABB3-0EA53F6980A9}"/>
    <cellStyle name="Currency 5 3 2 2 10 3" xfId="21550" xr:uid="{68672242-3515-4362-8CB5-B533E1C57270}"/>
    <cellStyle name="Currency 5 3 2 2 11" xfId="8885" xr:uid="{2115B374-2818-4073-B703-951E07325B13}"/>
    <cellStyle name="Currency 5 3 2 2 12" xfId="17333" xr:uid="{A1018ADA-4E2C-4AEC-A335-061F1C13CBBD}"/>
    <cellStyle name="Currency 5 3 2 2 2" xfId="212" xr:uid="{00000000-0005-0000-0000-0000870C0000}"/>
    <cellStyle name="Currency 5 3 2 2 2 10" xfId="8886" xr:uid="{1CBF7D9F-2348-4340-9D34-122F8C0F5E60}"/>
    <cellStyle name="Currency 5 3 2 2 2 11" xfId="17334" xr:uid="{8E6D46E1-98FE-4D6D-840C-29BC3A09D099}"/>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F2A4176F-9CF4-4B71-A590-657060D5388C}"/>
    <cellStyle name="Currency 5 3 2 2 2 2 2 2 3" xfId="24110" xr:uid="{0F60B8C7-A59F-48A9-A387-4457C0DE2ED3}"/>
    <cellStyle name="Currency 5 3 2 2 2 2 2 3" xfId="11445" xr:uid="{B104E55C-9FA5-4F26-962C-621B9EDC1BF3}"/>
    <cellStyle name="Currency 5 3 2 2 2 2 2 4" xfId="19893" xr:uid="{6B9CB2F3-62AA-449A-8612-6486C309DD5D}"/>
    <cellStyle name="Currency 5 3 2 2 2 2 3" xfId="5068" xr:uid="{00000000-0005-0000-0000-00008B0C0000}"/>
    <cellStyle name="Currency 5 3 2 2 2 2 3 2" xfId="13518" xr:uid="{D1DEED45-AEE6-42E3-BBB3-68CBF8055F2B}"/>
    <cellStyle name="Currency 5 3 2 2 2 2 3 3" xfId="21965" xr:uid="{00EB15D0-8B79-40FC-9A9D-C99FE52DDCE2}"/>
    <cellStyle name="Currency 5 3 2 2 2 2 4" xfId="9300" xr:uid="{EB9A1F54-57DD-4A4C-94FB-6772FEA5E2FA}"/>
    <cellStyle name="Currency 5 3 2 2 2 2 5" xfId="17748" xr:uid="{4962A8BB-45AD-4160-9D20-67EE8A24D351}"/>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F65554BD-F3E8-4499-8CBA-9EE2C1305975}"/>
    <cellStyle name="Currency 5 3 2 2 2 3 2 2 3" xfId="24523" xr:uid="{EBB04DB0-7872-4CF5-B5D9-97243F36B414}"/>
    <cellStyle name="Currency 5 3 2 2 2 3 2 3" xfId="11858" xr:uid="{D3F30D49-BF98-4B52-A829-131AC70414C2}"/>
    <cellStyle name="Currency 5 3 2 2 2 3 2 4" xfId="20306" xr:uid="{EA7B5B3C-696C-4E21-BAB7-FCC2C838E86E}"/>
    <cellStyle name="Currency 5 3 2 2 2 3 3" xfId="5481" xr:uid="{00000000-0005-0000-0000-00008F0C0000}"/>
    <cellStyle name="Currency 5 3 2 2 2 3 3 2" xfId="13931" xr:uid="{F9B73F2F-FF20-484D-AF35-AE60EAA767BF}"/>
    <cellStyle name="Currency 5 3 2 2 2 3 3 3" xfId="22378" xr:uid="{64DE516F-96A3-4EA2-9254-3E05C602DAF4}"/>
    <cellStyle name="Currency 5 3 2 2 2 3 4" xfId="9713" xr:uid="{5A08E854-DDAA-4E02-81DC-2CBD3D4D71A3}"/>
    <cellStyle name="Currency 5 3 2 2 2 3 5" xfId="18161" xr:uid="{FA4C030B-8878-4D23-BBA6-FED87191C9E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13E4C419-6499-4D2D-A863-007872845973}"/>
    <cellStyle name="Currency 5 3 2 2 2 4 2 2 3" xfId="24936" xr:uid="{19914C9F-4768-4453-80FA-D275EAFF56C2}"/>
    <cellStyle name="Currency 5 3 2 2 2 4 2 3" xfId="12271" xr:uid="{E2C1E432-B315-4EFC-92C7-A7893E5D0D63}"/>
    <cellStyle name="Currency 5 3 2 2 2 4 2 4" xfId="20719" xr:uid="{5EB69EA4-0C07-4A1E-8B57-417B1ABED255}"/>
    <cellStyle name="Currency 5 3 2 2 2 4 3" xfId="5894" xr:uid="{00000000-0005-0000-0000-0000930C0000}"/>
    <cellStyle name="Currency 5 3 2 2 2 4 3 2" xfId="14344" xr:uid="{7777257F-DA06-43AE-BA9F-FD690BE9B17A}"/>
    <cellStyle name="Currency 5 3 2 2 2 4 3 3" xfId="22791" xr:uid="{633E22BD-3CDB-4E44-8511-3C215223A727}"/>
    <cellStyle name="Currency 5 3 2 2 2 4 4" xfId="10126" xr:uid="{A15780F0-BEE6-4DAD-B643-091B9C56821B}"/>
    <cellStyle name="Currency 5 3 2 2 2 4 5" xfId="18574" xr:uid="{3D1EF43F-69E2-4F9F-9849-859C253694F8}"/>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9C1B461C-8706-45A7-98DD-F5854A06576F}"/>
    <cellStyle name="Currency 5 3 2 2 2 5 2 2 3" xfId="25349" xr:uid="{5478B1BB-F649-4DE0-AE61-DF6B40A5CEA3}"/>
    <cellStyle name="Currency 5 3 2 2 2 5 2 3" xfId="12684" xr:uid="{3B4F2037-EB8F-4679-B2DE-F2623288C95C}"/>
    <cellStyle name="Currency 5 3 2 2 2 5 2 4" xfId="21132" xr:uid="{3D499B08-0B91-4C9E-B300-EE5D56408E9C}"/>
    <cellStyle name="Currency 5 3 2 2 2 5 3" xfId="6307" xr:uid="{00000000-0005-0000-0000-0000970C0000}"/>
    <cellStyle name="Currency 5 3 2 2 2 5 3 2" xfId="14757" xr:uid="{C0663475-007B-40F6-AB35-CE22BAA02279}"/>
    <cellStyle name="Currency 5 3 2 2 2 5 3 3" xfId="23204" xr:uid="{9D6217F8-8C60-4639-9BFE-C7537AA5F2B3}"/>
    <cellStyle name="Currency 5 3 2 2 2 5 4" xfId="10539" xr:uid="{69C2B7F9-3D03-4EAC-BC7C-917D33BEC14F}"/>
    <cellStyle name="Currency 5 3 2 2 2 5 5" xfId="18987" xr:uid="{A5ACE187-35E6-4E89-BFFC-473B7CE79609}"/>
    <cellStyle name="Currency 5 3 2 2 2 6" xfId="2436" xr:uid="{00000000-0005-0000-0000-0000980C0000}"/>
    <cellStyle name="Currency 5 3 2 2 2 6 2" xfId="6720" xr:uid="{00000000-0005-0000-0000-0000990C0000}"/>
    <cellStyle name="Currency 5 3 2 2 2 6 2 2" xfId="15170" xr:uid="{175EC634-B968-4017-94B6-91DED4260FB8}"/>
    <cellStyle name="Currency 5 3 2 2 2 6 2 3" xfId="23617" xr:uid="{5EFAED9D-6028-4F43-8CA1-1842B5CA5BAB}"/>
    <cellStyle name="Currency 5 3 2 2 2 6 3" xfId="10952" xr:uid="{1B7B1CAC-FAE7-463D-A532-4FA1666DA166}"/>
    <cellStyle name="Currency 5 3 2 2 2 6 4" xfId="19400" xr:uid="{F818E7CB-F5BC-48F5-9C03-72B48E50E465}"/>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2AD76175-5D36-44BE-9C13-13F78B938951}"/>
    <cellStyle name="Currency 5 3 2 2 2 8 2 3" xfId="23934" xr:uid="{885E2A87-1358-4E22-8409-0C8F86D0C8DA}"/>
    <cellStyle name="Currency 5 3 2 2 2 8 3" xfId="11269" xr:uid="{702B2DC7-1AEA-4D4F-97FC-82C1F27DFA60}"/>
    <cellStyle name="Currency 5 3 2 2 2 8 4" xfId="19717" xr:uid="{641934E8-942C-4481-81DE-7AEF23AAA2BD}"/>
    <cellStyle name="Currency 5 3 2 2 2 9" xfId="4654" xr:uid="{00000000-0005-0000-0000-00009D0C0000}"/>
    <cellStyle name="Currency 5 3 2 2 2 9 2" xfId="13104" xr:uid="{FD529497-F25C-4FD1-B6F2-F4A77DA0A999}"/>
    <cellStyle name="Currency 5 3 2 2 2 9 3" xfId="21551" xr:uid="{5D1EAB4F-B6E1-4EED-9B8C-0488236CD3D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38D47B44-9C70-4D05-B427-A8DF7E6A4F42}"/>
    <cellStyle name="Currency 5 3 2 2 3 2 2 3" xfId="24109" xr:uid="{6EBE9DCE-FAA2-4CC4-B51D-BEC993D7F56D}"/>
    <cellStyle name="Currency 5 3 2 2 3 2 3" xfId="11444" xr:uid="{EFBA6F43-8D6D-4B86-A63A-6B6CA8E85226}"/>
    <cellStyle name="Currency 5 3 2 2 3 2 4" xfId="19892" xr:uid="{C1C0C5A2-0D07-44F1-B4F4-6E4279469177}"/>
    <cellStyle name="Currency 5 3 2 2 3 3" xfId="5067" xr:uid="{00000000-0005-0000-0000-0000A10C0000}"/>
    <cellStyle name="Currency 5 3 2 2 3 3 2" xfId="13517" xr:uid="{C2D340B1-0A01-4273-9137-D9EAB4D8DD57}"/>
    <cellStyle name="Currency 5 3 2 2 3 3 3" xfId="21964" xr:uid="{BFC58142-1329-46A0-9954-61B196F9DB93}"/>
    <cellStyle name="Currency 5 3 2 2 3 4" xfId="9299" xr:uid="{F53C513F-B826-4583-BC33-FD42E3D887B3}"/>
    <cellStyle name="Currency 5 3 2 2 3 5" xfId="17747" xr:uid="{B2582ACC-903B-4AC8-9219-6CF02B71709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CF08E103-C13B-4A74-BA0A-AC85EFFF6C47}"/>
    <cellStyle name="Currency 5 3 2 2 4 2 2 3" xfId="24522" xr:uid="{96F0B255-E7B3-4365-A2DF-B76CD9D17CDF}"/>
    <cellStyle name="Currency 5 3 2 2 4 2 3" xfId="11857" xr:uid="{C746D3EC-00BD-4AEB-92F7-774A8E0C2255}"/>
    <cellStyle name="Currency 5 3 2 2 4 2 4" xfId="20305" xr:uid="{C15C8E0A-5A92-4DD2-A613-184F6FDD6DA8}"/>
    <cellStyle name="Currency 5 3 2 2 4 3" xfId="5480" xr:uid="{00000000-0005-0000-0000-0000A50C0000}"/>
    <cellStyle name="Currency 5 3 2 2 4 3 2" xfId="13930" xr:uid="{8B267A67-1CF9-479F-9E04-0190F0EFD239}"/>
    <cellStyle name="Currency 5 3 2 2 4 3 3" xfId="22377" xr:uid="{EDC3AFB5-B052-420B-B123-89A4DC21B085}"/>
    <cellStyle name="Currency 5 3 2 2 4 4" xfId="9712" xr:uid="{1C99F598-C94A-4DEA-BCAB-A9F6AB92C59D}"/>
    <cellStyle name="Currency 5 3 2 2 4 5" xfId="18160" xr:uid="{B726347F-CA29-404E-8494-1F02EFF9FAE8}"/>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277B97A2-2CDF-4B1D-9EF5-850A69305686}"/>
    <cellStyle name="Currency 5 3 2 2 5 2 2 3" xfId="24935" xr:uid="{6BF7A438-BD36-4623-AB15-264F9F2E0DCD}"/>
    <cellStyle name="Currency 5 3 2 2 5 2 3" xfId="12270" xr:uid="{B752DD7F-84C2-4820-BBB3-6820EC365B28}"/>
    <cellStyle name="Currency 5 3 2 2 5 2 4" xfId="20718" xr:uid="{A9399320-831A-4571-B03F-458FCDE579FC}"/>
    <cellStyle name="Currency 5 3 2 2 5 3" xfId="5893" xr:uid="{00000000-0005-0000-0000-0000A90C0000}"/>
    <cellStyle name="Currency 5 3 2 2 5 3 2" xfId="14343" xr:uid="{2971475B-B520-452D-96EF-E4E385100EE2}"/>
    <cellStyle name="Currency 5 3 2 2 5 3 3" xfId="22790" xr:uid="{5ED5E530-81A9-459D-9F01-3E8ACE62339F}"/>
    <cellStyle name="Currency 5 3 2 2 5 4" xfId="10125" xr:uid="{40885BA9-FA01-4205-ACD1-A4ECD4C8EF6D}"/>
    <cellStyle name="Currency 5 3 2 2 5 5" xfId="18573" xr:uid="{8D2F4398-0245-471F-80B8-49F32D8BC22B}"/>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54A41E07-36CD-4AD7-A3B6-0157F75D60D0}"/>
    <cellStyle name="Currency 5 3 2 2 6 2 2 3" xfId="25348" xr:uid="{82042017-67BF-49A1-9F4D-4C07C4514D64}"/>
    <cellStyle name="Currency 5 3 2 2 6 2 3" xfId="12683" xr:uid="{FCB81208-4AE0-4015-96B2-7C6B46E068B8}"/>
    <cellStyle name="Currency 5 3 2 2 6 2 4" xfId="21131" xr:uid="{A0780D20-9D9D-4FEC-B735-15F6CCCB8792}"/>
    <cellStyle name="Currency 5 3 2 2 6 3" xfId="6306" xr:uid="{00000000-0005-0000-0000-0000AD0C0000}"/>
    <cellStyle name="Currency 5 3 2 2 6 3 2" xfId="14756" xr:uid="{1E69031A-775C-4A63-834E-97FF423BFD74}"/>
    <cellStyle name="Currency 5 3 2 2 6 3 3" xfId="23203" xr:uid="{194933BD-AD38-4BED-A56D-30CC27C58260}"/>
    <cellStyle name="Currency 5 3 2 2 6 4" xfId="10538" xr:uid="{465CB327-2DFC-411E-9CE3-608BBF2730D4}"/>
    <cellStyle name="Currency 5 3 2 2 6 5" xfId="18986" xr:uid="{21E5D1FF-FFF9-4401-B1D6-C5811F47A4A7}"/>
    <cellStyle name="Currency 5 3 2 2 7" xfId="2435" xr:uid="{00000000-0005-0000-0000-0000AE0C0000}"/>
    <cellStyle name="Currency 5 3 2 2 7 2" xfId="6719" xr:uid="{00000000-0005-0000-0000-0000AF0C0000}"/>
    <cellStyle name="Currency 5 3 2 2 7 2 2" xfId="15169" xr:uid="{46A1B49A-A657-48DB-A5B9-A9D68CA30D31}"/>
    <cellStyle name="Currency 5 3 2 2 7 2 3" xfId="23616" xr:uid="{00238859-42DF-414A-AC2E-24E3D879B91D}"/>
    <cellStyle name="Currency 5 3 2 2 7 3" xfId="10951" xr:uid="{8FDF4EFD-7399-4888-947A-FA5E0DF21008}"/>
    <cellStyle name="Currency 5 3 2 2 7 4" xfId="19399" xr:uid="{95D05E58-8C27-4B47-941F-8B005FD0C66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36DAB664-FBA2-4A18-9B25-3865DEF1B83C}"/>
    <cellStyle name="Currency 5 3 2 2 9 2 3" xfId="23933" xr:uid="{B94E1933-7C57-42C4-9537-827965D1EAA4}"/>
    <cellStyle name="Currency 5 3 2 2 9 3" xfId="11268" xr:uid="{D72E1C89-FA7A-4355-9A7E-3D8E248D2005}"/>
    <cellStyle name="Currency 5 3 2 2 9 4" xfId="19716" xr:uid="{042871B3-77B8-4432-8801-11B21DE79A55}"/>
    <cellStyle name="Currency 5 3 2 3" xfId="213" xr:uid="{00000000-0005-0000-0000-0000B30C0000}"/>
    <cellStyle name="Currency 5 3 2 3 10" xfId="8887" xr:uid="{6F19B607-7E5C-46AE-A0C7-9319458F32E0}"/>
    <cellStyle name="Currency 5 3 2 3 11" xfId="17335" xr:uid="{241ECC33-0273-4268-B405-2E682AEC1506}"/>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0C3C73C4-7387-4D06-967A-A41DDE75CAC9}"/>
    <cellStyle name="Currency 5 3 2 3 2 2 2 3" xfId="24111" xr:uid="{413C4A2C-6F3D-4CEF-BC6B-9A629C8F9A9D}"/>
    <cellStyle name="Currency 5 3 2 3 2 2 3" xfId="11446" xr:uid="{45A4AD27-07C4-4E57-AA5D-F46DDDF1B9A1}"/>
    <cellStyle name="Currency 5 3 2 3 2 2 4" xfId="19894" xr:uid="{3C7279CE-421A-4896-A38E-64E3C4BBEBEF}"/>
    <cellStyle name="Currency 5 3 2 3 2 3" xfId="5069" xr:uid="{00000000-0005-0000-0000-0000B70C0000}"/>
    <cellStyle name="Currency 5 3 2 3 2 3 2" xfId="13519" xr:uid="{515E46B9-E77D-4128-98F1-871C04F9D08F}"/>
    <cellStyle name="Currency 5 3 2 3 2 3 3" xfId="21966" xr:uid="{D4229427-A07C-43E6-B714-6FB5AB0ED6FF}"/>
    <cellStyle name="Currency 5 3 2 3 2 4" xfId="9301" xr:uid="{F51132D9-AE83-4730-9C7D-9041B069E05F}"/>
    <cellStyle name="Currency 5 3 2 3 2 5" xfId="17749" xr:uid="{D77913D4-BC44-4214-8B10-3CA917B7385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EEFFBE81-A8DA-4A81-9654-331EF9AEC2DE}"/>
    <cellStyle name="Currency 5 3 2 3 3 2 2 3" xfId="24524" xr:uid="{63F11C23-3828-4399-884A-87902BAF3CF0}"/>
    <cellStyle name="Currency 5 3 2 3 3 2 3" xfId="11859" xr:uid="{6B981436-0EC8-41B5-98CD-C22164DF97A8}"/>
    <cellStyle name="Currency 5 3 2 3 3 2 4" xfId="20307" xr:uid="{3ABF551A-5705-4553-94D8-959329F3C7C2}"/>
    <cellStyle name="Currency 5 3 2 3 3 3" xfId="5482" xr:uid="{00000000-0005-0000-0000-0000BB0C0000}"/>
    <cellStyle name="Currency 5 3 2 3 3 3 2" xfId="13932" xr:uid="{F44D594C-BD61-4D9F-BFD9-2E443807CFB0}"/>
    <cellStyle name="Currency 5 3 2 3 3 3 3" xfId="22379" xr:uid="{E0733341-F7A2-441D-BBCF-AD148DC7E9E1}"/>
    <cellStyle name="Currency 5 3 2 3 3 4" xfId="9714" xr:uid="{0CA2DF2E-1EC3-4CA7-A8FD-91C6DC946E27}"/>
    <cellStyle name="Currency 5 3 2 3 3 5" xfId="18162" xr:uid="{6C005576-4C6E-4DE5-B62D-28C5D4669A92}"/>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24B63FAA-FA6C-484C-AB15-98A15D6C837D}"/>
    <cellStyle name="Currency 5 3 2 3 4 2 2 3" xfId="24937" xr:uid="{91B1B8A7-25C0-41AB-8C9A-BF0263660604}"/>
    <cellStyle name="Currency 5 3 2 3 4 2 3" xfId="12272" xr:uid="{993416BC-26A5-4A44-8D2A-F60AC249CCE1}"/>
    <cellStyle name="Currency 5 3 2 3 4 2 4" xfId="20720" xr:uid="{4F8CB908-6DBE-4B2D-9796-B1DA631BB862}"/>
    <cellStyle name="Currency 5 3 2 3 4 3" xfId="5895" xr:uid="{00000000-0005-0000-0000-0000BF0C0000}"/>
    <cellStyle name="Currency 5 3 2 3 4 3 2" xfId="14345" xr:uid="{958D44B6-8950-41E6-B7AB-82A8A8C3B179}"/>
    <cellStyle name="Currency 5 3 2 3 4 3 3" xfId="22792" xr:uid="{DF9D0392-5BC5-4A70-A556-CC7EF827A2FA}"/>
    <cellStyle name="Currency 5 3 2 3 4 4" xfId="10127" xr:uid="{2E66ECB3-EE9F-4991-BEC9-39FA5A782F6D}"/>
    <cellStyle name="Currency 5 3 2 3 4 5" xfId="18575" xr:uid="{089C758B-37FE-4450-9787-64CC9CC1011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8B05ACCE-57C0-437C-990B-FD6BE2E43B45}"/>
    <cellStyle name="Currency 5 3 2 3 5 2 2 3" xfId="25350" xr:uid="{F715EE6D-A168-4EF1-A8A5-02FCC9763DCB}"/>
    <cellStyle name="Currency 5 3 2 3 5 2 3" xfId="12685" xr:uid="{C940106A-F35A-418E-AEB0-4633641F9C88}"/>
    <cellStyle name="Currency 5 3 2 3 5 2 4" xfId="21133" xr:uid="{2558702A-C383-4AA8-A0BE-5321983107AB}"/>
    <cellStyle name="Currency 5 3 2 3 5 3" xfId="6308" xr:uid="{00000000-0005-0000-0000-0000C30C0000}"/>
    <cellStyle name="Currency 5 3 2 3 5 3 2" xfId="14758" xr:uid="{01725CDA-C90D-4EF6-8386-BDA20BEE105B}"/>
    <cellStyle name="Currency 5 3 2 3 5 3 3" xfId="23205" xr:uid="{0857880D-64B3-449C-8C28-10245E16BCD9}"/>
    <cellStyle name="Currency 5 3 2 3 5 4" xfId="10540" xr:uid="{4E08CDFA-B3E1-4D43-A6B7-6B8E45E7F461}"/>
    <cellStyle name="Currency 5 3 2 3 5 5" xfId="18988" xr:uid="{1BD84DB0-03E5-44C0-B515-29D5D32C9ECC}"/>
    <cellStyle name="Currency 5 3 2 3 6" xfId="2437" xr:uid="{00000000-0005-0000-0000-0000C40C0000}"/>
    <cellStyle name="Currency 5 3 2 3 6 2" xfId="6721" xr:uid="{00000000-0005-0000-0000-0000C50C0000}"/>
    <cellStyle name="Currency 5 3 2 3 6 2 2" xfId="15171" xr:uid="{0FEECABC-4D8A-4F55-87C8-0EE1A5965F27}"/>
    <cellStyle name="Currency 5 3 2 3 6 2 3" xfId="23618" xr:uid="{65FC7198-0865-446B-9450-A397968015CD}"/>
    <cellStyle name="Currency 5 3 2 3 6 3" xfId="10953" xr:uid="{9F3237D5-756A-4C06-A924-258B9265A1B0}"/>
    <cellStyle name="Currency 5 3 2 3 6 4" xfId="19401" xr:uid="{5BF61C55-BF5F-4CDC-BDE4-23F48D7316B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27AF1E0A-77CE-4BFF-96D2-C27255FAD5C2}"/>
    <cellStyle name="Currency 5 3 2 3 8 2 3" xfId="23935" xr:uid="{95C94F09-0A93-41D2-9991-7A1ECCF403A7}"/>
    <cellStyle name="Currency 5 3 2 3 8 3" xfId="11270" xr:uid="{0BAA6076-01B3-4558-8A2D-729898AAA7C6}"/>
    <cellStyle name="Currency 5 3 2 3 8 4" xfId="19718" xr:uid="{5B7EB193-C57C-486A-84CA-250F704D28B4}"/>
    <cellStyle name="Currency 5 3 2 3 9" xfId="4655" xr:uid="{00000000-0005-0000-0000-0000C90C0000}"/>
    <cellStyle name="Currency 5 3 2 3 9 2" xfId="13105" xr:uid="{2ECBD55A-5377-444B-B311-88C2C8E96562}"/>
    <cellStyle name="Currency 5 3 2 3 9 3" xfId="21552" xr:uid="{C89040BC-B893-402D-A1B2-68935D2F9C45}"/>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52B7A911-9729-4248-8B6B-1CD8B6A0C9DF}"/>
    <cellStyle name="Currency 5 3 2 4 2 2 3" xfId="24108" xr:uid="{EA7C18C0-352D-42F7-811E-F0650B7719A3}"/>
    <cellStyle name="Currency 5 3 2 4 2 3" xfId="11443" xr:uid="{B89B0C11-EFC8-4F96-93FF-854184AA2B0C}"/>
    <cellStyle name="Currency 5 3 2 4 2 4" xfId="19891" xr:uid="{929470F3-AA79-4998-9D5A-11592C69FCE3}"/>
    <cellStyle name="Currency 5 3 2 4 3" xfId="5066" xr:uid="{00000000-0005-0000-0000-0000CD0C0000}"/>
    <cellStyle name="Currency 5 3 2 4 3 2" xfId="13516" xr:uid="{0A56B326-D8A5-493D-B9E8-F46E059FB1FB}"/>
    <cellStyle name="Currency 5 3 2 4 3 3" xfId="21963" xr:uid="{945F7107-E0C7-413E-B518-998181B30805}"/>
    <cellStyle name="Currency 5 3 2 4 4" xfId="9298" xr:uid="{F23BC52C-A7AC-4B15-87B1-37055FE3493E}"/>
    <cellStyle name="Currency 5 3 2 4 5" xfId="17746" xr:uid="{74CE70C2-CA08-4980-813C-F204D384C7B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B4AE1676-77D1-4C97-996C-A15A5ECE751B}"/>
    <cellStyle name="Currency 5 3 2 5 2 2 3" xfId="24521" xr:uid="{D2E94A62-2413-4660-B86A-4170DAC269F5}"/>
    <cellStyle name="Currency 5 3 2 5 2 3" xfId="11856" xr:uid="{0320F28E-087D-4D02-A570-F8277702FBED}"/>
    <cellStyle name="Currency 5 3 2 5 2 4" xfId="20304" xr:uid="{4300EBA7-8AC4-493A-84E8-E63AAF705DF7}"/>
    <cellStyle name="Currency 5 3 2 5 3" xfId="5479" xr:uid="{00000000-0005-0000-0000-0000D10C0000}"/>
    <cellStyle name="Currency 5 3 2 5 3 2" xfId="13929" xr:uid="{263278F5-831E-49BA-94AB-1C4EE05C07F2}"/>
    <cellStyle name="Currency 5 3 2 5 3 3" xfId="22376" xr:uid="{09078504-D24F-4C32-BB9E-DC7A193D6A0E}"/>
    <cellStyle name="Currency 5 3 2 5 4" xfId="9711" xr:uid="{76376191-42E0-4649-8C44-822CBC106DD1}"/>
    <cellStyle name="Currency 5 3 2 5 5" xfId="18159" xr:uid="{3C3BCBAC-F11B-4F8F-A777-CA3A639D483D}"/>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48D4F921-09C6-417D-B417-506DF4CF805F}"/>
    <cellStyle name="Currency 5 3 2 6 2 2 3" xfId="24934" xr:uid="{AAEF62C7-99E9-4F11-BE5E-559E5A7062ED}"/>
    <cellStyle name="Currency 5 3 2 6 2 3" xfId="12269" xr:uid="{D9DD4F01-215E-4536-9360-A6182F7B2D83}"/>
    <cellStyle name="Currency 5 3 2 6 2 4" xfId="20717" xr:uid="{6FCD28F6-F17B-44B2-AA52-15A3D9261482}"/>
    <cellStyle name="Currency 5 3 2 6 3" xfId="5892" xr:uid="{00000000-0005-0000-0000-0000D50C0000}"/>
    <cellStyle name="Currency 5 3 2 6 3 2" xfId="14342" xr:uid="{4B4B725F-AA81-4098-B5CE-4A6370350C7B}"/>
    <cellStyle name="Currency 5 3 2 6 3 3" xfId="22789" xr:uid="{99E79C54-B64D-4E2A-ABC9-8557E6CE8D7C}"/>
    <cellStyle name="Currency 5 3 2 6 4" xfId="10124" xr:uid="{890C0079-CCAD-45CE-9DEB-EC2836989A2A}"/>
    <cellStyle name="Currency 5 3 2 6 5" xfId="18572" xr:uid="{BF5E4580-85C7-4859-8125-6DF990B4CFF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A582F9E2-69AD-4BBB-A33C-3F4A24ECD5BC}"/>
    <cellStyle name="Currency 5 3 2 7 2 2 3" xfId="25347" xr:uid="{A0B31270-2BC8-4812-A335-A077DCDD9E68}"/>
    <cellStyle name="Currency 5 3 2 7 2 3" xfId="12682" xr:uid="{B942D839-5EEA-4E75-9A74-9E4F3FE2734D}"/>
    <cellStyle name="Currency 5 3 2 7 2 4" xfId="21130" xr:uid="{DB363E61-72E5-44D1-8C6D-8119A01476FE}"/>
    <cellStyle name="Currency 5 3 2 7 3" xfId="6305" xr:uid="{00000000-0005-0000-0000-0000D90C0000}"/>
    <cellStyle name="Currency 5 3 2 7 3 2" xfId="14755" xr:uid="{578AE86D-3F4B-44F6-82F9-0C30DA087C1A}"/>
    <cellStyle name="Currency 5 3 2 7 3 3" xfId="23202" xr:uid="{05A1C54A-3C65-4320-9638-EFCB66140343}"/>
    <cellStyle name="Currency 5 3 2 7 4" xfId="10537" xr:uid="{D8B15891-295D-4FC1-9DC7-67EE7EC53AC7}"/>
    <cellStyle name="Currency 5 3 2 7 5" xfId="18985" xr:uid="{CD05D085-E1B3-4A9B-9C52-0AEF01F9D1EB}"/>
    <cellStyle name="Currency 5 3 2 8" xfId="2434" xr:uid="{00000000-0005-0000-0000-0000DA0C0000}"/>
    <cellStyle name="Currency 5 3 2 8 2" xfId="6718" xr:uid="{00000000-0005-0000-0000-0000DB0C0000}"/>
    <cellStyle name="Currency 5 3 2 8 2 2" xfId="15168" xr:uid="{096E01E3-43E5-4216-B371-D68DF9575EF7}"/>
    <cellStyle name="Currency 5 3 2 8 2 3" xfId="23615" xr:uid="{56D7D58E-433B-42C0-9655-FAF1F3F8E84F}"/>
    <cellStyle name="Currency 5 3 2 8 3" xfId="10950" xr:uid="{42246DBF-DB55-4084-8BEF-D1F78B598AA0}"/>
    <cellStyle name="Currency 5 3 2 8 4" xfId="19398" xr:uid="{D9EB24BD-4065-4A60-867C-1987D835E673}"/>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1D3C00C9-9156-4D39-AABD-FA782602DAD1}"/>
    <cellStyle name="Currency 5 3 3 10 3" xfId="21553" xr:uid="{7FBC9710-48AC-444C-8B94-DB4F51D491F4}"/>
    <cellStyle name="Currency 5 3 3 11" xfId="8888" xr:uid="{664B68D1-D2E3-4F6A-9718-E427A4E0D760}"/>
    <cellStyle name="Currency 5 3 3 12" xfId="17336" xr:uid="{4CAD0342-AD26-483C-927B-E849FA740EDA}"/>
    <cellStyle name="Currency 5 3 3 2" xfId="215" xr:uid="{00000000-0005-0000-0000-0000DF0C0000}"/>
    <cellStyle name="Currency 5 3 3 2 10" xfId="8889" xr:uid="{D6577BF5-2471-44AA-BEBF-F47F701030B9}"/>
    <cellStyle name="Currency 5 3 3 2 11" xfId="17337" xr:uid="{A8A035EC-FE24-4F8F-8B6A-0FF943C2D31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BEE0346A-9D5E-4BE0-B68B-E1FB708080EA}"/>
    <cellStyle name="Currency 5 3 3 2 2 2 2 3" xfId="24113" xr:uid="{DF3F6E08-7123-425A-B881-DDFA5EF10509}"/>
    <cellStyle name="Currency 5 3 3 2 2 2 3" xfId="11448" xr:uid="{84A7E147-B62A-443F-9F37-80DB6E40B22A}"/>
    <cellStyle name="Currency 5 3 3 2 2 2 4" xfId="19896" xr:uid="{823B6E0B-1F36-4C9E-BD64-79FE37DEF547}"/>
    <cellStyle name="Currency 5 3 3 2 2 3" xfId="5071" xr:uid="{00000000-0005-0000-0000-0000E30C0000}"/>
    <cellStyle name="Currency 5 3 3 2 2 3 2" xfId="13521" xr:uid="{4A646FB7-14B3-4B0B-BFC5-D2FA8C8B86CE}"/>
    <cellStyle name="Currency 5 3 3 2 2 3 3" xfId="21968" xr:uid="{0EDD6132-F11C-4717-999F-558E465CDA0E}"/>
    <cellStyle name="Currency 5 3 3 2 2 4" xfId="9303" xr:uid="{9179A817-CCCF-4EC2-85FC-F950103D4DA6}"/>
    <cellStyle name="Currency 5 3 3 2 2 5" xfId="17751" xr:uid="{2BA67939-B24E-436B-BCD4-4C596BDA782D}"/>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CE4EA236-C7A1-4808-8BFF-DAC7DDE5A733}"/>
    <cellStyle name="Currency 5 3 3 2 3 2 2 3" xfId="24526" xr:uid="{EAABEA02-96F8-456F-9CA8-3D009F58E942}"/>
    <cellStyle name="Currency 5 3 3 2 3 2 3" xfId="11861" xr:uid="{6BBFD3C5-F040-41E5-9796-35B8A82BFB09}"/>
    <cellStyle name="Currency 5 3 3 2 3 2 4" xfId="20309" xr:uid="{0B29DBC1-6EF9-4811-A22E-8B3CB69F3C27}"/>
    <cellStyle name="Currency 5 3 3 2 3 3" xfId="5484" xr:uid="{00000000-0005-0000-0000-0000E70C0000}"/>
    <cellStyle name="Currency 5 3 3 2 3 3 2" xfId="13934" xr:uid="{41C6D2C8-489E-4628-B87A-94426DA1E490}"/>
    <cellStyle name="Currency 5 3 3 2 3 3 3" xfId="22381" xr:uid="{3FF726DE-F1C1-485E-A414-6829B4D7316F}"/>
    <cellStyle name="Currency 5 3 3 2 3 4" xfId="9716" xr:uid="{9D4DC10E-2E59-4604-B54E-CA9F5520048F}"/>
    <cellStyle name="Currency 5 3 3 2 3 5" xfId="18164" xr:uid="{EBF364CC-C7E7-492F-87BA-82E18BA6916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051552A-EA99-43EA-99D1-C7F0D850C736}"/>
    <cellStyle name="Currency 5 3 3 2 4 2 2 3" xfId="24939" xr:uid="{3D55A894-B5BD-4230-85EF-9A34FC63DF92}"/>
    <cellStyle name="Currency 5 3 3 2 4 2 3" xfId="12274" xr:uid="{F61532C5-22C9-45DB-9702-1A186FB19775}"/>
    <cellStyle name="Currency 5 3 3 2 4 2 4" xfId="20722" xr:uid="{2180DB2F-7F12-40F4-927E-19590D3BFF33}"/>
    <cellStyle name="Currency 5 3 3 2 4 3" xfId="5897" xr:uid="{00000000-0005-0000-0000-0000EB0C0000}"/>
    <cellStyle name="Currency 5 3 3 2 4 3 2" xfId="14347" xr:uid="{A7F0F116-7D43-4AB4-801A-1E38D1CF1407}"/>
    <cellStyle name="Currency 5 3 3 2 4 3 3" xfId="22794" xr:uid="{B8679966-C00F-4B45-823C-815F4DADBCAD}"/>
    <cellStyle name="Currency 5 3 3 2 4 4" xfId="10129" xr:uid="{0012F118-4BA0-4885-B5E7-6C644DF7238E}"/>
    <cellStyle name="Currency 5 3 3 2 4 5" xfId="18577" xr:uid="{7FAD443E-8B4C-4890-B6FC-1BED3D87AEB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7D95128E-FCFB-44E0-BA2A-A7A3C796AE9B}"/>
    <cellStyle name="Currency 5 3 3 2 5 2 2 3" xfId="25352" xr:uid="{FA267B13-4B00-4929-9201-F9812E34EA68}"/>
    <cellStyle name="Currency 5 3 3 2 5 2 3" xfId="12687" xr:uid="{74BBAC72-3572-4486-A1E6-0850BE44D54F}"/>
    <cellStyle name="Currency 5 3 3 2 5 2 4" xfId="21135" xr:uid="{37304A02-5733-4C39-8293-0E1C68D6FFB8}"/>
    <cellStyle name="Currency 5 3 3 2 5 3" xfId="6310" xr:uid="{00000000-0005-0000-0000-0000EF0C0000}"/>
    <cellStyle name="Currency 5 3 3 2 5 3 2" xfId="14760" xr:uid="{9D8B376A-2E9E-4AEA-8908-9156C74B9ADF}"/>
    <cellStyle name="Currency 5 3 3 2 5 3 3" xfId="23207" xr:uid="{8120BA66-F6C4-4DE5-A638-AD15577DEAD1}"/>
    <cellStyle name="Currency 5 3 3 2 5 4" xfId="10542" xr:uid="{1E86A142-F23A-43DE-B081-951C0EE9609B}"/>
    <cellStyle name="Currency 5 3 3 2 5 5" xfId="18990" xr:uid="{BCF80DCC-3C94-4ADF-88CF-2061860F428F}"/>
    <cellStyle name="Currency 5 3 3 2 6" xfId="2439" xr:uid="{00000000-0005-0000-0000-0000F00C0000}"/>
    <cellStyle name="Currency 5 3 3 2 6 2" xfId="6723" xr:uid="{00000000-0005-0000-0000-0000F10C0000}"/>
    <cellStyle name="Currency 5 3 3 2 6 2 2" xfId="15173" xr:uid="{E89A1EA3-683C-42EE-B9E6-010DFBDD6795}"/>
    <cellStyle name="Currency 5 3 3 2 6 2 3" xfId="23620" xr:uid="{BD67C051-E805-4FEB-91A4-95FCC626C757}"/>
    <cellStyle name="Currency 5 3 3 2 6 3" xfId="10955" xr:uid="{74319A48-E412-4503-BC15-3A7BCB6B7A89}"/>
    <cellStyle name="Currency 5 3 3 2 6 4" xfId="19403" xr:uid="{3EEDFFE8-D678-4F46-9A38-B73F63E5C846}"/>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6604AED9-4C18-45A1-B665-D8909713C2B9}"/>
    <cellStyle name="Currency 5 3 3 2 8 2 3" xfId="23937" xr:uid="{3B8450B3-2168-43CB-8D08-F6F2F67D940F}"/>
    <cellStyle name="Currency 5 3 3 2 8 3" xfId="11272" xr:uid="{109CF77E-2246-4D52-8B8D-52D22C75D268}"/>
    <cellStyle name="Currency 5 3 3 2 8 4" xfId="19720" xr:uid="{D22FAB2B-CCD3-47D1-AEE2-FA703813BA1C}"/>
    <cellStyle name="Currency 5 3 3 2 9" xfId="4657" xr:uid="{00000000-0005-0000-0000-0000F50C0000}"/>
    <cellStyle name="Currency 5 3 3 2 9 2" xfId="13107" xr:uid="{C012C2D1-EFB0-42DC-A7EA-B5B676EB253A}"/>
    <cellStyle name="Currency 5 3 3 2 9 3" xfId="21554" xr:uid="{A85C030F-C16E-414F-B530-ADBD536FF928}"/>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15EEE0D0-5410-482F-B2FC-1DED5590131D}"/>
    <cellStyle name="Currency 5 3 3 3 2 2 3" xfId="24112" xr:uid="{60D6DEAE-36B3-482B-A802-12B5CAE2D732}"/>
    <cellStyle name="Currency 5 3 3 3 2 3" xfId="11447" xr:uid="{3EF093E6-1618-4914-95CF-24DF5154E137}"/>
    <cellStyle name="Currency 5 3 3 3 2 4" xfId="19895" xr:uid="{7F467523-F890-4B64-BF98-8B2ED39288C9}"/>
    <cellStyle name="Currency 5 3 3 3 3" xfId="5070" xr:uid="{00000000-0005-0000-0000-0000F90C0000}"/>
    <cellStyle name="Currency 5 3 3 3 3 2" xfId="13520" xr:uid="{D2836F07-DF86-450E-8F58-FE7FDF7EB440}"/>
    <cellStyle name="Currency 5 3 3 3 3 3" xfId="21967" xr:uid="{D35D1C92-B1A5-4BAA-8DD6-C539A576B739}"/>
    <cellStyle name="Currency 5 3 3 3 4" xfId="9302" xr:uid="{39926F0A-16F7-4680-8F7E-0ADFB30D8765}"/>
    <cellStyle name="Currency 5 3 3 3 5" xfId="17750" xr:uid="{51EB809E-F27E-4C1D-B247-D70B8F024C3E}"/>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C6116CC8-1A0B-4971-A41C-42162EA337D6}"/>
    <cellStyle name="Currency 5 3 3 4 2 2 3" xfId="24525" xr:uid="{AB4B2033-7C8D-41C8-98B1-1625E348B578}"/>
    <cellStyle name="Currency 5 3 3 4 2 3" xfId="11860" xr:uid="{CFA5BC37-CA89-4C07-8AA9-41AC4350AA40}"/>
    <cellStyle name="Currency 5 3 3 4 2 4" xfId="20308" xr:uid="{9155B2CE-961F-4862-A868-2821A571C8DA}"/>
    <cellStyle name="Currency 5 3 3 4 3" xfId="5483" xr:uid="{00000000-0005-0000-0000-0000FD0C0000}"/>
    <cellStyle name="Currency 5 3 3 4 3 2" xfId="13933" xr:uid="{F88524E8-3E8C-4B86-B379-67E334279156}"/>
    <cellStyle name="Currency 5 3 3 4 3 3" xfId="22380" xr:uid="{0D3D2EE9-0A7C-4EC1-AA23-2CC9376F2CD7}"/>
    <cellStyle name="Currency 5 3 3 4 4" xfId="9715" xr:uid="{28560D9E-49D8-4C42-9896-F9064D3571F7}"/>
    <cellStyle name="Currency 5 3 3 4 5" xfId="18163" xr:uid="{BE46FDC7-1AB5-4A79-B278-F01D2526576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63B08CC8-F5C5-4E4F-A8A5-C0A0ADECA9FC}"/>
    <cellStyle name="Currency 5 3 3 5 2 2 3" xfId="24938" xr:uid="{20C7D810-0FE0-4ED7-B550-0CE0294C1471}"/>
    <cellStyle name="Currency 5 3 3 5 2 3" xfId="12273" xr:uid="{1EFA1685-519E-41D3-ACD5-796AA9C67D43}"/>
    <cellStyle name="Currency 5 3 3 5 2 4" xfId="20721" xr:uid="{1306DAC9-CF52-4C6B-BFC4-90162EEF38B4}"/>
    <cellStyle name="Currency 5 3 3 5 3" xfId="5896" xr:uid="{00000000-0005-0000-0000-0000010D0000}"/>
    <cellStyle name="Currency 5 3 3 5 3 2" xfId="14346" xr:uid="{6DC0625E-7CDD-45C9-B841-B3893AAAE2C6}"/>
    <cellStyle name="Currency 5 3 3 5 3 3" xfId="22793" xr:uid="{76FE6D70-9D24-4D38-80A4-686B7E5749DC}"/>
    <cellStyle name="Currency 5 3 3 5 4" xfId="10128" xr:uid="{44B2DEA5-7A8F-458D-8DF8-E0977A94240F}"/>
    <cellStyle name="Currency 5 3 3 5 5" xfId="18576" xr:uid="{7B853B8A-2C0B-4C47-9EF5-3782C842146D}"/>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341EC6C8-1C5C-47DA-A02F-6CED55E1F4A8}"/>
    <cellStyle name="Currency 5 3 3 6 2 2 3" xfId="25351" xr:uid="{5BF2DDAC-CF81-4277-BFDB-136DC5A4A362}"/>
    <cellStyle name="Currency 5 3 3 6 2 3" xfId="12686" xr:uid="{A9A5CD94-903B-4E85-826C-B6A9BB083575}"/>
    <cellStyle name="Currency 5 3 3 6 2 4" xfId="21134" xr:uid="{5262AC85-D73E-4B87-9EC6-0F671E40F6E3}"/>
    <cellStyle name="Currency 5 3 3 6 3" xfId="6309" xr:uid="{00000000-0005-0000-0000-0000050D0000}"/>
    <cellStyle name="Currency 5 3 3 6 3 2" xfId="14759" xr:uid="{9F7029F9-3E3D-454B-88B9-392F1E29A868}"/>
    <cellStyle name="Currency 5 3 3 6 3 3" xfId="23206" xr:uid="{B2395798-F231-4F2F-A31A-51BD71CEE599}"/>
    <cellStyle name="Currency 5 3 3 6 4" xfId="10541" xr:uid="{026176C0-6B46-4AB6-91CF-A43B7DA19946}"/>
    <cellStyle name="Currency 5 3 3 6 5" xfId="18989" xr:uid="{F6E51930-F0B1-409A-B114-44EC9A3E361F}"/>
    <cellStyle name="Currency 5 3 3 7" xfId="2438" xr:uid="{00000000-0005-0000-0000-0000060D0000}"/>
    <cellStyle name="Currency 5 3 3 7 2" xfId="6722" xr:uid="{00000000-0005-0000-0000-0000070D0000}"/>
    <cellStyle name="Currency 5 3 3 7 2 2" xfId="15172" xr:uid="{7603FEAD-CB43-45D8-89D6-F26298EAE981}"/>
    <cellStyle name="Currency 5 3 3 7 2 3" xfId="23619" xr:uid="{F2C1FF6A-D445-4F17-AA97-9D8962C75356}"/>
    <cellStyle name="Currency 5 3 3 7 3" xfId="10954" xr:uid="{499BF3FA-052E-405C-B11C-AE7B4A341474}"/>
    <cellStyle name="Currency 5 3 3 7 4" xfId="19402" xr:uid="{2FAF3DFC-3BC4-42E7-A07C-C17BF2D8BB57}"/>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1EF98135-85E1-4078-B83C-6FDE226B8AD0}"/>
    <cellStyle name="Currency 5 3 3 9 2 3" xfId="23936" xr:uid="{972154C9-66A1-4678-B825-A8CC09870149}"/>
    <cellStyle name="Currency 5 3 3 9 3" xfId="11271" xr:uid="{EE72419C-9337-4379-9B4C-412E007CDE4E}"/>
    <cellStyle name="Currency 5 3 3 9 4" xfId="19719" xr:uid="{22EEA4E2-60F0-4DD6-8FE4-C7FCD7A54187}"/>
    <cellStyle name="Currency 5 3 4" xfId="216" xr:uid="{00000000-0005-0000-0000-00000B0D0000}"/>
    <cellStyle name="Currency 5 3 4 10" xfId="8890" xr:uid="{67F71201-EC23-499D-846E-47FA319BDE51}"/>
    <cellStyle name="Currency 5 3 4 11" xfId="17338" xr:uid="{2E3D5B01-3353-4125-8510-74A33779AAE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490947B8-FFC8-44BE-9531-8F28FBB3FA0E}"/>
    <cellStyle name="Currency 5 3 4 2 2 2 3" xfId="24114" xr:uid="{A0907E75-1A1F-480F-9252-6FF95C123AC7}"/>
    <cellStyle name="Currency 5 3 4 2 2 3" xfId="11449" xr:uid="{538BE3C6-D758-47B0-A6B2-23804A92048A}"/>
    <cellStyle name="Currency 5 3 4 2 2 4" xfId="19897" xr:uid="{6B886697-4E04-454D-93B1-FFDF63FD6BF6}"/>
    <cellStyle name="Currency 5 3 4 2 3" xfId="5072" xr:uid="{00000000-0005-0000-0000-00000F0D0000}"/>
    <cellStyle name="Currency 5 3 4 2 3 2" xfId="13522" xr:uid="{3654D6A5-2D8E-42E3-8F67-1C1C86F3FF05}"/>
    <cellStyle name="Currency 5 3 4 2 3 3" xfId="21969" xr:uid="{96B0D3F8-EE37-402D-B69C-A28C7EC1D562}"/>
    <cellStyle name="Currency 5 3 4 2 4" xfId="9304" xr:uid="{DA634713-DCB9-4215-8D0A-842D63ED2069}"/>
    <cellStyle name="Currency 5 3 4 2 5" xfId="17752" xr:uid="{1AF3FC37-9603-46B0-AA33-22775E13243E}"/>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588AEE19-9663-4630-936A-6258F0947EC7}"/>
    <cellStyle name="Currency 5 3 4 3 2 2 3" xfId="24527" xr:uid="{81AC2A48-A065-444F-AD86-2F24C6DBC5A1}"/>
    <cellStyle name="Currency 5 3 4 3 2 3" xfId="11862" xr:uid="{B4A11D6C-3B3C-4C3D-8CE3-1038A0F1982E}"/>
    <cellStyle name="Currency 5 3 4 3 2 4" xfId="20310" xr:uid="{8F78FCF7-667A-4298-B5CA-F0652CEFA5A4}"/>
    <cellStyle name="Currency 5 3 4 3 3" xfId="5485" xr:uid="{00000000-0005-0000-0000-0000130D0000}"/>
    <cellStyle name="Currency 5 3 4 3 3 2" xfId="13935" xr:uid="{97D7EF01-49D3-4E00-A6B2-08AF935D1718}"/>
    <cellStyle name="Currency 5 3 4 3 3 3" xfId="22382" xr:uid="{C137C229-EFA1-4F4C-A38F-789975F3D65E}"/>
    <cellStyle name="Currency 5 3 4 3 4" xfId="9717" xr:uid="{732E944C-9070-42BF-983E-46F3745B5802}"/>
    <cellStyle name="Currency 5 3 4 3 5" xfId="18165" xr:uid="{CC918FF5-92BF-46F4-836E-EAD1945B4F29}"/>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B2C4DDFA-8F49-4D67-9BE3-5BE304D5A0D5}"/>
    <cellStyle name="Currency 5 3 4 4 2 2 3" xfId="24940" xr:uid="{DE03891E-2C62-47D8-A6D4-3FEB7E62BE95}"/>
    <cellStyle name="Currency 5 3 4 4 2 3" xfId="12275" xr:uid="{19860B99-ED9D-4C3E-B924-0BFB6A382306}"/>
    <cellStyle name="Currency 5 3 4 4 2 4" xfId="20723" xr:uid="{2966DA34-D9A6-4D68-BA16-752F7DE152C6}"/>
    <cellStyle name="Currency 5 3 4 4 3" xfId="5898" xr:uid="{00000000-0005-0000-0000-0000170D0000}"/>
    <cellStyle name="Currency 5 3 4 4 3 2" xfId="14348" xr:uid="{817FA986-2107-4DDE-B398-E709911DF9BE}"/>
    <cellStyle name="Currency 5 3 4 4 3 3" xfId="22795" xr:uid="{D712FFF9-0AB2-49A1-84AB-FC89AA260103}"/>
    <cellStyle name="Currency 5 3 4 4 4" xfId="10130" xr:uid="{05F81F77-052A-45D5-9DCE-9F848536353E}"/>
    <cellStyle name="Currency 5 3 4 4 5" xfId="18578" xr:uid="{8B9E8122-2569-4F0F-B827-5D85B482F8AC}"/>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7AA4D184-9B0F-4DAD-9E4F-22F5DE8C95BA}"/>
    <cellStyle name="Currency 5 3 4 5 2 2 3" xfId="25353" xr:uid="{A2DEC1DA-4862-4B8E-B5E6-AA1D0E1C8196}"/>
    <cellStyle name="Currency 5 3 4 5 2 3" xfId="12688" xr:uid="{52931FD5-A517-4F16-865D-93A8901C385C}"/>
    <cellStyle name="Currency 5 3 4 5 2 4" xfId="21136" xr:uid="{CE4A97BD-FF6D-401F-AFC1-8A1CD4BA044A}"/>
    <cellStyle name="Currency 5 3 4 5 3" xfId="6311" xr:uid="{00000000-0005-0000-0000-00001B0D0000}"/>
    <cellStyle name="Currency 5 3 4 5 3 2" xfId="14761" xr:uid="{61E36DCE-C93C-4D47-ABAB-CDF6831EDE8F}"/>
    <cellStyle name="Currency 5 3 4 5 3 3" xfId="23208" xr:uid="{4AAF6DB1-021B-4B49-B0B7-9442039290E2}"/>
    <cellStyle name="Currency 5 3 4 5 4" xfId="10543" xr:uid="{7FE8D0A4-C25E-43A8-B2CB-210E73A2BC54}"/>
    <cellStyle name="Currency 5 3 4 5 5" xfId="18991" xr:uid="{9589C91E-BC7E-4391-B8CF-E312A01454F3}"/>
    <cellStyle name="Currency 5 3 4 6" xfId="2440" xr:uid="{00000000-0005-0000-0000-00001C0D0000}"/>
    <cellStyle name="Currency 5 3 4 6 2" xfId="6724" xr:uid="{00000000-0005-0000-0000-00001D0D0000}"/>
    <cellStyle name="Currency 5 3 4 6 2 2" xfId="15174" xr:uid="{B5741E5F-A6AA-49F5-908A-D460FF95AB9E}"/>
    <cellStyle name="Currency 5 3 4 6 2 3" xfId="23621" xr:uid="{5A4FF057-855A-4229-ACFD-E39C4DA91DC4}"/>
    <cellStyle name="Currency 5 3 4 6 3" xfId="10956" xr:uid="{E11496AE-9711-4497-AA68-9973FB0B3674}"/>
    <cellStyle name="Currency 5 3 4 6 4" xfId="19404" xr:uid="{1C79EC6D-C071-4868-80A2-AE6925500DF9}"/>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9AE2107F-B1C6-4240-B9BC-EDE13FDD8CA3}"/>
    <cellStyle name="Currency 5 3 4 8 2 3" xfId="23938" xr:uid="{7B30011E-C504-4369-9410-62C9621F8224}"/>
    <cellStyle name="Currency 5 3 4 8 3" xfId="11273" xr:uid="{F293F372-2774-42B6-8DF1-9B3DBD9AA609}"/>
    <cellStyle name="Currency 5 3 4 8 4" xfId="19721" xr:uid="{6A63F968-549F-4AA4-B26E-60715CE082F2}"/>
    <cellStyle name="Currency 5 3 4 9" xfId="4658" xr:uid="{00000000-0005-0000-0000-0000210D0000}"/>
    <cellStyle name="Currency 5 3 4 9 2" xfId="13108" xr:uid="{5726BBFA-D7EC-4FEA-9FEE-0F38BFB25438}"/>
    <cellStyle name="Currency 5 3 4 9 3" xfId="21555" xr:uid="{6F247ED1-F804-4270-9AE7-1B606073367A}"/>
    <cellStyle name="Currency 5 3 5" xfId="217" xr:uid="{00000000-0005-0000-0000-0000220D0000}"/>
    <cellStyle name="Currency 5 3 5 10" xfId="8891" xr:uid="{1AFEFDC4-C87D-4F9C-8E97-CE5007A9AB7A}"/>
    <cellStyle name="Currency 5 3 5 11" xfId="17339" xr:uid="{FBE59272-E55D-4A7C-BA48-EB3728499CE5}"/>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7487590F-37AD-4B65-8157-CAE8BCD74FCE}"/>
    <cellStyle name="Currency 5 3 5 2 2 2 3" xfId="24115" xr:uid="{9D8959C7-CA50-42C7-9332-F26A7815E865}"/>
    <cellStyle name="Currency 5 3 5 2 2 3" xfId="11450" xr:uid="{CDBB9F81-8033-49D6-9AD6-1E88B2CDC96B}"/>
    <cellStyle name="Currency 5 3 5 2 2 4" xfId="19898" xr:uid="{1F5ABA94-8A42-435E-8EE0-769925DD9C9A}"/>
    <cellStyle name="Currency 5 3 5 2 3" xfId="5073" xr:uid="{00000000-0005-0000-0000-0000260D0000}"/>
    <cellStyle name="Currency 5 3 5 2 3 2" xfId="13523" xr:uid="{E73016D9-E4AB-46DB-ABB3-166EDFDF05FE}"/>
    <cellStyle name="Currency 5 3 5 2 3 3" xfId="21970" xr:uid="{618E6EDB-5754-4A88-BB84-B5F181580CDA}"/>
    <cellStyle name="Currency 5 3 5 2 4" xfId="9305" xr:uid="{99B789AB-C9A1-42FE-AD61-D25F5379EAFA}"/>
    <cellStyle name="Currency 5 3 5 2 5" xfId="17753" xr:uid="{866CD6AB-370B-41A2-9575-1D63BC614CAD}"/>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E7CA5EC4-6295-460F-B5C9-F091F9A4167B}"/>
    <cellStyle name="Currency 5 3 5 3 2 2 3" xfId="24528" xr:uid="{A3152ADD-C6CB-4B5B-8CD5-5D19451B7EE2}"/>
    <cellStyle name="Currency 5 3 5 3 2 3" xfId="11863" xr:uid="{4AAD4F4C-FFE3-45F8-8269-E7B6FF895071}"/>
    <cellStyle name="Currency 5 3 5 3 2 4" xfId="20311" xr:uid="{1AEC134D-CCC5-45B6-8FD6-C9870BCEEA7D}"/>
    <cellStyle name="Currency 5 3 5 3 3" xfId="5486" xr:uid="{00000000-0005-0000-0000-00002A0D0000}"/>
    <cellStyle name="Currency 5 3 5 3 3 2" xfId="13936" xr:uid="{791BB297-AD40-4F6F-9FB5-3B38CBAF3062}"/>
    <cellStyle name="Currency 5 3 5 3 3 3" xfId="22383" xr:uid="{975E9520-CCA9-426F-B95F-7F47F3C6C6F8}"/>
    <cellStyle name="Currency 5 3 5 3 4" xfId="9718" xr:uid="{888828C2-DC65-4F37-8447-1E55106E17A6}"/>
    <cellStyle name="Currency 5 3 5 3 5" xfId="18166" xr:uid="{12C5D3BA-9487-407F-AA5C-E69575325D74}"/>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6F8B4BCB-E29E-4060-B460-98E85FE1A802}"/>
    <cellStyle name="Currency 5 3 5 4 2 2 3" xfId="24941" xr:uid="{20BF780B-572C-472D-9343-458956485E22}"/>
    <cellStyle name="Currency 5 3 5 4 2 3" xfId="12276" xr:uid="{C92FFA8F-879E-407E-8A9C-64C33906EB1C}"/>
    <cellStyle name="Currency 5 3 5 4 2 4" xfId="20724" xr:uid="{38A2DA4A-95D6-484F-A2B0-116955493DB9}"/>
    <cellStyle name="Currency 5 3 5 4 3" xfId="5899" xr:uid="{00000000-0005-0000-0000-00002E0D0000}"/>
    <cellStyle name="Currency 5 3 5 4 3 2" xfId="14349" xr:uid="{3CB8AD92-47CC-4D91-86A1-F9E907F6395B}"/>
    <cellStyle name="Currency 5 3 5 4 3 3" xfId="22796" xr:uid="{9BB5FB56-AA81-428B-B849-50784A102BA3}"/>
    <cellStyle name="Currency 5 3 5 4 4" xfId="10131" xr:uid="{BA341D8D-AA1E-45C9-885D-038F0869D904}"/>
    <cellStyle name="Currency 5 3 5 4 5" xfId="18579" xr:uid="{157CA139-AE9A-4322-888E-7D365DF5AD8B}"/>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1B831CCD-7035-423D-B31D-7D0C9802494C}"/>
    <cellStyle name="Currency 5 3 5 5 2 2 3" xfId="25354" xr:uid="{AEDC6CFD-2919-4834-8FD1-217B250CB74A}"/>
    <cellStyle name="Currency 5 3 5 5 2 3" xfId="12689" xr:uid="{9D54DCAC-9FCA-418A-A136-730F6F4F1BF3}"/>
    <cellStyle name="Currency 5 3 5 5 2 4" xfId="21137" xr:uid="{C2AF970E-2836-443F-80D9-2E5B9E5C44A8}"/>
    <cellStyle name="Currency 5 3 5 5 3" xfId="6312" xr:uid="{00000000-0005-0000-0000-0000320D0000}"/>
    <cellStyle name="Currency 5 3 5 5 3 2" xfId="14762" xr:uid="{0233A0C5-1AD6-4DE3-93EB-A2209908FADB}"/>
    <cellStyle name="Currency 5 3 5 5 3 3" xfId="23209" xr:uid="{9788A9BD-3FED-4A74-98B7-DAB63616D099}"/>
    <cellStyle name="Currency 5 3 5 5 4" xfId="10544" xr:uid="{9C824DBC-6C38-465C-9BDF-96A8D6BA5138}"/>
    <cellStyle name="Currency 5 3 5 5 5" xfId="18992" xr:uid="{7EA79EC2-44C1-48DF-AC51-B9AC957B40FD}"/>
    <cellStyle name="Currency 5 3 5 6" xfId="2441" xr:uid="{00000000-0005-0000-0000-0000330D0000}"/>
    <cellStyle name="Currency 5 3 5 6 2" xfId="6725" xr:uid="{00000000-0005-0000-0000-0000340D0000}"/>
    <cellStyle name="Currency 5 3 5 6 2 2" xfId="15175" xr:uid="{29D3EEE6-B37C-4A65-97A1-9785D29D87D9}"/>
    <cellStyle name="Currency 5 3 5 6 2 3" xfId="23622" xr:uid="{5928C4B3-6ED4-42F2-9CA7-CA99E106FC13}"/>
    <cellStyle name="Currency 5 3 5 6 3" xfId="10957" xr:uid="{5B448E55-E703-4F93-B5BD-3A22B6A81E03}"/>
    <cellStyle name="Currency 5 3 5 6 4" xfId="19405" xr:uid="{89D64E4F-831D-48E5-82D3-BFF53CD437F6}"/>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C16D532D-A90F-484B-9C05-6EA0836889FB}"/>
    <cellStyle name="Currency 5 3 5 8 2 3" xfId="23939" xr:uid="{C0BD6A86-7BB3-4B74-9007-C3A8C154D94B}"/>
    <cellStyle name="Currency 5 3 5 8 3" xfId="11274" xr:uid="{5D96B2C9-06D6-48D7-A300-5E336F0DFC88}"/>
    <cellStyle name="Currency 5 3 5 8 4" xfId="19722" xr:uid="{07397920-E63A-47AB-A29A-BD9E318B7178}"/>
    <cellStyle name="Currency 5 3 5 9" xfId="4659" xr:uid="{00000000-0005-0000-0000-0000380D0000}"/>
    <cellStyle name="Currency 5 3 5 9 2" xfId="13109" xr:uid="{64C0744D-EE98-4ECC-8AA4-35AD167175D5}"/>
    <cellStyle name="Currency 5 3 5 9 3" xfId="21556" xr:uid="{60B00D46-33DF-48BE-95E9-0FA911D7CC59}"/>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FF4C144E-2E7A-4E03-A287-252FF5A06134}"/>
    <cellStyle name="Currency 5 5 10 3" xfId="21557" xr:uid="{80449C50-723B-47FE-9A2F-42F758CD9EDF}"/>
    <cellStyle name="Currency 5 5 11" xfId="8892" xr:uid="{F1B9F99C-6D82-417F-A10B-AF5ABD40F7F9}"/>
    <cellStyle name="Currency 5 5 12" xfId="17340" xr:uid="{106DF3CB-B9C3-4C2C-A2B2-050C47414904}"/>
    <cellStyle name="Currency 5 5 2" xfId="220" xr:uid="{00000000-0005-0000-0000-00003D0D0000}"/>
    <cellStyle name="Currency 5 5 2 10" xfId="8893" xr:uid="{4DB3AD57-A861-41D2-A31B-E742BE9EF9D7}"/>
    <cellStyle name="Currency 5 5 2 11" xfId="17341" xr:uid="{56860410-ECAF-4EE1-8AFC-D8CCD8E23CC0}"/>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86DF0C97-6A71-424E-A5D5-E413364E81AC}"/>
    <cellStyle name="Currency 5 5 2 2 2 2 3" xfId="24117" xr:uid="{85AA77AA-B2FF-4278-8920-69FDB3F69C2B}"/>
    <cellStyle name="Currency 5 5 2 2 2 3" xfId="11452" xr:uid="{9765036F-51DA-4B6D-B0A5-B57382E35A6B}"/>
    <cellStyle name="Currency 5 5 2 2 2 4" xfId="19900" xr:uid="{406BB581-7263-427A-9B65-B139A4E1B8A7}"/>
    <cellStyle name="Currency 5 5 2 2 3" xfId="5075" xr:uid="{00000000-0005-0000-0000-0000410D0000}"/>
    <cellStyle name="Currency 5 5 2 2 3 2" xfId="13525" xr:uid="{E633D6CE-4AAF-486D-9A22-3B1615B73E58}"/>
    <cellStyle name="Currency 5 5 2 2 3 3" xfId="21972" xr:uid="{21163F36-1F95-4A8D-8F14-9E19E5A65806}"/>
    <cellStyle name="Currency 5 5 2 2 4" xfId="9307" xr:uid="{B3F06DFF-0C60-4AC9-82EE-88E4C5A0C275}"/>
    <cellStyle name="Currency 5 5 2 2 5" xfId="17755" xr:uid="{958F5CFD-7351-433F-AC7F-BFBE5042AB3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AA40526A-8499-4D36-9453-DF40E34BCFDA}"/>
    <cellStyle name="Currency 5 5 2 3 2 2 3" xfId="24530" xr:uid="{02FE9E76-6635-483F-AEB1-CC362AADF73F}"/>
    <cellStyle name="Currency 5 5 2 3 2 3" xfId="11865" xr:uid="{7586BC2A-7132-4EC5-89A7-7E62D850EF70}"/>
    <cellStyle name="Currency 5 5 2 3 2 4" xfId="20313" xr:uid="{4046E99A-98B0-4132-BCF0-ED3B7CEB4DD7}"/>
    <cellStyle name="Currency 5 5 2 3 3" xfId="5488" xr:uid="{00000000-0005-0000-0000-0000450D0000}"/>
    <cellStyle name="Currency 5 5 2 3 3 2" xfId="13938" xr:uid="{5F11FEC9-510E-48EA-BBD5-820144C8E5EC}"/>
    <cellStyle name="Currency 5 5 2 3 3 3" xfId="22385" xr:uid="{A3CD0DA6-6ED8-4386-A493-9643404227EC}"/>
    <cellStyle name="Currency 5 5 2 3 4" xfId="9720" xr:uid="{F59FBEE9-1288-46F3-BE04-8E66D85D09E7}"/>
    <cellStyle name="Currency 5 5 2 3 5" xfId="18168" xr:uid="{C3E8689E-D3C6-4B85-9E74-31D917D0DED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0722556D-828C-4CC9-9FDE-B1866DB2ABFC}"/>
    <cellStyle name="Currency 5 5 2 4 2 2 3" xfId="24943" xr:uid="{E72D20A2-B845-468F-AC40-F7E58C73CAE2}"/>
    <cellStyle name="Currency 5 5 2 4 2 3" xfId="12278" xr:uid="{4BFD5FAE-1ED4-4978-B4C3-A699B8290058}"/>
    <cellStyle name="Currency 5 5 2 4 2 4" xfId="20726" xr:uid="{30969DA6-DEE7-4B10-8642-D41A6224D8D5}"/>
    <cellStyle name="Currency 5 5 2 4 3" xfId="5901" xr:uid="{00000000-0005-0000-0000-0000490D0000}"/>
    <cellStyle name="Currency 5 5 2 4 3 2" xfId="14351" xr:uid="{C527EF35-8FF0-425E-BD93-58CC506FF6B6}"/>
    <cellStyle name="Currency 5 5 2 4 3 3" xfId="22798" xr:uid="{7A13F2F2-78FC-4753-AB6F-8F3984FDC0E3}"/>
    <cellStyle name="Currency 5 5 2 4 4" xfId="10133" xr:uid="{FD8A674A-E1D5-4C29-81FA-BE95D37F0AE8}"/>
    <cellStyle name="Currency 5 5 2 4 5" xfId="18581" xr:uid="{07BBBB95-C7EA-4DB2-94D5-D07402BF9E1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950A5B56-8228-4A34-9673-253161067C6A}"/>
    <cellStyle name="Currency 5 5 2 5 2 2 3" xfId="25356" xr:uid="{0886BFF2-003D-45DB-990D-DAE07C5BACC4}"/>
    <cellStyle name="Currency 5 5 2 5 2 3" xfId="12691" xr:uid="{E793A4F3-B1B9-420C-85E4-7ACE8C5C5462}"/>
    <cellStyle name="Currency 5 5 2 5 2 4" xfId="21139" xr:uid="{AEBE2173-1BBA-448B-8F4E-E09DD975C876}"/>
    <cellStyle name="Currency 5 5 2 5 3" xfId="6314" xr:uid="{00000000-0005-0000-0000-00004D0D0000}"/>
    <cellStyle name="Currency 5 5 2 5 3 2" xfId="14764" xr:uid="{6A9A2CE1-2874-4846-9EDF-AFC3A210CE9F}"/>
    <cellStyle name="Currency 5 5 2 5 3 3" xfId="23211" xr:uid="{78EBBA72-A357-433D-947F-1839CDB5684F}"/>
    <cellStyle name="Currency 5 5 2 5 4" xfId="10546" xr:uid="{F99F1F67-65B2-4FAC-B3D3-ED34F9844434}"/>
    <cellStyle name="Currency 5 5 2 5 5" xfId="18994" xr:uid="{408DF403-CCD0-4BEA-AB20-54476E7398B1}"/>
    <cellStyle name="Currency 5 5 2 6" xfId="2443" xr:uid="{00000000-0005-0000-0000-00004E0D0000}"/>
    <cellStyle name="Currency 5 5 2 6 2" xfId="6727" xr:uid="{00000000-0005-0000-0000-00004F0D0000}"/>
    <cellStyle name="Currency 5 5 2 6 2 2" xfId="15177" xr:uid="{3561E061-81D2-4BC8-874B-2E4B65862A08}"/>
    <cellStyle name="Currency 5 5 2 6 2 3" xfId="23624" xr:uid="{FE2C73B0-2F30-4349-B8CF-C32692533B93}"/>
    <cellStyle name="Currency 5 5 2 6 3" xfId="10959" xr:uid="{AE8A84E6-FC48-4678-B88D-602CF4819D6F}"/>
    <cellStyle name="Currency 5 5 2 6 4" xfId="19407" xr:uid="{EBF1EE94-41AD-4BDF-8AC6-0E10397C4EA9}"/>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6BDDE30C-60FA-47F6-BC8E-4990A611E988}"/>
    <cellStyle name="Currency 5 5 2 8 2 3" xfId="23941" xr:uid="{7ACB1679-3577-46E4-A5EC-4EB519AB297D}"/>
    <cellStyle name="Currency 5 5 2 8 3" xfId="11276" xr:uid="{F12BAC4D-3CBF-4949-BDC9-1431F47DA685}"/>
    <cellStyle name="Currency 5 5 2 8 4" xfId="19724" xr:uid="{57BC9474-991B-4149-89EF-CAE707922D1B}"/>
    <cellStyle name="Currency 5 5 2 9" xfId="4661" xr:uid="{00000000-0005-0000-0000-0000530D0000}"/>
    <cellStyle name="Currency 5 5 2 9 2" xfId="13111" xr:uid="{BA60CEB7-723F-43AA-9DB4-1D9C1C1AD8BC}"/>
    <cellStyle name="Currency 5 5 2 9 3" xfId="21558" xr:uid="{F5E6C90D-95A6-4103-8089-3B0B823B987F}"/>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E222E22A-C4FD-4AC7-BCBD-0C39328DA860}"/>
    <cellStyle name="Currency 5 5 3 2 2 3" xfId="24116" xr:uid="{047D669C-C343-403C-874F-F75834C2F25D}"/>
    <cellStyle name="Currency 5 5 3 2 3" xfId="11451" xr:uid="{6287D426-DF4A-4AE0-9422-3AA6F6C383E6}"/>
    <cellStyle name="Currency 5 5 3 2 4" xfId="19899" xr:uid="{211A1C09-9D2C-43A9-B106-1C409A46E6EC}"/>
    <cellStyle name="Currency 5 5 3 3" xfId="5074" xr:uid="{00000000-0005-0000-0000-0000570D0000}"/>
    <cellStyle name="Currency 5 5 3 3 2" xfId="13524" xr:uid="{190DCDB6-7200-44D4-94F1-97644F76CF2E}"/>
    <cellStyle name="Currency 5 5 3 3 3" xfId="21971" xr:uid="{8B5DB1CE-03C7-4C76-8F63-2CCB692B6749}"/>
    <cellStyle name="Currency 5 5 3 4" xfId="9306" xr:uid="{EAB8922A-4526-4320-B5AA-4477566F9C7F}"/>
    <cellStyle name="Currency 5 5 3 5" xfId="17754" xr:uid="{615EBB87-3F8E-46F4-B8F9-66FFEF837F9A}"/>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BB154A71-992C-440B-B029-D0B07582C190}"/>
    <cellStyle name="Currency 5 5 4 2 2 3" xfId="24529" xr:uid="{BBE4470E-A993-497F-B628-2074E2979744}"/>
    <cellStyle name="Currency 5 5 4 2 3" xfId="11864" xr:uid="{D431C881-8D81-433B-AF72-8FFF613DD487}"/>
    <cellStyle name="Currency 5 5 4 2 4" xfId="20312" xr:uid="{EF56A0E0-00DD-4DAC-8013-EF09A26F9FF9}"/>
    <cellStyle name="Currency 5 5 4 3" xfId="5487" xr:uid="{00000000-0005-0000-0000-00005B0D0000}"/>
    <cellStyle name="Currency 5 5 4 3 2" xfId="13937" xr:uid="{C91EC3A1-EE4E-4BF3-B3E2-BF87A08D3000}"/>
    <cellStyle name="Currency 5 5 4 3 3" xfId="22384" xr:uid="{4CD1D5F7-84A8-457E-BFE3-DE52BCDD9A25}"/>
    <cellStyle name="Currency 5 5 4 4" xfId="9719" xr:uid="{95D5B057-0E83-4E41-B6D7-1CCF6B623809}"/>
    <cellStyle name="Currency 5 5 4 5" xfId="18167" xr:uid="{6DC7BD17-8291-4D09-A079-1550CC627B66}"/>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49BA80CB-EF08-4760-B11D-0B1601229EBF}"/>
    <cellStyle name="Currency 5 5 5 2 2 3" xfId="24942" xr:uid="{9A743B5F-6364-4FB3-9BEB-605E05454E7F}"/>
    <cellStyle name="Currency 5 5 5 2 3" xfId="12277" xr:uid="{71396A7F-FAFE-4C0C-BB1E-EDCBD079AB9F}"/>
    <cellStyle name="Currency 5 5 5 2 4" xfId="20725" xr:uid="{B40A1404-0324-4BB2-A695-146746D797D0}"/>
    <cellStyle name="Currency 5 5 5 3" xfId="5900" xr:uid="{00000000-0005-0000-0000-00005F0D0000}"/>
    <cellStyle name="Currency 5 5 5 3 2" xfId="14350" xr:uid="{8ED750B6-EE8B-4053-AC77-3444A5358053}"/>
    <cellStyle name="Currency 5 5 5 3 3" xfId="22797" xr:uid="{AD95BE93-429E-4ECE-8318-EE866C2337E8}"/>
    <cellStyle name="Currency 5 5 5 4" xfId="10132" xr:uid="{766927B4-DEBD-4AE3-A6BF-900978799C09}"/>
    <cellStyle name="Currency 5 5 5 5" xfId="18580" xr:uid="{27DC925F-42A2-459B-989D-0DCCDCDC2611}"/>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7333C0AC-B2AD-4AA2-8675-CF37A073E5D2}"/>
    <cellStyle name="Currency 5 5 6 2 2 3" xfId="25355" xr:uid="{16569321-0836-4FBB-B00B-4E4F913BF738}"/>
    <cellStyle name="Currency 5 5 6 2 3" xfId="12690" xr:uid="{870AFA77-D121-4DEC-8E9C-6BE70368BCC2}"/>
    <cellStyle name="Currency 5 5 6 2 4" xfId="21138" xr:uid="{FE94ACF4-10CE-44C7-953F-2CD8C087FBFD}"/>
    <cellStyle name="Currency 5 5 6 3" xfId="6313" xr:uid="{00000000-0005-0000-0000-0000630D0000}"/>
    <cellStyle name="Currency 5 5 6 3 2" xfId="14763" xr:uid="{6112CDAE-6109-4A76-9F17-BCBB212C64BF}"/>
    <cellStyle name="Currency 5 5 6 3 3" xfId="23210" xr:uid="{B17EE1E1-9B03-4D9F-8DCC-7DA1D62EB009}"/>
    <cellStyle name="Currency 5 5 6 4" xfId="10545" xr:uid="{4AC2D94B-B7BE-434A-896A-7011E3D2B1FB}"/>
    <cellStyle name="Currency 5 5 6 5" xfId="18993" xr:uid="{F48E48BE-25C1-4C3B-8D68-13F09BAD286F}"/>
    <cellStyle name="Currency 5 5 7" xfId="2442" xr:uid="{00000000-0005-0000-0000-0000640D0000}"/>
    <cellStyle name="Currency 5 5 7 2" xfId="6726" xr:uid="{00000000-0005-0000-0000-0000650D0000}"/>
    <cellStyle name="Currency 5 5 7 2 2" xfId="15176" xr:uid="{C9669B17-0582-4033-9918-5BD3F9D258F3}"/>
    <cellStyle name="Currency 5 5 7 2 3" xfId="23623" xr:uid="{C51CD830-A696-42A6-B19B-CF5AE1D94C7F}"/>
    <cellStyle name="Currency 5 5 7 3" xfId="10958" xr:uid="{F38CD2E2-2D78-4F36-9DD0-C33BCCA40FDD}"/>
    <cellStyle name="Currency 5 5 7 4" xfId="19406" xr:uid="{D64F67ED-465E-4869-AA0C-4AD79ED28A0A}"/>
    <cellStyle name="Currency 5 5 8" xfId="2739" xr:uid="{00000000-0005-0000-0000-0000660D0000}"/>
    <cellStyle name="Currency 5 5 9" xfId="2820" xr:uid="{00000000-0005-0000-0000-0000670D0000}"/>
    <cellStyle name="Currency 5 5 9 2" xfId="7043" xr:uid="{00000000-0005-0000-0000-0000680D0000}"/>
    <cellStyle name="Currency 5 5 9 2 2" xfId="15493" xr:uid="{FE723166-A4C8-46CB-ACC7-BA26536E52FD}"/>
    <cellStyle name="Currency 5 5 9 2 3" xfId="23940" xr:uid="{E2407F4E-95F8-45CD-B06A-FD2B47C275AB}"/>
    <cellStyle name="Currency 5 5 9 3" xfId="11275" xr:uid="{C1FA938D-BA81-417C-ADB2-60DEBEAC6D9A}"/>
    <cellStyle name="Currency 5 5 9 4" xfId="19723" xr:uid="{ADA89D33-D591-4A29-9430-DB516A7D5295}"/>
    <cellStyle name="Currency 5 6" xfId="221" xr:uid="{00000000-0005-0000-0000-0000690D0000}"/>
    <cellStyle name="Currency 5 6 10" xfId="8894" xr:uid="{4D16C95C-5150-467E-967F-ECCF7F0A3CA8}"/>
    <cellStyle name="Currency 5 6 11" xfId="17342" xr:uid="{05E74C40-377C-41A1-872A-112F2890B84A}"/>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1DA3D164-0AB8-46F4-BD9A-B17B70502BBC}"/>
    <cellStyle name="Currency 5 6 2 2 2 3" xfId="24118" xr:uid="{9967E0DE-1D0D-4152-BAE5-F4BFE7BDA5D9}"/>
    <cellStyle name="Currency 5 6 2 2 3" xfId="11453" xr:uid="{9293820D-4B33-4F43-A67A-698FC9ED6360}"/>
    <cellStyle name="Currency 5 6 2 2 4" xfId="19901" xr:uid="{5267E70E-C970-49E0-A932-398F157C1459}"/>
    <cellStyle name="Currency 5 6 2 3" xfId="5076" xr:uid="{00000000-0005-0000-0000-00006D0D0000}"/>
    <cellStyle name="Currency 5 6 2 3 2" xfId="13526" xr:uid="{F06DB0DB-D3B1-4431-B3AC-AD8837FB0901}"/>
    <cellStyle name="Currency 5 6 2 3 3" xfId="21973" xr:uid="{7CA57179-62D2-4740-A79B-148ACBBCC8D3}"/>
    <cellStyle name="Currency 5 6 2 4" xfId="9308" xr:uid="{200453BC-DAF4-40BB-895A-A47D3CB8C00B}"/>
    <cellStyle name="Currency 5 6 2 5" xfId="17756" xr:uid="{CDCF2459-62D6-4319-BC87-7C806E3F45DE}"/>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8A372B53-D332-4C9B-B1B6-B39048D0E4F6}"/>
    <cellStyle name="Currency 5 6 3 2 2 3" xfId="24531" xr:uid="{612FDE85-95EE-49D0-BF1E-816505E3A167}"/>
    <cellStyle name="Currency 5 6 3 2 3" xfId="11866" xr:uid="{B3E10E45-0DF8-4644-94DF-E84E4D0351A0}"/>
    <cellStyle name="Currency 5 6 3 2 4" xfId="20314" xr:uid="{B6B03A4F-EE38-4FC5-BC02-6C4CCC0037F8}"/>
    <cellStyle name="Currency 5 6 3 3" xfId="5489" xr:uid="{00000000-0005-0000-0000-0000710D0000}"/>
    <cellStyle name="Currency 5 6 3 3 2" xfId="13939" xr:uid="{0CB3D3AE-5E78-49A0-9D41-1C91672C8893}"/>
    <cellStyle name="Currency 5 6 3 3 3" xfId="22386" xr:uid="{161F1329-488A-4956-8202-B0CF1D2202B3}"/>
    <cellStyle name="Currency 5 6 3 4" xfId="9721" xr:uid="{857A6B3C-739B-4903-9CBB-87225A1FA431}"/>
    <cellStyle name="Currency 5 6 3 5" xfId="18169" xr:uid="{994F001D-4384-4A13-9AF2-99D334BC5EDF}"/>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1DE49232-F7B4-4233-8BF2-F9D6821DF32E}"/>
    <cellStyle name="Currency 5 6 4 2 2 3" xfId="24944" xr:uid="{8DA5BAB7-385C-446F-B341-73DC6D0B09F4}"/>
    <cellStyle name="Currency 5 6 4 2 3" xfId="12279" xr:uid="{419A2AD0-CC61-4AC4-9966-24C1B351EE4A}"/>
    <cellStyle name="Currency 5 6 4 2 4" xfId="20727" xr:uid="{3975186E-9EE4-4022-A9CD-0F507706F4F2}"/>
    <cellStyle name="Currency 5 6 4 3" xfId="5902" xr:uid="{00000000-0005-0000-0000-0000750D0000}"/>
    <cellStyle name="Currency 5 6 4 3 2" xfId="14352" xr:uid="{6D7FAE6A-4A92-44ED-B347-5BE3DF60A389}"/>
    <cellStyle name="Currency 5 6 4 3 3" xfId="22799" xr:uid="{7B81964F-9E1A-44F8-BC67-A6E2D9EBAFB4}"/>
    <cellStyle name="Currency 5 6 4 4" xfId="10134" xr:uid="{DC9F378C-13AF-4F74-B97B-F095A6D9EBE6}"/>
    <cellStyle name="Currency 5 6 4 5" xfId="18582" xr:uid="{6C180C20-A16C-4A74-912A-DB67F0DBC69E}"/>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C8CC0D80-CCBB-4103-A8DB-9E7677FCDFFE}"/>
    <cellStyle name="Currency 5 6 5 2 2 3" xfId="25357" xr:uid="{BD350EDE-D0FD-4632-BC32-A10E9C2D4054}"/>
    <cellStyle name="Currency 5 6 5 2 3" xfId="12692" xr:uid="{32C30A00-F456-45C9-BAA4-6566F59358D2}"/>
    <cellStyle name="Currency 5 6 5 2 4" xfId="21140" xr:uid="{38BEDD8A-1081-4FB8-BAB1-27F0AF6106D1}"/>
    <cellStyle name="Currency 5 6 5 3" xfId="6315" xr:uid="{00000000-0005-0000-0000-0000790D0000}"/>
    <cellStyle name="Currency 5 6 5 3 2" xfId="14765" xr:uid="{6C8A37F9-5040-4375-82F2-DD4BC5A1490F}"/>
    <cellStyle name="Currency 5 6 5 3 3" xfId="23212" xr:uid="{0D8CD4C1-35EA-4620-87CB-70F3B1BBDA88}"/>
    <cellStyle name="Currency 5 6 5 4" xfId="10547" xr:uid="{F57754EB-9393-4713-95E7-AE50C0A65D7C}"/>
    <cellStyle name="Currency 5 6 5 5" xfId="18995" xr:uid="{7D0A9D05-672A-4BD5-BDFA-A6E26C01A887}"/>
    <cellStyle name="Currency 5 6 6" xfId="2444" xr:uid="{00000000-0005-0000-0000-00007A0D0000}"/>
    <cellStyle name="Currency 5 6 6 2" xfId="6728" xr:uid="{00000000-0005-0000-0000-00007B0D0000}"/>
    <cellStyle name="Currency 5 6 6 2 2" xfId="15178" xr:uid="{2FA6CD84-7A3C-4CAB-9D12-6F241BBFC7F1}"/>
    <cellStyle name="Currency 5 6 6 2 3" xfId="23625" xr:uid="{BC2E2AF0-25C5-4465-9A5F-69593D5F2CE9}"/>
    <cellStyle name="Currency 5 6 6 3" xfId="10960" xr:uid="{5A8BF9D7-E749-436B-9C26-9BDB7C7763CE}"/>
    <cellStyle name="Currency 5 6 6 4" xfId="19408" xr:uid="{87FE2C3B-6D7D-4DC1-B208-ED434CE3674E}"/>
    <cellStyle name="Currency 5 6 7" xfId="2741" xr:uid="{00000000-0005-0000-0000-00007C0D0000}"/>
    <cellStyle name="Currency 5 6 8" xfId="2822" xr:uid="{00000000-0005-0000-0000-00007D0D0000}"/>
    <cellStyle name="Currency 5 6 8 2" xfId="7045" xr:uid="{00000000-0005-0000-0000-00007E0D0000}"/>
    <cellStyle name="Currency 5 6 8 2 2" xfId="15495" xr:uid="{CAE1BFBA-B30D-4438-BB52-0FB22281BA1F}"/>
    <cellStyle name="Currency 5 6 8 2 3" xfId="23942" xr:uid="{299F534C-1220-4520-B662-0C6657EA7831}"/>
    <cellStyle name="Currency 5 6 8 3" xfId="11277" xr:uid="{0FD94BE5-EBBD-4D07-B4B4-2D910240B5C8}"/>
    <cellStyle name="Currency 5 6 8 4" xfId="19725" xr:uid="{859A2C21-0F51-4CCD-AD1A-B349DF4085D1}"/>
    <cellStyle name="Currency 5 6 9" xfId="4662" xr:uid="{00000000-0005-0000-0000-00007F0D0000}"/>
    <cellStyle name="Currency 5 6 9 2" xfId="13112" xr:uid="{3BA4DE43-8139-4562-A976-FB6D8938967A}"/>
    <cellStyle name="Currency 5 6 9 3" xfId="21559" xr:uid="{CC37C446-D557-4EC9-BF8B-EEE18BC51D54}"/>
    <cellStyle name="Currency 5 7" xfId="222" xr:uid="{00000000-0005-0000-0000-0000800D0000}"/>
    <cellStyle name="Currency 5 7 10" xfId="8895" xr:uid="{941B430A-B476-4D6B-92D2-1FCC6DE5BBD5}"/>
    <cellStyle name="Currency 5 7 11" xfId="17343" xr:uid="{A11C0728-9CA8-4BDB-B5CB-CD235010B83A}"/>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F86B5A33-81F1-42B7-ADF8-54FE25ACC466}"/>
    <cellStyle name="Currency 5 7 2 2 2 3" xfId="24119" xr:uid="{FB237AC7-72A9-4291-BF77-DC9DC2E0C564}"/>
    <cellStyle name="Currency 5 7 2 2 3" xfId="11454" xr:uid="{E23C5E3B-6567-4BD6-837C-A0001AF193E1}"/>
    <cellStyle name="Currency 5 7 2 2 4" xfId="19902" xr:uid="{1B2A9589-13B0-47C8-8433-F2D007BBD2C2}"/>
    <cellStyle name="Currency 5 7 2 3" xfId="5077" xr:uid="{00000000-0005-0000-0000-0000840D0000}"/>
    <cellStyle name="Currency 5 7 2 3 2" xfId="13527" xr:uid="{02B9AF4A-013C-4103-A93D-D355A3EB74AC}"/>
    <cellStyle name="Currency 5 7 2 3 3" xfId="21974" xr:uid="{C76EA37F-9135-41A8-8339-934DB7D13965}"/>
    <cellStyle name="Currency 5 7 2 4" xfId="9309" xr:uid="{371769A1-228A-4676-9FF3-7B7D88F8A351}"/>
    <cellStyle name="Currency 5 7 2 5" xfId="17757" xr:uid="{8B8B2C86-C1DE-4E4C-8171-C1D92222FD49}"/>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6AC6EEAA-B563-45C7-B356-8E98C7E98430}"/>
    <cellStyle name="Currency 5 7 3 2 2 3" xfId="24532" xr:uid="{5A12E0B0-CE65-4E67-9A74-043BDE7B8D59}"/>
    <cellStyle name="Currency 5 7 3 2 3" xfId="11867" xr:uid="{182033C9-2FF7-411D-8B28-93D72B2B9770}"/>
    <cellStyle name="Currency 5 7 3 2 4" xfId="20315" xr:uid="{52A73E23-6300-4476-86C7-2C20EA274A8A}"/>
    <cellStyle name="Currency 5 7 3 3" xfId="5490" xr:uid="{00000000-0005-0000-0000-0000880D0000}"/>
    <cellStyle name="Currency 5 7 3 3 2" xfId="13940" xr:uid="{18ED3F8F-CD5E-49AC-9C22-76C8B03D450B}"/>
    <cellStyle name="Currency 5 7 3 3 3" xfId="22387" xr:uid="{ADD8814A-674A-4E77-A178-A8FBDFFEBCDB}"/>
    <cellStyle name="Currency 5 7 3 4" xfId="9722" xr:uid="{008E0531-F25B-4C6D-834B-2DD971215A5C}"/>
    <cellStyle name="Currency 5 7 3 5" xfId="18170" xr:uid="{F67D183E-B8E1-4E80-89AA-DADEC5DE8BC1}"/>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4FC10161-75F0-4BE5-8ADE-B685121E346F}"/>
    <cellStyle name="Currency 5 7 4 2 2 3" xfId="24945" xr:uid="{57EBB608-2990-483D-BB35-791FAC379C9D}"/>
    <cellStyle name="Currency 5 7 4 2 3" xfId="12280" xr:uid="{58FDAECA-2CB7-4187-9381-63338AC55F03}"/>
    <cellStyle name="Currency 5 7 4 2 4" xfId="20728" xr:uid="{F462E9BD-3152-4B5E-AFBA-014BB1348E05}"/>
    <cellStyle name="Currency 5 7 4 3" xfId="5903" xr:uid="{00000000-0005-0000-0000-00008C0D0000}"/>
    <cellStyle name="Currency 5 7 4 3 2" xfId="14353" xr:uid="{4743A0D3-F8B8-457F-9188-0B48D69C6933}"/>
    <cellStyle name="Currency 5 7 4 3 3" xfId="22800" xr:uid="{CA436093-9961-40A9-B1A8-18EBF8A7721C}"/>
    <cellStyle name="Currency 5 7 4 4" xfId="10135" xr:uid="{EF86F69A-06B1-426A-B8B6-A297440C9CBA}"/>
    <cellStyle name="Currency 5 7 4 5" xfId="18583" xr:uid="{336F2256-D0FF-4625-B61F-FF72652AD20C}"/>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84AFA286-BA46-40EB-AC48-1903226EC633}"/>
    <cellStyle name="Currency 5 7 5 2 2 3" xfId="25358" xr:uid="{E242E992-5451-47AC-98BB-27C6D7075E78}"/>
    <cellStyle name="Currency 5 7 5 2 3" xfId="12693" xr:uid="{14265E97-6F77-4C3D-AED8-01E5D63F6D8A}"/>
    <cellStyle name="Currency 5 7 5 2 4" xfId="21141" xr:uid="{F7A71AE5-373C-4208-8B63-7D3EE7EE2D62}"/>
    <cellStyle name="Currency 5 7 5 3" xfId="6316" xr:uid="{00000000-0005-0000-0000-0000900D0000}"/>
    <cellStyle name="Currency 5 7 5 3 2" xfId="14766" xr:uid="{BEFB978A-13ED-4C47-8B11-39B9CCFF8067}"/>
    <cellStyle name="Currency 5 7 5 3 3" xfId="23213" xr:uid="{15F16ED7-E428-4E11-A787-8B423CE7184D}"/>
    <cellStyle name="Currency 5 7 5 4" xfId="10548" xr:uid="{DBC6BC5E-ACEC-493B-A59B-0924B0F765B6}"/>
    <cellStyle name="Currency 5 7 5 5" xfId="18996" xr:uid="{6C0A0A7A-08F2-4AA7-9BEB-BD21760821FF}"/>
    <cellStyle name="Currency 5 7 6" xfId="2445" xr:uid="{00000000-0005-0000-0000-0000910D0000}"/>
    <cellStyle name="Currency 5 7 6 2" xfId="6729" xr:uid="{00000000-0005-0000-0000-0000920D0000}"/>
    <cellStyle name="Currency 5 7 6 2 2" xfId="15179" xr:uid="{84E3F4A7-C657-483C-BDFF-11F518C5FA4A}"/>
    <cellStyle name="Currency 5 7 6 2 3" xfId="23626" xr:uid="{389C679C-6791-490E-942D-1DE6D72682FA}"/>
    <cellStyle name="Currency 5 7 6 3" xfId="10961" xr:uid="{5EE0E6D8-BCAD-49F6-8BD1-0018DE1AA41A}"/>
    <cellStyle name="Currency 5 7 6 4" xfId="19409" xr:uid="{CD4FBDF5-D4DC-4B81-891E-B68E1DC3A5E0}"/>
    <cellStyle name="Currency 5 7 7" xfId="2742" xr:uid="{00000000-0005-0000-0000-0000930D0000}"/>
    <cellStyle name="Currency 5 7 8" xfId="2823" xr:uid="{00000000-0005-0000-0000-0000940D0000}"/>
    <cellStyle name="Currency 5 7 8 2" xfId="7046" xr:uid="{00000000-0005-0000-0000-0000950D0000}"/>
    <cellStyle name="Currency 5 7 8 2 2" xfId="15496" xr:uid="{3F546E3C-50E6-420F-BA6E-75346FD16DF8}"/>
    <cellStyle name="Currency 5 7 8 2 3" xfId="23943" xr:uid="{3A78609C-9B99-4F37-9BD5-BC30E1A9153D}"/>
    <cellStyle name="Currency 5 7 8 3" xfId="11278" xr:uid="{2F864702-EAF5-4B3C-B54F-4A45CE6B9792}"/>
    <cellStyle name="Currency 5 7 8 4" xfId="19726" xr:uid="{445F7E10-A4DE-447C-B164-BB91F53C5FA9}"/>
    <cellStyle name="Currency 5 7 9" xfId="4663" xr:uid="{00000000-0005-0000-0000-0000960D0000}"/>
    <cellStyle name="Currency 5 7 9 2" xfId="13113" xr:uid="{A2E11F45-5DD7-4896-A253-E18172F243CA}"/>
    <cellStyle name="Currency 5 7 9 3" xfId="21560" xr:uid="{2379FFDB-7AC5-423F-A9DF-52CA015B890A}"/>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D689BDE2-2AA0-4E00-8BD1-C6D1A7BB3A1C}"/>
    <cellStyle name="Normal 12 10 2 3" xfId="23627" xr:uid="{91E6AA92-7D2E-4B7C-9B73-D79CB5ACEC11}"/>
    <cellStyle name="Normal 12 10 3" xfId="10962" xr:uid="{F8DF35F7-FFBF-48E9-99CA-9DC7A6947828}"/>
    <cellStyle name="Normal 12 10 4" xfId="19410" xr:uid="{4CD15C0D-A76C-463B-8F90-63D4D3F97427}"/>
    <cellStyle name="Normal 12 11" xfId="4664" xr:uid="{00000000-0005-0000-0000-0000CC0D0000}"/>
    <cellStyle name="Normal 12 11 2" xfId="13114" xr:uid="{F3E10BBF-E6D3-415D-9C2F-233462E3BFE4}"/>
    <cellStyle name="Normal 12 11 3" xfId="21561" xr:uid="{B8491152-11DA-41B1-AC4B-96F284B78568}"/>
    <cellStyle name="Normal 12 12" xfId="8896" xr:uid="{E7DA1E05-5778-40E3-A94E-A15F0F82C24B}"/>
    <cellStyle name="Normal 12 13" xfId="17344" xr:uid="{9A883951-C029-4541-A591-8ECDF15C293A}"/>
    <cellStyle name="Normal 12 2" xfId="260" xr:uid="{00000000-0005-0000-0000-0000CD0D0000}"/>
    <cellStyle name="Normal 12 2 10" xfId="8897" xr:uid="{7BFB398B-C589-46A3-B940-A4DC8FBFA29D}"/>
    <cellStyle name="Normal 12 2 11" xfId="17345" xr:uid="{683A6FE7-6096-4258-BD4A-1187D4F6AFFE}"/>
    <cellStyle name="Normal 12 2 2" xfId="261" xr:uid="{00000000-0005-0000-0000-0000CE0D0000}"/>
    <cellStyle name="Normal 12 2 2 10" xfId="17346" xr:uid="{50C33A1F-2F5B-4931-AD42-4875EFCB646F}"/>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5A001DBF-651D-4CC3-8F83-E576DCB0232A}"/>
    <cellStyle name="Normal 12 2 2 2 2 2 2 3" xfId="24123" xr:uid="{9C0469A7-39A9-418F-8C63-21C0F2960F1C}"/>
    <cellStyle name="Normal 12 2 2 2 2 2 3" xfId="11458" xr:uid="{E22C9DE1-1894-4D9F-A3DB-36FAC854E000}"/>
    <cellStyle name="Normal 12 2 2 2 2 2 4" xfId="19906" xr:uid="{73F8DD31-82A3-433C-A1B6-D310C7968341}"/>
    <cellStyle name="Normal 12 2 2 2 2 3" xfId="5081" xr:uid="{00000000-0005-0000-0000-0000D30D0000}"/>
    <cellStyle name="Normal 12 2 2 2 2 3 2" xfId="13531" xr:uid="{FECDE0B3-3051-446A-B3F1-F9A36C36C93C}"/>
    <cellStyle name="Normal 12 2 2 2 2 3 3" xfId="21978" xr:uid="{0BDA846C-BF4D-4930-A1A4-88B140D7C81D}"/>
    <cellStyle name="Normal 12 2 2 2 2 4" xfId="9313" xr:uid="{1804920D-D528-4F91-A301-F7777AAA1018}"/>
    <cellStyle name="Normal 12 2 2 2 2 5" xfId="17761" xr:uid="{B872E100-76C8-47D5-B387-800EF9AFE25E}"/>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CD0A5F77-1BA6-44BC-B002-C83291419EC9}"/>
    <cellStyle name="Normal 12 2 2 2 3 2 2 3" xfId="24536" xr:uid="{8B3FD767-F126-4BE9-87DB-86A607C5502E}"/>
    <cellStyle name="Normal 12 2 2 2 3 2 3" xfId="11871" xr:uid="{F5F0CD0A-C34C-4E52-A312-E79EA914AA27}"/>
    <cellStyle name="Normal 12 2 2 2 3 2 4" xfId="20319" xr:uid="{68A7D195-5EE9-40CF-97F9-39078CA4912E}"/>
    <cellStyle name="Normal 12 2 2 2 3 3" xfId="5494" xr:uid="{00000000-0005-0000-0000-0000D70D0000}"/>
    <cellStyle name="Normal 12 2 2 2 3 3 2" xfId="13944" xr:uid="{5383FC24-66B2-4BCA-953E-B610CB2BB3AF}"/>
    <cellStyle name="Normal 12 2 2 2 3 3 3" xfId="22391" xr:uid="{E18B03F9-422B-45C9-90E6-848D0FF4913E}"/>
    <cellStyle name="Normal 12 2 2 2 3 4" xfId="9726" xr:uid="{CCC65016-E486-450F-AF78-A8DA8D6CDCF0}"/>
    <cellStyle name="Normal 12 2 2 2 3 5" xfId="18174" xr:uid="{D096B695-3A5B-417C-B276-2D90B18D69DC}"/>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37782EA4-0E9B-47E6-8E17-A902C93A08F6}"/>
    <cellStyle name="Normal 12 2 2 2 4 2 2 3" xfId="24949" xr:uid="{1193E4E6-DE05-4C5E-95D7-2E85ED857F65}"/>
    <cellStyle name="Normal 12 2 2 2 4 2 3" xfId="12284" xr:uid="{3DCC4B18-2989-493B-B00A-EAE5ACBA8417}"/>
    <cellStyle name="Normal 12 2 2 2 4 2 4" xfId="20732" xr:uid="{57A5E2AC-3EF6-4D85-A80E-9F60D4DD1E64}"/>
    <cellStyle name="Normal 12 2 2 2 4 3" xfId="5907" xr:uid="{00000000-0005-0000-0000-0000DB0D0000}"/>
    <cellStyle name="Normal 12 2 2 2 4 3 2" xfId="14357" xr:uid="{58EA1B20-77DE-4D61-8FBD-C7CFC2A55981}"/>
    <cellStyle name="Normal 12 2 2 2 4 3 3" xfId="22804" xr:uid="{4081CFDA-F321-458D-A3BC-6C8C1984B172}"/>
    <cellStyle name="Normal 12 2 2 2 4 4" xfId="10139" xr:uid="{6C212714-85FE-413F-9BB7-84E753BAA58B}"/>
    <cellStyle name="Normal 12 2 2 2 4 5" xfId="18587" xr:uid="{A993D43E-CC4C-40C1-AB55-32BCB2D606B0}"/>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D0B93871-90C2-4B93-A4EF-0B22F81B341E}"/>
    <cellStyle name="Normal 12 2 2 2 5 2 2 3" xfId="25362" xr:uid="{E310FD8B-9F3B-4A7A-9E46-D538B59B044F}"/>
    <cellStyle name="Normal 12 2 2 2 5 2 3" xfId="12697" xr:uid="{80F2BB0D-9C97-4444-9C6F-A024F66943D5}"/>
    <cellStyle name="Normal 12 2 2 2 5 2 4" xfId="21145" xr:uid="{8C115207-06CD-4934-9D82-C2D51AD5540E}"/>
    <cellStyle name="Normal 12 2 2 2 5 3" xfId="6320" xr:uid="{00000000-0005-0000-0000-0000DF0D0000}"/>
    <cellStyle name="Normal 12 2 2 2 5 3 2" xfId="14770" xr:uid="{39106AC9-4086-47EC-8B97-378BD6059A47}"/>
    <cellStyle name="Normal 12 2 2 2 5 3 3" xfId="23217" xr:uid="{262C70AD-5FEC-402D-96C3-DFDCF74445E3}"/>
    <cellStyle name="Normal 12 2 2 2 5 4" xfId="10552" xr:uid="{4D233852-5AA8-40A0-A741-0A7B353742D6}"/>
    <cellStyle name="Normal 12 2 2 2 5 5" xfId="19000" xr:uid="{6654E5AE-4A06-4346-AE08-09509271DFE9}"/>
    <cellStyle name="Normal 12 2 2 2 6" xfId="2450" xr:uid="{00000000-0005-0000-0000-0000E00D0000}"/>
    <cellStyle name="Normal 12 2 2 2 6 2" xfId="6733" xr:uid="{00000000-0005-0000-0000-0000E10D0000}"/>
    <cellStyle name="Normal 12 2 2 2 6 2 2" xfId="15183" xr:uid="{9B2FDA20-9FD5-409A-9BB7-BC8365EA06F2}"/>
    <cellStyle name="Normal 12 2 2 2 6 2 3" xfId="23630" xr:uid="{BFA5D967-447D-40F2-BD07-D30F94C6B0F9}"/>
    <cellStyle name="Normal 12 2 2 2 6 3" xfId="10965" xr:uid="{06DA99F1-7AD8-4C29-9109-45385D8852BD}"/>
    <cellStyle name="Normal 12 2 2 2 6 4" xfId="19413" xr:uid="{0B048F98-D372-47C1-A867-42AACDB2AA56}"/>
    <cellStyle name="Normal 12 2 2 2 7" xfId="4667" xr:uid="{00000000-0005-0000-0000-0000E20D0000}"/>
    <cellStyle name="Normal 12 2 2 2 7 2" xfId="13117" xr:uid="{9C44B93E-1EC7-4001-9A89-FFF7B36528BC}"/>
    <cellStyle name="Normal 12 2 2 2 7 3" xfId="21564" xr:uid="{CA9D6CAC-6C6D-4B60-B452-C976ED1D7CF5}"/>
    <cellStyle name="Normal 12 2 2 2 8" xfId="8899" xr:uid="{6BB8A496-F599-401A-A234-7B54456FF3BD}"/>
    <cellStyle name="Normal 12 2 2 2 9" xfId="17347" xr:uid="{F6921E70-6737-4FC8-AFB1-7A9F018E423F}"/>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56759E9D-5F39-4EBC-86ED-7D807DC84E08}"/>
    <cellStyle name="Normal 12 2 2 3 2 2 3" xfId="24122" xr:uid="{0535555B-1A7E-45CB-B6D1-35DB33C40D3F}"/>
    <cellStyle name="Normal 12 2 2 3 2 3" xfId="11457" xr:uid="{8EBE8F4C-8A7A-4C99-BE4F-DC0F1E71ECF1}"/>
    <cellStyle name="Normal 12 2 2 3 2 4" xfId="19905" xr:uid="{DD7DB43B-E5C7-45E7-A742-2C0D6C593DA7}"/>
    <cellStyle name="Normal 12 2 2 3 3" xfId="5080" xr:uid="{00000000-0005-0000-0000-0000E60D0000}"/>
    <cellStyle name="Normal 12 2 2 3 3 2" xfId="13530" xr:uid="{C3C78189-5AC3-4000-A05F-F59C0E21F162}"/>
    <cellStyle name="Normal 12 2 2 3 3 3" xfId="21977" xr:uid="{1903E550-BA00-4025-A8D1-A8821BFC4C1F}"/>
    <cellStyle name="Normal 12 2 2 3 4" xfId="9312" xr:uid="{9CFD89AA-DE65-4247-982B-B338C6EC9167}"/>
    <cellStyle name="Normal 12 2 2 3 5" xfId="17760" xr:uid="{AAC1DCD6-C887-4B16-AFD4-FB3EB5DB1A93}"/>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DD0F3FE9-53AB-4345-B742-80E1FA2255C4}"/>
    <cellStyle name="Normal 12 2 2 4 2 2 3" xfId="24535" xr:uid="{059F6E04-7EFF-4551-AEFA-05B3AC66FE87}"/>
    <cellStyle name="Normal 12 2 2 4 2 3" xfId="11870" xr:uid="{9F246FAD-7D58-4900-BFE3-DCBF31773286}"/>
    <cellStyle name="Normal 12 2 2 4 2 4" xfId="20318" xr:uid="{6C5060EC-7909-4D26-974D-6A71C5D7C5F4}"/>
    <cellStyle name="Normal 12 2 2 4 3" xfId="5493" xr:uid="{00000000-0005-0000-0000-0000EA0D0000}"/>
    <cellStyle name="Normal 12 2 2 4 3 2" xfId="13943" xr:uid="{EAB5B20D-7EC8-4F2C-978D-0A3B07CEB125}"/>
    <cellStyle name="Normal 12 2 2 4 3 3" xfId="22390" xr:uid="{442184CC-B7E1-4E1A-B1CB-4B03A8ECD364}"/>
    <cellStyle name="Normal 12 2 2 4 4" xfId="9725" xr:uid="{409E7B4C-4E5F-4AE6-8F9E-0313FE75066D}"/>
    <cellStyle name="Normal 12 2 2 4 5" xfId="18173" xr:uid="{C55420DE-8364-4A8F-9848-EBC0A47ECF12}"/>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AB175741-E0DF-4F99-BC79-38114B6CF8D4}"/>
    <cellStyle name="Normal 12 2 2 5 2 2 3" xfId="24948" xr:uid="{62834C56-C2AD-47C6-9165-70B07370D2CC}"/>
    <cellStyle name="Normal 12 2 2 5 2 3" xfId="12283" xr:uid="{CDE066F2-6CB7-4858-98F5-60AC56A19BB2}"/>
    <cellStyle name="Normal 12 2 2 5 2 4" xfId="20731" xr:uid="{F85D0625-0338-4991-B1EC-3EE253E7DA7B}"/>
    <cellStyle name="Normal 12 2 2 5 3" xfId="5906" xr:uid="{00000000-0005-0000-0000-0000EE0D0000}"/>
    <cellStyle name="Normal 12 2 2 5 3 2" xfId="14356" xr:uid="{DD2A7734-7AF3-4A54-AD0B-06D8F3BCE0CE}"/>
    <cellStyle name="Normal 12 2 2 5 3 3" xfId="22803" xr:uid="{0B4EF567-8803-4B36-87FC-AE80C281CE32}"/>
    <cellStyle name="Normal 12 2 2 5 4" xfId="10138" xr:uid="{7211A0D4-216F-40BA-B04C-D9C0AAF0EA46}"/>
    <cellStyle name="Normal 12 2 2 5 5" xfId="18586" xr:uid="{3FB88151-B9A0-429D-AA3C-127616FE29FF}"/>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7C07A02A-BEAD-493E-B17C-414554DB553B}"/>
    <cellStyle name="Normal 12 2 2 6 2 2 3" xfId="25361" xr:uid="{6DD3EF27-0463-4B1F-8747-E58452B10826}"/>
    <cellStyle name="Normal 12 2 2 6 2 3" xfId="12696" xr:uid="{BEF60AC5-A35C-4CD4-8557-49125ACDAB2D}"/>
    <cellStyle name="Normal 12 2 2 6 2 4" xfId="21144" xr:uid="{36E36E19-769A-461F-AC58-3A397434EB0F}"/>
    <cellStyle name="Normal 12 2 2 6 3" xfId="6319" xr:uid="{00000000-0005-0000-0000-0000F20D0000}"/>
    <cellStyle name="Normal 12 2 2 6 3 2" xfId="14769" xr:uid="{FFB08FA5-2828-4656-BE21-1A0368D551EE}"/>
    <cellStyle name="Normal 12 2 2 6 3 3" xfId="23216" xr:uid="{B01FA135-4BB3-44F4-9003-3D95830F3D2F}"/>
    <cellStyle name="Normal 12 2 2 6 4" xfId="10551" xr:uid="{1339C9F6-62A3-478A-A890-450EB5B67E87}"/>
    <cellStyle name="Normal 12 2 2 6 5" xfId="18999" xr:uid="{19C147D6-48A3-441F-A6E9-830E89D4FA7E}"/>
    <cellStyle name="Normal 12 2 2 7" xfId="2449" xr:uid="{00000000-0005-0000-0000-0000F30D0000}"/>
    <cellStyle name="Normal 12 2 2 7 2" xfId="6732" xr:uid="{00000000-0005-0000-0000-0000F40D0000}"/>
    <cellStyle name="Normal 12 2 2 7 2 2" xfId="15182" xr:uid="{2039AA7E-7766-44EA-B277-10AE2598A1C5}"/>
    <cellStyle name="Normal 12 2 2 7 2 3" xfId="23629" xr:uid="{7844DA5B-0C8F-4672-86D8-C10BC3286CFB}"/>
    <cellStyle name="Normal 12 2 2 7 3" xfId="10964" xr:uid="{3CD5D567-5B6C-4F43-81EB-5C262F40EF0E}"/>
    <cellStyle name="Normal 12 2 2 7 4" xfId="19412" xr:uid="{5392BF74-D6EF-4127-B701-C90F5B84A86C}"/>
    <cellStyle name="Normal 12 2 2 8" xfId="4666" xr:uid="{00000000-0005-0000-0000-0000F50D0000}"/>
    <cellStyle name="Normal 12 2 2 8 2" xfId="13116" xr:uid="{D54A4340-2F9A-4665-9770-ABD275F1E067}"/>
    <cellStyle name="Normal 12 2 2 8 3" xfId="21563" xr:uid="{64B55495-0544-419C-BFF7-2E0C6F2F0431}"/>
    <cellStyle name="Normal 12 2 2 9" xfId="8898" xr:uid="{5F7AA131-CFFD-49D9-8B13-5518CEE23FEE}"/>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B04E0AAE-2696-4DE0-959B-D5C4A9911FF5}"/>
    <cellStyle name="Normal 12 2 3 2 2 2 3" xfId="24124" xr:uid="{8C441FCB-C736-4B86-A91C-8231E551515C}"/>
    <cellStyle name="Normal 12 2 3 2 2 3" xfId="11459" xr:uid="{72608713-A9C9-4825-A3D6-33592A9AEB9E}"/>
    <cellStyle name="Normal 12 2 3 2 2 4" xfId="19907" xr:uid="{086D0EB7-B5A7-4AFD-90EC-1924EBED2749}"/>
    <cellStyle name="Normal 12 2 3 2 3" xfId="5082" xr:uid="{00000000-0005-0000-0000-0000FA0D0000}"/>
    <cellStyle name="Normal 12 2 3 2 3 2" xfId="13532" xr:uid="{7D5278FD-A977-4305-B86E-0D0EA0D76244}"/>
    <cellStyle name="Normal 12 2 3 2 3 3" xfId="21979" xr:uid="{E7B849E4-063D-40C3-9ABB-BD324FB6144F}"/>
    <cellStyle name="Normal 12 2 3 2 4" xfId="9314" xr:uid="{CFD08CAD-FB54-4A51-9F68-DE90D0E61AEE}"/>
    <cellStyle name="Normal 12 2 3 2 5" xfId="17762" xr:uid="{B3ED9710-67F9-49EF-AF20-5664DB2272C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1AF22D59-0F1F-4057-B313-360C907E7A4A}"/>
    <cellStyle name="Normal 12 2 3 3 2 2 3" xfId="24537" xr:uid="{6E4553DB-B41F-4F64-A36C-44AEF40E7F0E}"/>
    <cellStyle name="Normal 12 2 3 3 2 3" xfId="11872" xr:uid="{0355E3AF-43F3-4B46-8785-A4CBFE48A30B}"/>
    <cellStyle name="Normal 12 2 3 3 2 4" xfId="20320" xr:uid="{3FDFDA38-7FC5-4814-94BF-90863BD389DB}"/>
    <cellStyle name="Normal 12 2 3 3 3" xfId="5495" xr:uid="{00000000-0005-0000-0000-0000FE0D0000}"/>
    <cellStyle name="Normal 12 2 3 3 3 2" xfId="13945" xr:uid="{EB1FDC75-5FD4-4A04-A487-A3583FD05747}"/>
    <cellStyle name="Normal 12 2 3 3 3 3" xfId="22392" xr:uid="{3B61704F-1C82-4357-BC07-AD1C28A7D651}"/>
    <cellStyle name="Normal 12 2 3 3 4" xfId="9727" xr:uid="{2785FE24-9E6E-4664-82DB-4FCAFFAE679C}"/>
    <cellStyle name="Normal 12 2 3 3 5" xfId="18175" xr:uid="{0347EEE0-1946-47EE-ABC8-6C2E778ED847}"/>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50D23F16-2446-4EC7-87D3-ABFA678666C5}"/>
    <cellStyle name="Normal 12 2 3 4 2 2 3" xfId="24950" xr:uid="{4EA48F4B-4F84-4E29-A198-A648B21B7AA8}"/>
    <cellStyle name="Normal 12 2 3 4 2 3" xfId="12285" xr:uid="{EA4C01E6-CAD6-4363-9E9D-B0493EA13CE6}"/>
    <cellStyle name="Normal 12 2 3 4 2 4" xfId="20733" xr:uid="{BDE0F10B-FFEC-493E-B6D6-613222D697A4}"/>
    <cellStyle name="Normal 12 2 3 4 3" xfId="5908" xr:uid="{00000000-0005-0000-0000-0000020E0000}"/>
    <cellStyle name="Normal 12 2 3 4 3 2" xfId="14358" xr:uid="{D96F0649-8675-40AB-93DE-E35A52BBE669}"/>
    <cellStyle name="Normal 12 2 3 4 3 3" xfId="22805" xr:uid="{7F764176-83EB-4BFE-967D-1F24F1A0D6A8}"/>
    <cellStyle name="Normal 12 2 3 4 4" xfId="10140" xr:uid="{C8542A3C-AD54-4E05-833B-3312C22EF522}"/>
    <cellStyle name="Normal 12 2 3 4 5" xfId="18588" xr:uid="{A024FBD8-E5DF-48B4-9AC2-4915578EA5E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DFCB99E8-9D39-49F8-AA4D-F9132B7BD445}"/>
    <cellStyle name="Normal 12 2 3 5 2 2 3" xfId="25363" xr:uid="{FDCB0A29-57FF-4464-8FA7-764BF3AEDDCA}"/>
    <cellStyle name="Normal 12 2 3 5 2 3" xfId="12698" xr:uid="{B0D0F683-BE22-4197-B64E-D18D9DCB57E8}"/>
    <cellStyle name="Normal 12 2 3 5 2 4" xfId="21146" xr:uid="{38337455-22B8-472C-AD1B-A5429C3F6B36}"/>
    <cellStyle name="Normal 12 2 3 5 3" xfId="6321" xr:uid="{00000000-0005-0000-0000-0000060E0000}"/>
    <cellStyle name="Normal 12 2 3 5 3 2" xfId="14771" xr:uid="{B90BD3D1-CFE7-4724-9B0F-67704249D001}"/>
    <cellStyle name="Normal 12 2 3 5 3 3" xfId="23218" xr:uid="{896624E3-67E1-44FB-A17A-E846E53DAC32}"/>
    <cellStyle name="Normal 12 2 3 5 4" xfId="10553" xr:uid="{CB46B81F-66E8-467F-B162-90A95747C77B}"/>
    <cellStyle name="Normal 12 2 3 5 5" xfId="19001" xr:uid="{92A00FEB-30F4-41AA-AA4B-B5761B54B487}"/>
    <cellStyle name="Normal 12 2 3 6" xfId="2451" xr:uid="{00000000-0005-0000-0000-0000070E0000}"/>
    <cellStyle name="Normal 12 2 3 6 2" xfId="6734" xr:uid="{00000000-0005-0000-0000-0000080E0000}"/>
    <cellStyle name="Normal 12 2 3 6 2 2" xfId="15184" xr:uid="{C9FC3DE3-712C-49DB-8676-4DD01979FDA2}"/>
    <cellStyle name="Normal 12 2 3 6 2 3" xfId="23631" xr:uid="{4F7A15CF-03D6-45B4-B178-2F9460B73815}"/>
    <cellStyle name="Normal 12 2 3 6 3" xfId="10966" xr:uid="{FB19C794-2082-4BAA-9B6B-50079E3E1A12}"/>
    <cellStyle name="Normal 12 2 3 6 4" xfId="19414" xr:uid="{D60729F0-7F5A-4EE0-A934-D4B87ED3D174}"/>
    <cellStyle name="Normal 12 2 3 7" xfId="4668" xr:uid="{00000000-0005-0000-0000-0000090E0000}"/>
    <cellStyle name="Normal 12 2 3 7 2" xfId="13118" xr:uid="{67761A58-5032-4CAB-A6EF-10600401B836}"/>
    <cellStyle name="Normal 12 2 3 7 3" xfId="21565" xr:uid="{7105DFF1-6914-47C3-9823-5F6BCBBA7714}"/>
    <cellStyle name="Normal 12 2 3 8" xfId="8900" xr:uid="{1E84AEE8-9590-4A89-815C-57222BF0B39B}"/>
    <cellStyle name="Normal 12 2 3 9" xfId="17348" xr:uid="{0DEA8F82-F0D8-49FF-B1B1-64450B169BCB}"/>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4441FAD5-75EF-4658-8482-726A6499B1D9}"/>
    <cellStyle name="Normal 12 2 4 2 2 3" xfId="24121" xr:uid="{EC2F64C5-AE1E-4E5D-ADC1-35FDF774D1D9}"/>
    <cellStyle name="Normal 12 2 4 2 3" xfId="11456" xr:uid="{FB9B74B5-CDB1-4712-8FFB-7B2E85C15938}"/>
    <cellStyle name="Normal 12 2 4 2 4" xfId="19904" xr:uid="{656532EA-0FB8-4487-9324-300B26B8A767}"/>
    <cellStyle name="Normal 12 2 4 3" xfId="5079" xr:uid="{00000000-0005-0000-0000-00000D0E0000}"/>
    <cellStyle name="Normal 12 2 4 3 2" xfId="13529" xr:uid="{1F7B8246-802E-405C-9444-E03027FE8C3C}"/>
    <cellStyle name="Normal 12 2 4 3 3" xfId="21976" xr:uid="{0CC73D13-264D-4896-A183-ED14899A9B20}"/>
    <cellStyle name="Normal 12 2 4 4" xfId="9311" xr:uid="{44F731E1-E6A0-42E9-A1B1-BC1D02C47305}"/>
    <cellStyle name="Normal 12 2 4 5" xfId="17759" xr:uid="{A8D62727-3779-4D86-9478-FD30B9ACEDAE}"/>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F1C1A212-5287-421B-AB28-4C4256569895}"/>
    <cellStyle name="Normal 12 2 5 2 2 3" xfId="24534" xr:uid="{DA622589-1025-4F76-813C-5660401DB874}"/>
    <cellStyle name="Normal 12 2 5 2 3" xfId="11869" xr:uid="{7420FAA9-39F5-43FF-9E2B-00B083F32A3D}"/>
    <cellStyle name="Normal 12 2 5 2 4" xfId="20317" xr:uid="{34DD4D63-95B3-4B0B-B189-4CC5F0385503}"/>
    <cellStyle name="Normal 12 2 5 3" xfId="5492" xr:uid="{00000000-0005-0000-0000-0000110E0000}"/>
    <cellStyle name="Normal 12 2 5 3 2" xfId="13942" xr:uid="{E9C3EE3F-2351-4B59-9FEC-B9825BB7720D}"/>
    <cellStyle name="Normal 12 2 5 3 3" xfId="22389" xr:uid="{4001DA76-C0C8-4189-A310-057ED43BDBFB}"/>
    <cellStyle name="Normal 12 2 5 4" xfId="9724" xr:uid="{07750D59-1853-4450-AED6-14AFA735E16E}"/>
    <cellStyle name="Normal 12 2 5 5" xfId="18172" xr:uid="{8B4CF5C5-266A-47C7-B303-8D1C6E958641}"/>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5DC77EDB-4B6D-4A0F-95AD-80FE04DF7AF2}"/>
    <cellStyle name="Normal 12 2 6 2 2 3" xfId="24947" xr:uid="{9EAF587B-D262-4156-AF8F-A2FC9CC87BE3}"/>
    <cellStyle name="Normal 12 2 6 2 3" xfId="12282" xr:uid="{761B1CD9-4E92-4354-8A63-1A396DC6756D}"/>
    <cellStyle name="Normal 12 2 6 2 4" xfId="20730" xr:uid="{633498F1-647E-4648-82FC-605DEAB70633}"/>
    <cellStyle name="Normal 12 2 6 3" xfId="5905" xr:uid="{00000000-0005-0000-0000-0000150E0000}"/>
    <cellStyle name="Normal 12 2 6 3 2" xfId="14355" xr:uid="{72ABB9C2-3514-4CEC-AD75-1D96091A8583}"/>
    <cellStyle name="Normal 12 2 6 3 3" xfId="22802" xr:uid="{D73BC4D2-4775-4F75-8E94-3A48C28E5C9D}"/>
    <cellStyle name="Normal 12 2 6 4" xfId="10137" xr:uid="{5458D88C-CD1E-4C00-857E-6756D2279109}"/>
    <cellStyle name="Normal 12 2 6 5" xfId="18585" xr:uid="{43F017DF-B2D5-49E6-84C3-B506F1FE548D}"/>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0B3EA888-776F-408F-8614-F75761CEC6B0}"/>
    <cellStyle name="Normal 12 2 7 2 2 3" xfId="25360" xr:uid="{28AC7AD2-9105-40C0-B772-42FE0CAB8DCC}"/>
    <cellStyle name="Normal 12 2 7 2 3" xfId="12695" xr:uid="{DC96DF2B-1E2C-4D39-8190-68D01942651D}"/>
    <cellStyle name="Normal 12 2 7 2 4" xfId="21143" xr:uid="{E0077698-3B01-4593-B23B-BC68CC255FBC}"/>
    <cellStyle name="Normal 12 2 7 3" xfId="6318" xr:uid="{00000000-0005-0000-0000-0000190E0000}"/>
    <cellStyle name="Normal 12 2 7 3 2" xfId="14768" xr:uid="{FFED1CB6-0E02-431A-AA08-095FDAFF7F17}"/>
    <cellStyle name="Normal 12 2 7 3 3" xfId="23215" xr:uid="{766F8AA0-9B6A-473E-8BB0-76483594E5E2}"/>
    <cellStyle name="Normal 12 2 7 4" xfId="10550" xr:uid="{119C1D87-53F6-4C1A-9428-F72AD1B1BDDD}"/>
    <cellStyle name="Normal 12 2 7 5" xfId="18998" xr:uid="{C8192174-F25F-48D0-885F-EB2FE7CD14EB}"/>
    <cellStyle name="Normal 12 2 8" xfId="2448" xr:uid="{00000000-0005-0000-0000-00001A0E0000}"/>
    <cellStyle name="Normal 12 2 8 2" xfId="6731" xr:uid="{00000000-0005-0000-0000-00001B0E0000}"/>
    <cellStyle name="Normal 12 2 8 2 2" xfId="15181" xr:uid="{DD79AD91-5B28-4B34-9A7E-C6128BDE4A00}"/>
    <cellStyle name="Normal 12 2 8 2 3" xfId="23628" xr:uid="{9307EC11-DD8D-4945-824E-664D0BEC3521}"/>
    <cellStyle name="Normal 12 2 8 3" xfId="10963" xr:uid="{42D06EF9-3A50-49D7-95CF-920E25259C8E}"/>
    <cellStyle name="Normal 12 2 8 4" xfId="19411" xr:uid="{9214E36D-6BDF-4C78-8305-5071190CB8BF}"/>
    <cellStyle name="Normal 12 2 9" xfId="4665" xr:uid="{00000000-0005-0000-0000-00001C0E0000}"/>
    <cellStyle name="Normal 12 2 9 2" xfId="13115" xr:uid="{089BF991-649A-414C-9A1A-B84614C8A41B}"/>
    <cellStyle name="Normal 12 2 9 3" xfId="21562" xr:uid="{2E3DF3B8-A838-4173-B4C0-0A2872DBD8AD}"/>
    <cellStyle name="Normal 12 3" xfId="264" xr:uid="{00000000-0005-0000-0000-00001D0E0000}"/>
    <cellStyle name="Normal 12 3 10" xfId="17349" xr:uid="{BC3F0F94-76D2-44D3-A6E6-068C3DB2033E}"/>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50377B33-B852-43A1-A75D-7CB8D6E5C75F}"/>
    <cellStyle name="Normal 12 3 2 2 2 2 3" xfId="24126" xr:uid="{6E69374D-D372-4967-B19A-D89CA253B898}"/>
    <cellStyle name="Normal 12 3 2 2 2 3" xfId="11461" xr:uid="{62A09D2E-CE4E-4254-9680-D7D993DBD44D}"/>
    <cellStyle name="Normal 12 3 2 2 2 4" xfId="19909" xr:uid="{83B0070A-C63B-477D-9F57-BF0835AE2774}"/>
    <cellStyle name="Normal 12 3 2 2 3" xfId="5084" xr:uid="{00000000-0005-0000-0000-0000220E0000}"/>
    <cellStyle name="Normal 12 3 2 2 3 2" xfId="13534" xr:uid="{6A29EDC7-906E-4492-8B30-976EAA4E4C1D}"/>
    <cellStyle name="Normal 12 3 2 2 3 3" xfId="21981" xr:uid="{8CFD0794-BBEA-488D-BFCA-74B9E7351FE4}"/>
    <cellStyle name="Normal 12 3 2 2 4" xfId="9316" xr:uid="{BF7B10C5-EB41-47B6-A76F-378282D85ED7}"/>
    <cellStyle name="Normal 12 3 2 2 5" xfId="17764" xr:uid="{EC1CFE0B-0A30-46E9-8855-5D6F765A0807}"/>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F6ED36BD-D0CC-4A92-B0CD-41A98E6D34A6}"/>
    <cellStyle name="Normal 12 3 2 3 2 2 3" xfId="24539" xr:uid="{F2C6BF42-A655-444E-8CC2-9A3511F63B42}"/>
    <cellStyle name="Normal 12 3 2 3 2 3" xfId="11874" xr:uid="{B2B4DB9C-4EE4-45CD-9178-C35D172D51C3}"/>
    <cellStyle name="Normal 12 3 2 3 2 4" xfId="20322" xr:uid="{36182038-DCAE-446F-AA5C-B0400C18C81D}"/>
    <cellStyle name="Normal 12 3 2 3 3" xfId="5497" xr:uid="{00000000-0005-0000-0000-0000260E0000}"/>
    <cellStyle name="Normal 12 3 2 3 3 2" xfId="13947" xr:uid="{5B8FD401-3BDC-4E8D-9310-3C1C1CF1F936}"/>
    <cellStyle name="Normal 12 3 2 3 3 3" xfId="22394" xr:uid="{B0631F49-4C51-40ED-80E0-E78A87DF1C9E}"/>
    <cellStyle name="Normal 12 3 2 3 4" xfId="9729" xr:uid="{869D526D-775D-46C1-BFD6-440F67FFFE0A}"/>
    <cellStyle name="Normal 12 3 2 3 5" xfId="18177" xr:uid="{1ACF0CCE-4F73-4E1A-8FE8-2AB60CFA3FFF}"/>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06644B98-5405-4F64-8BAE-C22A4F0AC87C}"/>
    <cellStyle name="Normal 12 3 2 4 2 2 3" xfId="24952" xr:uid="{838DB0F6-4850-4D46-B11A-3E7FE61D1C2D}"/>
    <cellStyle name="Normal 12 3 2 4 2 3" xfId="12287" xr:uid="{15B30C8C-94E9-4FDB-8D5D-23E4A0CF9C81}"/>
    <cellStyle name="Normal 12 3 2 4 2 4" xfId="20735" xr:uid="{7AABA52E-2DE8-4509-85A5-7525BA4FA211}"/>
    <cellStyle name="Normal 12 3 2 4 3" xfId="5910" xr:uid="{00000000-0005-0000-0000-00002A0E0000}"/>
    <cellStyle name="Normal 12 3 2 4 3 2" xfId="14360" xr:uid="{97E0754B-FC50-4668-A17A-DF91C11F7DD0}"/>
    <cellStyle name="Normal 12 3 2 4 3 3" xfId="22807" xr:uid="{F2438A3C-AF49-40B2-8B90-02088D013184}"/>
    <cellStyle name="Normal 12 3 2 4 4" xfId="10142" xr:uid="{B141983A-4A6C-422D-8089-E1CF3FB85CD1}"/>
    <cellStyle name="Normal 12 3 2 4 5" xfId="18590" xr:uid="{AAA5E191-2A14-47D0-BEC0-AA0DBFE99929}"/>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A2ACA695-50EF-4565-B48D-E5AC114C96AB}"/>
    <cellStyle name="Normal 12 3 2 5 2 2 3" xfId="25365" xr:uid="{8B891AF8-656E-4899-8BF9-DE2AA495730F}"/>
    <cellStyle name="Normal 12 3 2 5 2 3" xfId="12700" xr:uid="{A15044EC-C404-45A0-8329-AC3263D759C4}"/>
    <cellStyle name="Normal 12 3 2 5 2 4" xfId="21148" xr:uid="{98CDD928-335A-4A99-972F-FECD6946A01C}"/>
    <cellStyle name="Normal 12 3 2 5 3" xfId="6323" xr:uid="{00000000-0005-0000-0000-00002E0E0000}"/>
    <cellStyle name="Normal 12 3 2 5 3 2" xfId="14773" xr:uid="{95B058F3-3A03-482A-854C-7F5374709303}"/>
    <cellStyle name="Normal 12 3 2 5 3 3" xfId="23220" xr:uid="{557ADB6F-A05E-438C-86E8-CFF365CE8B58}"/>
    <cellStyle name="Normal 12 3 2 5 4" xfId="10555" xr:uid="{0BC7588B-7235-45A5-B08F-A64FE2AE2B35}"/>
    <cellStyle name="Normal 12 3 2 5 5" xfId="19003" xr:uid="{AEBD8064-38E8-49E6-97E1-F3978649D93C}"/>
    <cellStyle name="Normal 12 3 2 6" xfId="2453" xr:uid="{00000000-0005-0000-0000-00002F0E0000}"/>
    <cellStyle name="Normal 12 3 2 6 2" xfId="6736" xr:uid="{00000000-0005-0000-0000-0000300E0000}"/>
    <cellStyle name="Normal 12 3 2 6 2 2" xfId="15186" xr:uid="{27A767B5-0AEA-4B54-A61B-B80784BB02A0}"/>
    <cellStyle name="Normal 12 3 2 6 2 3" xfId="23633" xr:uid="{A69C0D51-0995-47E0-BD40-96E81E6FF28D}"/>
    <cellStyle name="Normal 12 3 2 6 3" xfId="10968" xr:uid="{0FC4831E-6D2F-42A5-B38F-DDC03C1ADB4A}"/>
    <cellStyle name="Normal 12 3 2 6 4" xfId="19416" xr:uid="{627E8137-F9DB-47E4-A498-ECA8864625C1}"/>
    <cellStyle name="Normal 12 3 2 7" xfId="4670" xr:uid="{00000000-0005-0000-0000-0000310E0000}"/>
    <cellStyle name="Normal 12 3 2 7 2" xfId="13120" xr:uid="{8A5AE64D-9656-4E5A-A52A-FABFA000F584}"/>
    <cellStyle name="Normal 12 3 2 7 3" xfId="21567" xr:uid="{1CF97232-D513-41FA-A7B0-E49F3EECDB71}"/>
    <cellStyle name="Normal 12 3 2 8" xfId="8902" xr:uid="{BFB5946D-C0FF-47E4-B85C-DCBC4FCDB99D}"/>
    <cellStyle name="Normal 12 3 2 9" xfId="17350" xr:uid="{2AA62CE2-DD5C-48A9-9E89-E0F2890AA937}"/>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3514F571-7F94-4EB9-B90C-A13AFF3F3F96}"/>
    <cellStyle name="Normal 12 3 3 2 2 3" xfId="24125" xr:uid="{2EB87822-3958-488B-B959-8DE3672624A3}"/>
    <cellStyle name="Normal 12 3 3 2 3" xfId="11460" xr:uid="{664A624B-255A-4D27-9640-09536829E067}"/>
    <cellStyle name="Normal 12 3 3 2 4" xfId="19908" xr:uid="{0FDE1E3D-5B1F-422E-AC76-E82E05A0E125}"/>
    <cellStyle name="Normal 12 3 3 3" xfId="5083" xr:uid="{00000000-0005-0000-0000-0000350E0000}"/>
    <cellStyle name="Normal 12 3 3 3 2" xfId="13533" xr:uid="{0485401F-F97D-466A-B1B5-77E280D63988}"/>
    <cellStyle name="Normal 12 3 3 3 3" xfId="21980" xr:uid="{75E5037B-FF73-40B5-84B9-714A7CB134BF}"/>
    <cellStyle name="Normal 12 3 3 4" xfId="9315" xr:uid="{A3E83D31-E8D7-4506-B974-558F172991A2}"/>
    <cellStyle name="Normal 12 3 3 5" xfId="17763" xr:uid="{64E9671E-FED7-4ED5-992E-3A994958AE9B}"/>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DDB241AA-64F0-4B7A-BA57-88C86CE86F9E}"/>
    <cellStyle name="Normal 12 3 4 2 2 3" xfId="24538" xr:uid="{D50F4620-3F4C-4C3A-8BF7-E1F226658187}"/>
    <cellStyle name="Normal 12 3 4 2 3" xfId="11873" xr:uid="{A5977071-C536-4ED5-99C7-20B53CF1D056}"/>
    <cellStyle name="Normal 12 3 4 2 4" xfId="20321" xr:uid="{D6FEA75D-AB2A-43C9-ACE5-DB8F89492309}"/>
    <cellStyle name="Normal 12 3 4 3" xfId="5496" xr:uid="{00000000-0005-0000-0000-0000390E0000}"/>
    <cellStyle name="Normal 12 3 4 3 2" xfId="13946" xr:uid="{5FE3A3C4-98A2-4795-9CEE-24A83F47D3BC}"/>
    <cellStyle name="Normal 12 3 4 3 3" xfId="22393" xr:uid="{5C481D71-44A5-4BED-8811-CC6B3C7C6AD2}"/>
    <cellStyle name="Normal 12 3 4 4" xfId="9728" xr:uid="{70DB11F3-9D21-4EE0-93CE-DC996782143D}"/>
    <cellStyle name="Normal 12 3 4 5" xfId="18176" xr:uid="{237C5E74-D146-4150-ACCC-22E5B3468EFB}"/>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AB0AD361-7021-4CB1-97A8-1813B80C98ED}"/>
    <cellStyle name="Normal 12 3 5 2 2 3" xfId="24951" xr:uid="{328C46E1-EA72-4639-A510-CC792274EC1C}"/>
    <cellStyle name="Normal 12 3 5 2 3" xfId="12286" xr:uid="{382E983C-9A20-4D86-8893-744DBF8818D1}"/>
    <cellStyle name="Normal 12 3 5 2 4" xfId="20734" xr:uid="{A0AA9E0E-1205-4444-AE19-0AB5A1F47D89}"/>
    <cellStyle name="Normal 12 3 5 3" xfId="5909" xr:uid="{00000000-0005-0000-0000-00003D0E0000}"/>
    <cellStyle name="Normal 12 3 5 3 2" xfId="14359" xr:uid="{C812BE81-DAB7-46A2-A9B2-6FD2E9ABF2C2}"/>
    <cellStyle name="Normal 12 3 5 3 3" xfId="22806" xr:uid="{903A6123-655E-46C5-BF55-74063521B06B}"/>
    <cellStyle name="Normal 12 3 5 4" xfId="10141" xr:uid="{E9BFDE31-6BC7-4350-AACD-5591EB752D6F}"/>
    <cellStyle name="Normal 12 3 5 5" xfId="18589" xr:uid="{199372D9-02F8-44C3-B54D-112637FF7DA3}"/>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730A49A6-EEEB-4FC9-A4B1-9901FEEDC686}"/>
    <cellStyle name="Normal 12 3 6 2 2 3" xfId="25364" xr:uid="{86EC3198-C7A0-4A76-A926-C163AB80BCDC}"/>
    <cellStyle name="Normal 12 3 6 2 3" xfId="12699" xr:uid="{86724363-EF84-4BB0-A3B6-4B653A3814B6}"/>
    <cellStyle name="Normal 12 3 6 2 4" xfId="21147" xr:uid="{41D1B34B-6EF4-4749-9F45-4FF860E63C82}"/>
    <cellStyle name="Normal 12 3 6 3" xfId="6322" xr:uid="{00000000-0005-0000-0000-0000410E0000}"/>
    <cellStyle name="Normal 12 3 6 3 2" xfId="14772" xr:uid="{2E00EC36-DB56-4665-B7E1-B81D5C18A395}"/>
    <cellStyle name="Normal 12 3 6 3 3" xfId="23219" xr:uid="{D4866890-762C-4D09-B16F-741CCAE77AAB}"/>
    <cellStyle name="Normal 12 3 6 4" xfId="10554" xr:uid="{34C923A7-8740-44A8-8738-0368C368F000}"/>
    <cellStyle name="Normal 12 3 6 5" xfId="19002" xr:uid="{A84CA172-1229-4E46-AE9E-EE89DEEA3BE0}"/>
    <cellStyle name="Normal 12 3 7" xfId="2452" xr:uid="{00000000-0005-0000-0000-0000420E0000}"/>
    <cellStyle name="Normal 12 3 7 2" xfId="6735" xr:uid="{00000000-0005-0000-0000-0000430E0000}"/>
    <cellStyle name="Normal 12 3 7 2 2" xfId="15185" xr:uid="{FA446CF2-72E8-474F-A973-6BC62B89B60C}"/>
    <cellStyle name="Normal 12 3 7 2 3" xfId="23632" xr:uid="{FE59AAFA-86FF-4C3B-BC57-6037EC7C2F3A}"/>
    <cellStyle name="Normal 12 3 7 3" xfId="10967" xr:uid="{0F9012C3-C084-42E8-B17F-1700D989D5A3}"/>
    <cellStyle name="Normal 12 3 7 4" xfId="19415" xr:uid="{DEEAA120-BB31-46B1-BC9E-08A33B5FDEBF}"/>
    <cellStyle name="Normal 12 3 8" xfId="4669" xr:uid="{00000000-0005-0000-0000-0000440E0000}"/>
    <cellStyle name="Normal 12 3 8 2" xfId="13119" xr:uid="{D651601A-B406-49D6-BB38-45B9C7A3B8FC}"/>
    <cellStyle name="Normal 12 3 8 3" xfId="21566" xr:uid="{F6272306-04BB-447E-AAA8-CA170FDE25FE}"/>
    <cellStyle name="Normal 12 3 9" xfId="8901" xr:uid="{44EC353C-DE7F-4269-ABCD-ECB21E4754EF}"/>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5F0BB06B-B2F8-4B5D-AFFA-2C986BA35D88}"/>
    <cellStyle name="Normal 12 4 2 2 2 3" xfId="24127" xr:uid="{A7216F0C-C58D-48D4-8B00-F7EED229D8D0}"/>
    <cellStyle name="Normal 12 4 2 2 3" xfId="11462" xr:uid="{3D6E95A6-6DE3-4FAA-838C-0B702B11CD1B}"/>
    <cellStyle name="Normal 12 4 2 2 4" xfId="19910" xr:uid="{46368E80-B286-4E85-824E-BFDDA48B7F53}"/>
    <cellStyle name="Normal 12 4 2 3" xfId="5085" xr:uid="{00000000-0005-0000-0000-0000490E0000}"/>
    <cellStyle name="Normal 12 4 2 3 2" xfId="13535" xr:uid="{A86A8008-3EC2-407E-9F20-294CEE74AD0E}"/>
    <cellStyle name="Normal 12 4 2 3 3" xfId="21982" xr:uid="{014EF158-BFF2-4920-9C62-A2453C79715E}"/>
    <cellStyle name="Normal 12 4 2 4" xfId="9317" xr:uid="{53CE132A-945F-4146-A805-5143E9738A44}"/>
    <cellStyle name="Normal 12 4 2 5" xfId="17765" xr:uid="{F15EF9D4-47D3-45D8-AB2C-9875430A21D5}"/>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CCBF2294-5780-499B-9E53-5FFE07366109}"/>
    <cellStyle name="Normal 12 4 3 2 2 3" xfId="24540" xr:uid="{2C806096-20E1-4259-9F3B-E4C95FED07EA}"/>
    <cellStyle name="Normal 12 4 3 2 3" xfId="11875" xr:uid="{93F0687B-653C-47BA-B501-E60D39FF8816}"/>
    <cellStyle name="Normal 12 4 3 2 4" xfId="20323" xr:uid="{DBA8A2EF-C040-41E9-801D-01C740F6D60F}"/>
    <cellStyle name="Normal 12 4 3 3" xfId="5498" xr:uid="{00000000-0005-0000-0000-00004D0E0000}"/>
    <cellStyle name="Normal 12 4 3 3 2" xfId="13948" xr:uid="{818AFF6C-5E91-4F16-9C0C-3A3865C9DC3E}"/>
    <cellStyle name="Normal 12 4 3 3 3" xfId="22395" xr:uid="{E0644E16-B834-463C-B8E1-5D9FBE8394D1}"/>
    <cellStyle name="Normal 12 4 3 4" xfId="9730" xr:uid="{70F66D08-0800-4960-8176-A588BEECC3E1}"/>
    <cellStyle name="Normal 12 4 3 5" xfId="18178" xr:uid="{22336240-7BA2-4250-A874-45C8FB7FFE3A}"/>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4B6B0E40-45A1-4C15-97DD-30ACC8EA85EB}"/>
    <cellStyle name="Normal 12 4 4 2 2 3" xfId="24953" xr:uid="{915C16FE-329A-4069-A8FA-E36B0D56A785}"/>
    <cellStyle name="Normal 12 4 4 2 3" xfId="12288" xr:uid="{216E4251-979F-485A-81BE-82DBD302A655}"/>
    <cellStyle name="Normal 12 4 4 2 4" xfId="20736" xr:uid="{A5019414-77BF-419F-A86B-2F592CB5FB34}"/>
    <cellStyle name="Normal 12 4 4 3" xfId="5911" xr:uid="{00000000-0005-0000-0000-0000510E0000}"/>
    <cellStyle name="Normal 12 4 4 3 2" xfId="14361" xr:uid="{513099B2-9366-426C-A548-35941CFD51C1}"/>
    <cellStyle name="Normal 12 4 4 3 3" xfId="22808" xr:uid="{014FB969-3AB2-4C24-BB26-2CF01B332517}"/>
    <cellStyle name="Normal 12 4 4 4" xfId="10143" xr:uid="{F73E8626-A5C3-4A3A-A4BE-83D7F0C7D303}"/>
    <cellStyle name="Normal 12 4 4 5" xfId="18591" xr:uid="{7A432033-CCF3-476E-9864-DC6BA85EF7B0}"/>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E63147F8-6D73-4A7A-A409-56696A3CDF1B}"/>
    <cellStyle name="Normal 12 4 5 2 2 3" xfId="25366" xr:uid="{788D354F-B561-4783-A903-9A960A5075DA}"/>
    <cellStyle name="Normal 12 4 5 2 3" xfId="12701" xr:uid="{113BA2F6-0C48-4922-A008-F1567A5DFF9A}"/>
    <cellStyle name="Normal 12 4 5 2 4" xfId="21149" xr:uid="{C4474377-BF7E-4F38-B3FB-7407E45D4019}"/>
    <cellStyle name="Normal 12 4 5 3" xfId="6324" xr:uid="{00000000-0005-0000-0000-0000550E0000}"/>
    <cellStyle name="Normal 12 4 5 3 2" xfId="14774" xr:uid="{EE3B436C-A0D7-4B4D-8058-0648C1E9334C}"/>
    <cellStyle name="Normal 12 4 5 3 3" xfId="23221" xr:uid="{E61BFA59-C19C-49E7-9552-042D7F4802C1}"/>
    <cellStyle name="Normal 12 4 5 4" xfId="10556" xr:uid="{DCECD803-2A53-4E1D-8EEB-A31FE17FB2A0}"/>
    <cellStyle name="Normal 12 4 5 5" xfId="19004" xr:uid="{1B42AE18-A05A-4F56-9FF6-3B8CFE3E59F4}"/>
    <cellStyle name="Normal 12 4 6" xfId="2454" xr:uid="{00000000-0005-0000-0000-0000560E0000}"/>
    <cellStyle name="Normal 12 4 6 2" xfId="6737" xr:uid="{00000000-0005-0000-0000-0000570E0000}"/>
    <cellStyle name="Normal 12 4 6 2 2" xfId="15187" xr:uid="{DCA3FDCD-545D-42B7-AE0E-554E1F444C02}"/>
    <cellStyle name="Normal 12 4 6 2 3" xfId="23634" xr:uid="{64991C89-0C6E-4B98-90B4-B5378D330CEF}"/>
    <cellStyle name="Normal 12 4 6 3" xfId="10969" xr:uid="{F5F8B613-DFAD-45B2-87B2-5B6D67CAD082}"/>
    <cellStyle name="Normal 12 4 6 4" xfId="19417" xr:uid="{07D7234E-6367-4D06-818B-A751FF41CEEA}"/>
    <cellStyle name="Normal 12 4 7" xfId="4671" xr:uid="{00000000-0005-0000-0000-0000580E0000}"/>
    <cellStyle name="Normal 12 4 7 2" xfId="13121" xr:uid="{297573DE-428A-4800-AA73-CCE03B9EF5C6}"/>
    <cellStyle name="Normal 12 4 7 3" xfId="21568" xr:uid="{6A136F95-586A-4563-8991-67CC13A55BC9}"/>
    <cellStyle name="Normal 12 4 8" xfId="8903" xr:uid="{57AC0248-99CE-4EFB-AA58-F29CA2A70F93}"/>
    <cellStyle name="Normal 12 4 9" xfId="17351" xr:uid="{0435FC3B-BA99-4F8C-9511-D609D851B83E}"/>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1D22CE89-240B-4478-86E2-39F752FA4F44}"/>
    <cellStyle name="Normal 12 6 2 2 3" xfId="24120" xr:uid="{302A308B-0BAE-41E8-AF85-4E7A7A91A333}"/>
    <cellStyle name="Normal 12 6 2 3" xfId="11455" xr:uid="{CF006329-D679-4333-BBE7-85429704AB1D}"/>
    <cellStyle name="Normal 12 6 2 4" xfId="19903" xr:uid="{7261B376-8867-433C-9001-1727745AB442}"/>
    <cellStyle name="Normal 12 6 3" xfId="5078" xr:uid="{00000000-0005-0000-0000-00005D0E0000}"/>
    <cellStyle name="Normal 12 6 3 2" xfId="13528" xr:uid="{F6485500-C6C1-481E-B745-A3DB119D61CB}"/>
    <cellStyle name="Normal 12 6 3 3" xfId="21975" xr:uid="{A5D42E2D-4473-4A87-8364-1FB7910EE35D}"/>
    <cellStyle name="Normal 12 6 4" xfId="9310" xr:uid="{9A21309D-9EBE-4AC7-B90C-8B7906AE254A}"/>
    <cellStyle name="Normal 12 6 5" xfId="17758" xr:uid="{7FA471B3-17B0-4B54-9790-FE2667C105AF}"/>
    <cellStyle name="Normal 12 7" xfId="1183" xr:uid="{00000000-0005-0000-0000-00005E0E0000}"/>
    <cellStyle name="Normal 12 7 2" xfId="3414" xr:uid="{00000000-0005-0000-0000-00005F0E0000}"/>
    <cellStyle name="Normal 12 7 2 2" xfId="7636" xr:uid="{00000000-0005-0000-0000-0000600E0000}"/>
    <cellStyle name="Normal 12 7 2 2 2" xfId="16086" xr:uid="{8C4CB347-5EEF-404F-AD6F-37DFDA6E458C}"/>
    <cellStyle name="Normal 12 7 2 2 3" xfId="24533" xr:uid="{606D8BCE-3621-4428-A3C6-FD955C7ADA9A}"/>
    <cellStyle name="Normal 12 7 2 3" xfId="11868" xr:uid="{65229F01-A3E6-4FD8-9ED6-F9ADC2A2D718}"/>
    <cellStyle name="Normal 12 7 2 4" xfId="20316" xr:uid="{CBCFBBB3-5AB0-4F9C-824D-07D32348B7A6}"/>
    <cellStyle name="Normal 12 7 3" xfId="5491" xr:uid="{00000000-0005-0000-0000-0000610E0000}"/>
    <cellStyle name="Normal 12 7 3 2" xfId="13941" xr:uid="{F1A5D1C5-937B-4536-800E-B2C4D62F4C17}"/>
    <cellStyle name="Normal 12 7 3 3" xfId="22388" xr:uid="{64A5A938-4FD7-4859-91DA-B36FBB22DD74}"/>
    <cellStyle name="Normal 12 7 4" xfId="9723" xr:uid="{D1A98A02-4158-4C4A-BEBC-A61831CD21BD}"/>
    <cellStyle name="Normal 12 7 5" xfId="18171" xr:uid="{B9414AA4-3AD9-4EB5-A1E7-72256AE30907}"/>
    <cellStyle name="Normal 12 8" xfId="1597" xr:uid="{00000000-0005-0000-0000-0000620E0000}"/>
    <cellStyle name="Normal 12 8 2" xfId="3827" xr:uid="{00000000-0005-0000-0000-0000630E0000}"/>
    <cellStyle name="Normal 12 8 2 2" xfId="8049" xr:uid="{00000000-0005-0000-0000-0000640E0000}"/>
    <cellStyle name="Normal 12 8 2 2 2" xfId="16499" xr:uid="{5DC90E7E-1A4F-42F9-A47C-5E08BF867EDF}"/>
    <cellStyle name="Normal 12 8 2 2 3" xfId="24946" xr:uid="{33105E84-D7A2-44AF-9D9B-FD36F0EFA2F4}"/>
    <cellStyle name="Normal 12 8 2 3" xfId="12281" xr:uid="{7C3C76B2-B1C7-4A21-981C-CC75110CDAFE}"/>
    <cellStyle name="Normal 12 8 2 4" xfId="20729" xr:uid="{3131B2C7-801D-442A-A199-236EE0B9D001}"/>
    <cellStyle name="Normal 12 8 3" xfId="5904" xr:uid="{00000000-0005-0000-0000-0000650E0000}"/>
    <cellStyle name="Normal 12 8 3 2" xfId="14354" xr:uid="{01B1300F-8E38-4C55-BAF2-477D4D3478A1}"/>
    <cellStyle name="Normal 12 8 3 3" xfId="22801" xr:uid="{F3D8DCE7-59AC-447A-81DF-DFA83944A935}"/>
    <cellStyle name="Normal 12 8 4" xfId="10136" xr:uid="{B1C2F0C9-DECA-4257-BC56-01484F394B25}"/>
    <cellStyle name="Normal 12 8 5" xfId="18584" xr:uid="{2EAAD684-4CE6-491F-9C70-7335EA37FF04}"/>
    <cellStyle name="Normal 12 9" xfId="2011" xr:uid="{00000000-0005-0000-0000-0000660E0000}"/>
    <cellStyle name="Normal 12 9 2" xfId="4240" xr:uid="{00000000-0005-0000-0000-0000670E0000}"/>
    <cellStyle name="Normal 12 9 2 2" xfId="8462" xr:uid="{00000000-0005-0000-0000-0000680E0000}"/>
    <cellStyle name="Normal 12 9 2 2 2" xfId="16912" xr:uid="{28A21FC0-D608-48C4-B129-388EB735508C}"/>
    <cellStyle name="Normal 12 9 2 2 3" xfId="25359" xr:uid="{458369A6-BBD4-480F-B7EB-BE6DEA0CBC58}"/>
    <cellStyle name="Normal 12 9 2 3" xfId="12694" xr:uid="{E69DA36F-AE97-4690-BFB6-873B3CE1AAE9}"/>
    <cellStyle name="Normal 12 9 2 4" xfId="21142" xr:uid="{DB71433B-F680-42E2-842A-D235BC260E39}"/>
    <cellStyle name="Normal 12 9 3" xfId="6317" xr:uid="{00000000-0005-0000-0000-0000690E0000}"/>
    <cellStyle name="Normal 12 9 3 2" xfId="14767" xr:uid="{AD977E67-30CC-4675-8143-6FFB068C14C3}"/>
    <cellStyle name="Normal 12 9 3 3" xfId="23214" xr:uid="{4E9F0084-C6E4-44F3-B6C5-F4DD2D60A098}"/>
    <cellStyle name="Normal 12 9 4" xfId="10549" xr:uid="{659916FB-0F17-4C16-8D31-07D2E41D3D61}"/>
    <cellStyle name="Normal 12 9 5" xfId="18997" xr:uid="{0317ED4F-BE77-4A11-B8E1-D231E8F2B25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A3D90240-DA82-417F-94AB-D1EA5521CAC7}"/>
    <cellStyle name="Normal 14 2 2 2 3" xfId="24128" xr:uid="{8C1CEAD3-6A2B-4470-8423-5D306E7E35FB}"/>
    <cellStyle name="Normal 14 2 2 3" xfId="11463" xr:uid="{02771E16-83BB-4655-B8BA-D9F2A9CD39F0}"/>
    <cellStyle name="Normal 14 2 2 4" xfId="19911" xr:uid="{084EE6A0-A5F3-472C-913E-D2B9F3BF3A9C}"/>
    <cellStyle name="Normal 14 2 3" xfId="5086" xr:uid="{00000000-0005-0000-0000-0000700E0000}"/>
    <cellStyle name="Normal 14 2 3 2" xfId="13536" xr:uid="{452E2E6C-33EC-42D2-8EBC-A78FCF63EC46}"/>
    <cellStyle name="Normal 14 2 3 3" xfId="21983" xr:uid="{3F944BD1-656D-4BC8-BF15-2DD2ECD147B9}"/>
    <cellStyle name="Normal 14 2 4" xfId="9318" xr:uid="{B9896CA6-7E0E-4513-9185-1D1D5926933E}"/>
    <cellStyle name="Normal 14 2 5" xfId="17766" xr:uid="{8ED5D92F-B8E0-4CD0-A877-62422B07A7B7}"/>
    <cellStyle name="Normal 14 3" xfId="1191" xr:uid="{00000000-0005-0000-0000-0000710E0000}"/>
    <cellStyle name="Normal 14 3 2" xfId="3422" xr:uid="{00000000-0005-0000-0000-0000720E0000}"/>
    <cellStyle name="Normal 14 3 2 2" xfId="7644" xr:uid="{00000000-0005-0000-0000-0000730E0000}"/>
    <cellStyle name="Normal 14 3 2 2 2" xfId="16094" xr:uid="{FB6DB943-3498-4CC5-A517-F73046A29B1C}"/>
    <cellStyle name="Normal 14 3 2 2 3" xfId="24541" xr:uid="{C66424B4-A9EB-4C48-B24C-49E95876E4E4}"/>
    <cellStyle name="Normal 14 3 2 3" xfId="11876" xr:uid="{D956A462-56A2-4B42-801A-1A39E0D029FF}"/>
    <cellStyle name="Normal 14 3 2 4" xfId="20324" xr:uid="{E47B0BCB-BEB4-4510-9066-250DBF5D21F0}"/>
    <cellStyle name="Normal 14 3 3" xfId="5499" xr:uid="{00000000-0005-0000-0000-0000740E0000}"/>
    <cellStyle name="Normal 14 3 3 2" xfId="13949" xr:uid="{3B4A7B2A-8063-4A83-9A04-501D34494E0D}"/>
    <cellStyle name="Normal 14 3 3 3" xfId="22396" xr:uid="{404108F3-3DDB-48B6-B74E-D17AB41EFA17}"/>
    <cellStyle name="Normal 14 3 4" xfId="9731" xr:uid="{24196443-D138-444A-B9E1-E98659FBB584}"/>
    <cellStyle name="Normal 14 3 5" xfId="18179" xr:uid="{60B35D79-96D3-4665-9EA1-638ECB75F98D}"/>
    <cellStyle name="Normal 14 4" xfId="1605" xr:uid="{00000000-0005-0000-0000-0000750E0000}"/>
    <cellStyle name="Normal 14 4 2" xfId="3835" xr:uid="{00000000-0005-0000-0000-0000760E0000}"/>
    <cellStyle name="Normal 14 4 2 2" xfId="8057" xr:uid="{00000000-0005-0000-0000-0000770E0000}"/>
    <cellStyle name="Normal 14 4 2 2 2" xfId="16507" xr:uid="{FAE010AB-5670-46CC-994D-1A9E18A3A6E4}"/>
    <cellStyle name="Normal 14 4 2 2 3" xfId="24954" xr:uid="{B3BF0E04-AB4D-4499-B618-B56A73984F60}"/>
    <cellStyle name="Normal 14 4 2 3" xfId="12289" xr:uid="{C773685B-F932-46EE-88EE-88614525FA66}"/>
    <cellStyle name="Normal 14 4 2 4" xfId="20737" xr:uid="{4CA2A552-72A8-4060-87F0-4FD3F85B8B83}"/>
    <cellStyle name="Normal 14 4 3" xfId="5912" xr:uid="{00000000-0005-0000-0000-0000780E0000}"/>
    <cellStyle name="Normal 14 4 3 2" xfId="14362" xr:uid="{8F8B87F8-89FD-4869-BE21-38856FDF2484}"/>
    <cellStyle name="Normal 14 4 3 3" xfId="22809" xr:uid="{18774650-67F0-4C2D-B597-A0328346CCC1}"/>
    <cellStyle name="Normal 14 4 4" xfId="10144" xr:uid="{09944E99-0918-4070-BF04-6BFD68E851E6}"/>
    <cellStyle name="Normal 14 4 5" xfId="18592" xr:uid="{7FC693FC-DD28-4EB7-ADA1-4D12DDF79450}"/>
    <cellStyle name="Normal 14 5" xfId="2019" xr:uid="{00000000-0005-0000-0000-0000790E0000}"/>
    <cellStyle name="Normal 14 5 2" xfId="4248" xr:uid="{00000000-0005-0000-0000-00007A0E0000}"/>
    <cellStyle name="Normal 14 5 2 2" xfId="8470" xr:uid="{00000000-0005-0000-0000-00007B0E0000}"/>
    <cellStyle name="Normal 14 5 2 2 2" xfId="16920" xr:uid="{BE9DCAC1-E33F-4DBC-AFE0-C41879348EA7}"/>
    <cellStyle name="Normal 14 5 2 2 3" xfId="25367" xr:uid="{4E695C5E-7FEE-4CED-8958-1BE1FBB3D42A}"/>
    <cellStyle name="Normal 14 5 2 3" xfId="12702" xr:uid="{87FB90FB-A02D-43AD-B806-0182B99A484C}"/>
    <cellStyle name="Normal 14 5 2 4" xfId="21150" xr:uid="{60C776E1-FFA1-4475-9E67-0573A6961CE0}"/>
    <cellStyle name="Normal 14 5 3" xfId="6325" xr:uid="{00000000-0005-0000-0000-00007C0E0000}"/>
    <cellStyle name="Normal 14 5 3 2" xfId="14775" xr:uid="{D17DFC39-4DC6-457D-A65F-9681356D0F3D}"/>
    <cellStyle name="Normal 14 5 3 3" xfId="23222" xr:uid="{691BDD80-EA5A-406E-9908-C2FCB4E2C6CD}"/>
    <cellStyle name="Normal 14 5 4" xfId="10557" xr:uid="{AF870976-1464-47F3-B5F8-A610A40A89A6}"/>
    <cellStyle name="Normal 14 5 5" xfId="19005" xr:uid="{0508A95C-8E3A-4913-BDC5-9A6109672E4A}"/>
    <cellStyle name="Normal 14 6" xfId="2455" xr:uid="{00000000-0005-0000-0000-00007D0E0000}"/>
    <cellStyle name="Normal 14 6 2" xfId="6738" xr:uid="{00000000-0005-0000-0000-00007E0E0000}"/>
    <cellStyle name="Normal 14 6 2 2" xfId="15188" xr:uid="{3EC78F23-A45A-4398-AF1D-2A1705F88C9C}"/>
    <cellStyle name="Normal 14 6 2 3" xfId="23635" xr:uid="{0E344033-6B3F-4845-B9EF-2F1BD1C1A8D8}"/>
    <cellStyle name="Normal 14 6 3" xfId="10970" xr:uid="{D5D290BB-4A48-469F-B5F9-331A2D5FC442}"/>
    <cellStyle name="Normal 14 6 4" xfId="19418" xr:uid="{444495AD-E6D6-4F39-9BAF-545F1AB6BBD3}"/>
    <cellStyle name="Normal 14 7" xfId="4672" xr:uid="{00000000-0005-0000-0000-00007F0E0000}"/>
    <cellStyle name="Normal 14 7 2" xfId="13122" xr:uid="{22F0CD99-53A0-4D38-AF9E-44BCDE9F7DC1}"/>
    <cellStyle name="Normal 14 7 3" xfId="21569" xr:uid="{8857992A-CEA8-4F22-BEEF-873540743C09}"/>
    <cellStyle name="Normal 14 8" xfId="8904" xr:uid="{79FF0814-21C5-4695-8A6A-7929F4000CE3}"/>
    <cellStyle name="Normal 14 9" xfId="17352" xr:uid="{3715E7FD-2203-4830-90B2-73EAF8A09F88}"/>
    <cellStyle name="Normal 15" xfId="4496" xr:uid="{00000000-0005-0000-0000-0000800E0000}"/>
    <cellStyle name="Normal 15 2" xfId="12948" xr:uid="{03AF29AB-48C6-4BC4-9A04-5E973F54B481}"/>
    <cellStyle name="Normal 15 3" xfId="21395" xr:uid="{CCECC146-700D-4A21-9E71-88C8417578C0}"/>
    <cellStyle name="Normal 16" xfId="4500" xr:uid="{00000000-0005-0000-0000-0000810E0000}"/>
    <cellStyle name="Normal 16 2" xfId="8715" xr:uid="{00000000-0005-0000-0000-0000820E0000}"/>
    <cellStyle name="Normal 16 2 2" xfId="17165" xr:uid="{D8249ADF-A656-46F5-B718-27A1931F28B7}"/>
    <cellStyle name="Normal 16 2 3" xfId="25612" xr:uid="{79BB9FFE-8A2D-416A-BDAB-197DC0B4368E}"/>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4ED436A6-CAFA-4DC1-829C-487516281E28}"/>
    <cellStyle name="Normal 16 3 2 2 2 2 3" xfId="25628" xr:uid="{7F1E5C1A-AC20-492C-8E92-ACD427E086C5}"/>
    <cellStyle name="Normal 16 3 2 2 2 3" xfId="17178" xr:uid="{22E73748-4AB7-4A26-B8AA-3AC04C8316AF}"/>
    <cellStyle name="Normal 16 3 2 2 2 4" xfId="25625" xr:uid="{2C19E1B7-1E1F-4361-AB34-B1493A5B8597}"/>
    <cellStyle name="Normal 16 3 2 2 3" xfId="17174" xr:uid="{AC688D98-C3C5-49EB-840B-06BAFC1B38A2}"/>
    <cellStyle name="Normal 16 3 2 2 4" xfId="25621" xr:uid="{D265B343-9E08-4AA8-AFDD-3EF4B4B4369B}"/>
    <cellStyle name="Normal 16 3 2 3" xfId="17171" xr:uid="{77425B1D-D9DF-49AC-B65B-9AD974CE1CFA}"/>
    <cellStyle name="Normal 16 3 2 4" xfId="25618" xr:uid="{92C76D13-1B4E-47D9-9F05-A38A57594332}"/>
    <cellStyle name="Normal 16 3 3" xfId="17168" xr:uid="{369CFEF0-222D-4189-9FBA-AEAF3DF1C4A5}"/>
    <cellStyle name="Normal 16 3 4" xfId="25615" xr:uid="{E7C513A2-C87F-4686-BC61-6A4C5F7FCAA1}"/>
    <cellStyle name="Normal 16 4" xfId="12951" xr:uid="{3896A813-FC06-484B-A011-224CDBF53C9F}"/>
    <cellStyle name="Normal 16 5" xfId="21398" xr:uid="{040EC594-0370-4F64-9333-3101453CC3BC}"/>
    <cellStyle name="Normal 17" xfId="8728" xr:uid="{3FF0972C-833B-4475-99D8-1A6907499E71}"/>
    <cellStyle name="Normal 17 2" xfId="17177" xr:uid="{1AE071E9-2535-4AC4-A973-843A1D609758}"/>
    <cellStyle name="Normal 17 3" xfId="25624" xr:uid="{63C196C1-1351-46E4-A7FE-AB7D55FEB77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250A706-6128-4830-854F-32B82FA35D67}"/>
    <cellStyle name="Normal 2 4 2 10 2 2 3" xfId="25368" xr:uid="{8B1438BA-E267-480E-A834-26D78A175F40}"/>
    <cellStyle name="Normal 2 4 2 10 2 3" xfId="12703" xr:uid="{1B79E422-B0F5-4463-A387-8B2EB9EEF0E0}"/>
    <cellStyle name="Normal 2 4 2 10 2 4" xfId="21151" xr:uid="{839E41FF-CB98-4698-9BBE-EB7D91B09AC7}"/>
    <cellStyle name="Normal 2 4 2 10 3" xfId="6326" xr:uid="{00000000-0005-0000-0000-0000910E0000}"/>
    <cellStyle name="Normal 2 4 2 10 3 2" xfId="14776" xr:uid="{F51BD10D-9495-4D34-B017-2F22FAC5F414}"/>
    <cellStyle name="Normal 2 4 2 10 3 3" xfId="23223" xr:uid="{2F388223-EFBD-484F-9A8A-41B69324CAA9}"/>
    <cellStyle name="Normal 2 4 2 10 4" xfId="10558" xr:uid="{4B76A24C-C0A5-4D6E-9D23-C4268180F570}"/>
    <cellStyle name="Normal 2 4 2 10 5" xfId="19006" xr:uid="{9D359407-8C30-45C2-8464-C1CF0A43181F}"/>
    <cellStyle name="Normal 2 4 2 11" xfId="2456" xr:uid="{00000000-0005-0000-0000-0000920E0000}"/>
    <cellStyle name="Normal 2 4 2 11 2" xfId="6739" xr:uid="{00000000-0005-0000-0000-0000930E0000}"/>
    <cellStyle name="Normal 2 4 2 11 2 2" xfId="15189" xr:uid="{41BD275C-C7AE-4AF4-AE9E-981411BC2ECA}"/>
    <cellStyle name="Normal 2 4 2 11 2 3" xfId="23636" xr:uid="{83860BF3-6CA7-4CC6-A6EB-8A7FAF8F6F33}"/>
    <cellStyle name="Normal 2 4 2 11 3" xfId="10971" xr:uid="{8C666E0E-C8E7-4459-BE11-3CC46E8F217F}"/>
    <cellStyle name="Normal 2 4 2 11 4" xfId="19419" xr:uid="{96539AA2-F0F0-44FF-B4E5-11315AAAD842}"/>
    <cellStyle name="Normal 2 4 2 12" xfId="4673" xr:uid="{00000000-0005-0000-0000-0000940E0000}"/>
    <cellStyle name="Normal 2 4 2 12 2" xfId="13123" xr:uid="{D9CB3581-3E7E-4F5C-9631-A246691BC0E3}"/>
    <cellStyle name="Normal 2 4 2 12 3" xfId="21570" xr:uid="{FCFBEBF2-8ABF-49D0-AFF4-FD81BE6F3AE1}"/>
    <cellStyle name="Normal 2 4 2 13" xfId="8905" xr:uid="{EBD65783-54B3-41E6-9753-1D5C906C76D9}"/>
    <cellStyle name="Normal 2 4 2 14" xfId="17353" xr:uid="{8CAE2A79-434D-408A-91C5-56880BFC1D7E}"/>
    <cellStyle name="Normal 2 4 2 2" xfId="280" xr:uid="{00000000-0005-0000-0000-0000950E0000}"/>
    <cellStyle name="Normal 2 4 2 3" xfId="281" xr:uid="{00000000-0005-0000-0000-0000960E0000}"/>
    <cellStyle name="Normal 2 4 2 3 10" xfId="4674" xr:uid="{00000000-0005-0000-0000-0000970E0000}"/>
    <cellStyle name="Normal 2 4 2 3 10 2" xfId="13124" xr:uid="{E6A7852C-143F-4F42-8A03-5F2ECC78475A}"/>
    <cellStyle name="Normal 2 4 2 3 10 3" xfId="21571" xr:uid="{6839EBCC-E2E2-4F2C-8FC8-C8B3407CDAE6}"/>
    <cellStyle name="Normal 2 4 2 3 11" xfId="8906" xr:uid="{87536AC8-8C0A-4EFC-AFCE-48DC7C498E44}"/>
    <cellStyle name="Normal 2 4 2 3 12" xfId="17354" xr:uid="{14EDB89F-D5CD-4B15-BAD4-2F1323AFF8CC}"/>
    <cellStyle name="Normal 2 4 2 3 2" xfId="282" xr:uid="{00000000-0005-0000-0000-0000980E0000}"/>
    <cellStyle name="Normal 2 4 2 3 2 10" xfId="8907" xr:uid="{95E29F52-6D03-4DC6-A12D-63B4116E271D}"/>
    <cellStyle name="Normal 2 4 2 3 2 11" xfId="17355" xr:uid="{F61CE32E-74AF-476D-A7A2-FE5B62271A7E}"/>
    <cellStyle name="Normal 2 4 2 3 2 2" xfId="283" xr:uid="{00000000-0005-0000-0000-0000990E0000}"/>
    <cellStyle name="Normal 2 4 2 3 2 2 10" xfId="17356" xr:uid="{62117B85-8D19-40C0-88BE-02B9C54C70C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547A5410-B12A-48AA-9E28-7D5397B712BD}"/>
    <cellStyle name="Normal 2 4 2 3 2 2 2 2 2 2 3" xfId="24133" xr:uid="{B4FCF2C7-84B6-4F73-BA16-A3B509695F91}"/>
    <cellStyle name="Normal 2 4 2 3 2 2 2 2 2 3" xfId="11468" xr:uid="{9A20FBD2-B4E1-4437-827F-FEC2808FDB10}"/>
    <cellStyle name="Normal 2 4 2 3 2 2 2 2 2 4" xfId="19916" xr:uid="{F5B46EA1-4D80-4C17-A241-324BDD84B3E0}"/>
    <cellStyle name="Normal 2 4 2 3 2 2 2 2 3" xfId="5091" xr:uid="{00000000-0005-0000-0000-00009E0E0000}"/>
    <cellStyle name="Normal 2 4 2 3 2 2 2 2 3 2" xfId="13541" xr:uid="{5A580BF5-D7FA-41AC-8F57-BF2A0096A975}"/>
    <cellStyle name="Normal 2 4 2 3 2 2 2 2 3 3" xfId="21988" xr:uid="{5E20DA46-6212-41F2-84CB-5229E0BF6C10}"/>
    <cellStyle name="Normal 2 4 2 3 2 2 2 2 4" xfId="9323" xr:uid="{AFF16FF2-977E-4421-82D0-6A3046AAEC80}"/>
    <cellStyle name="Normal 2 4 2 3 2 2 2 2 5" xfId="17771" xr:uid="{3D07176A-4831-4890-B707-E8909EE398B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96061D09-1459-446B-AEFC-EBEFFA95B53C}"/>
    <cellStyle name="Normal 2 4 2 3 2 2 2 3 2 2 3" xfId="24546" xr:uid="{E8BB6C33-A30C-4B3F-888C-BED6F8617362}"/>
    <cellStyle name="Normal 2 4 2 3 2 2 2 3 2 3" xfId="11881" xr:uid="{51D1A638-C529-4762-8436-DEA10DD91FA9}"/>
    <cellStyle name="Normal 2 4 2 3 2 2 2 3 2 4" xfId="20329" xr:uid="{B32BB9C8-5C21-4492-A005-C86F284612C0}"/>
    <cellStyle name="Normal 2 4 2 3 2 2 2 3 3" xfId="5504" xr:uid="{00000000-0005-0000-0000-0000A20E0000}"/>
    <cellStyle name="Normal 2 4 2 3 2 2 2 3 3 2" xfId="13954" xr:uid="{ECADCF7E-C3CC-432E-AA97-0C12018EFBC0}"/>
    <cellStyle name="Normal 2 4 2 3 2 2 2 3 3 3" xfId="22401" xr:uid="{7B0C101D-E5BE-44AB-A219-AD22977703E1}"/>
    <cellStyle name="Normal 2 4 2 3 2 2 2 3 4" xfId="9736" xr:uid="{1EFF4DCF-53CE-4395-8FE2-DBBA3915E63E}"/>
    <cellStyle name="Normal 2 4 2 3 2 2 2 3 5" xfId="18184" xr:uid="{CE90D833-56E4-4A43-972B-6B14DBD396EB}"/>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D8662C7A-E1BF-404E-8F0E-165765250D6A}"/>
    <cellStyle name="Normal 2 4 2 3 2 2 2 4 2 2 3" xfId="24959" xr:uid="{2177CA59-8E7F-4ED2-B936-51E3566D2BDF}"/>
    <cellStyle name="Normal 2 4 2 3 2 2 2 4 2 3" xfId="12294" xr:uid="{069308A3-5EBC-4AF9-8FA1-599523977031}"/>
    <cellStyle name="Normal 2 4 2 3 2 2 2 4 2 4" xfId="20742" xr:uid="{75800A15-477A-4744-84C2-1665B83AF614}"/>
    <cellStyle name="Normal 2 4 2 3 2 2 2 4 3" xfId="5917" xr:uid="{00000000-0005-0000-0000-0000A60E0000}"/>
    <cellStyle name="Normal 2 4 2 3 2 2 2 4 3 2" xfId="14367" xr:uid="{90AC7114-79C2-46B0-9CC7-EB18E55B72DA}"/>
    <cellStyle name="Normal 2 4 2 3 2 2 2 4 3 3" xfId="22814" xr:uid="{491675FB-38B6-4085-A515-E6B8C694DE2F}"/>
    <cellStyle name="Normal 2 4 2 3 2 2 2 4 4" xfId="10149" xr:uid="{94E02A35-60C7-4002-8854-A6893336DF66}"/>
    <cellStyle name="Normal 2 4 2 3 2 2 2 4 5" xfId="18597" xr:uid="{50BA7B91-BD98-4707-8820-C7201186A119}"/>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0801A66F-4EC3-4252-A859-400373115CA2}"/>
    <cellStyle name="Normal 2 4 2 3 2 2 2 5 2 2 3" xfId="25372" xr:uid="{A7D7AF6E-A389-4C11-92C8-6383841CC045}"/>
    <cellStyle name="Normal 2 4 2 3 2 2 2 5 2 3" xfId="12707" xr:uid="{ECA80B5B-FE06-483C-9899-A86C65C02B02}"/>
    <cellStyle name="Normal 2 4 2 3 2 2 2 5 2 4" xfId="21155" xr:uid="{2110442B-337D-45E9-9FEA-DFAAAF09B42A}"/>
    <cellStyle name="Normal 2 4 2 3 2 2 2 5 3" xfId="6330" xr:uid="{00000000-0005-0000-0000-0000AA0E0000}"/>
    <cellStyle name="Normal 2 4 2 3 2 2 2 5 3 2" xfId="14780" xr:uid="{1F78FCC8-13F6-44E0-8614-910DBD60FD33}"/>
    <cellStyle name="Normal 2 4 2 3 2 2 2 5 3 3" xfId="23227" xr:uid="{8C788F28-0E89-40D2-8E8B-739A38A9015D}"/>
    <cellStyle name="Normal 2 4 2 3 2 2 2 5 4" xfId="10562" xr:uid="{0F790A6E-9B87-4B00-B1F3-C57599A0A3FD}"/>
    <cellStyle name="Normal 2 4 2 3 2 2 2 5 5" xfId="19010" xr:uid="{D1281DA1-609E-483A-86EA-D10FF27261A1}"/>
    <cellStyle name="Normal 2 4 2 3 2 2 2 6" xfId="2460" xr:uid="{00000000-0005-0000-0000-0000AB0E0000}"/>
    <cellStyle name="Normal 2 4 2 3 2 2 2 6 2" xfId="6743" xr:uid="{00000000-0005-0000-0000-0000AC0E0000}"/>
    <cellStyle name="Normal 2 4 2 3 2 2 2 6 2 2" xfId="15193" xr:uid="{1BF7B0A9-61E8-4FAD-AC32-CAC2C8B54B7B}"/>
    <cellStyle name="Normal 2 4 2 3 2 2 2 6 2 3" xfId="23640" xr:uid="{6DE4426B-E95E-45C8-A3F3-BC5E52AB8A9D}"/>
    <cellStyle name="Normal 2 4 2 3 2 2 2 6 3" xfId="10975" xr:uid="{A96361BC-CE20-4F92-BC76-490E6AE53658}"/>
    <cellStyle name="Normal 2 4 2 3 2 2 2 6 4" xfId="19423" xr:uid="{EAB0A08C-1BFB-4FA1-88A0-B3412D2081AD}"/>
    <cellStyle name="Normal 2 4 2 3 2 2 2 7" xfId="4677" xr:uid="{00000000-0005-0000-0000-0000AD0E0000}"/>
    <cellStyle name="Normal 2 4 2 3 2 2 2 7 2" xfId="13127" xr:uid="{2B524542-B637-4F85-93E5-7F6AC7D5A208}"/>
    <cellStyle name="Normal 2 4 2 3 2 2 2 7 3" xfId="21574" xr:uid="{EAC4CFD2-24D5-4FDC-8F8E-0DB6BE9DF51B}"/>
    <cellStyle name="Normal 2 4 2 3 2 2 2 8" xfId="8909" xr:uid="{80E7E8D4-B523-479D-A410-8FF35B4E9203}"/>
    <cellStyle name="Normal 2 4 2 3 2 2 2 9" xfId="17357" xr:uid="{BD775E31-2334-4742-9C07-3F2476B12B03}"/>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8EF04DF0-5337-40F2-9B84-5A009740D73C}"/>
    <cellStyle name="Normal 2 4 2 3 2 2 3 2 2 3" xfId="24132" xr:uid="{90CF31CC-306A-4671-87A6-178753FD1E0D}"/>
    <cellStyle name="Normal 2 4 2 3 2 2 3 2 3" xfId="11467" xr:uid="{03F10452-A2D2-4C9E-8D2D-008233892863}"/>
    <cellStyle name="Normal 2 4 2 3 2 2 3 2 4" xfId="19915" xr:uid="{2387B9F7-855F-42EF-A879-EBFE77DFD352}"/>
    <cellStyle name="Normal 2 4 2 3 2 2 3 3" xfId="5090" xr:uid="{00000000-0005-0000-0000-0000B10E0000}"/>
    <cellStyle name="Normal 2 4 2 3 2 2 3 3 2" xfId="13540" xr:uid="{CC7099E9-4F6E-4358-B9C8-88844CD0C4F9}"/>
    <cellStyle name="Normal 2 4 2 3 2 2 3 3 3" xfId="21987" xr:uid="{3BE31318-EA74-4BD3-9889-A303C7397033}"/>
    <cellStyle name="Normal 2 4 2 3 2 2 3 4" xfId="9322" xr:uid="{832BA4DB-3916-4D4E-85D8-A970E9A7A907}"/>
    <cellStyle name="Normal 2 4 2 3 2 2 3 5" xfId="17770" xr:uid="{BCE6A8A4-FC55-4CFF-8CB0-1D0D382972C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4A2D35DE-92E5-4D00-9EB8-EF8AC9CCEEEE}"/>
    <cellStyle name="Normal 2 4 2 3 2 2 4 2 2 3" xfId="24545" xr:uid="{F1C6BB5A-D95F-48D6-8BD8-464D56361F1A}"/>
    <cellStyle name="Normal 2 4 2 3 2 2 4 2 3" xfId="11880" xr:uid="{80555916-7949-45D0-B284-CB6CE69EF7E5}"/>
    <cellStyle name="Normal 2 4 2 3 2 2 4 2 4" xfId="20328" xr:uid="{233EBE78-041E-46AF-9D90-3BEEDEEA959A}"/>
    <cellStyle name="Normal 2 4 2 3 2 2 4 3" xfId="5503" xr:uid="{00000000-0005-0000-0000-0000B50E0000}"/>
    <cellStyle name="Normal 2 4 2 3 2 2 4 3 2" xfId="13953" xr:uid="{EDB5E3E6-47ED-47BF-9FCD-F51DCD526FC5}"/>
    <cellStyle name="Normal 2 4 2 3 2 2 4 3 3" xfId="22400" xr:uid="{97AC8AA6-68D2-47A8-9F38-7389F6177F8A}"/>
    <cellStyle name="Normal 2 4 2 3 2 2 4 4" xfId="9735" xr:uid="{E65A12A5-1B9E-4244-868F-72BAB0A6E604}"/>
    <cellStyle name="Normal 2 4 2 3 2 2 4 5" xfId="18183" xr:uid="{19AD60EE-8B0E-4CDA-965B-FC7E8B4571A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72C2788C-568D-41B4-B24A-72E137479138}"/>
    <cellStyle name="Normal 2 4 2 3 2 2 5 2 2 3" xfId="24958" xr:uid="{B0FC4757-2AB8-465B-A21D-8767C3C521E3}"/>
    <cellStyle name="Normal 2 4 2 3 2 2 5 2 3" xfId="12293" xr:uid="{C60D95DE-F69C-4C28-A0D9-993CFEF057E1}"/>
    <cellStyle name="Normal 2 4 2 3 2 2 5 2 4" xfId="20741" xr:uid="{8BFBFD8A-4AFE-4ACC-927E-AADBC2E906C9}"/>
    <cellStyle name="Normal 2 4 2 3 2 2 5 3" xfId="5916" xr:uid="{00000000-0005-0000-0000-0000B90E0000}"/>
    <cellStyle name="Normal 2 4 2 3 2 2 5 3 2" xfId="14366" xr:uid="{65559F54-D3B9-4480-B2AB-EB2912AB00A5}"/>
    <cellStyle name="Normal 2 4 2 3 2 2 5 3 3" xfId="22813" xr:uid="{8C86CCEC-0731-4DED-93BC-58DA521DDB7B}"/>
    <cellStyle name="Normal 2 4 2 3 2 2 5 4" xfId="10148" xr:uid="{37A4E6B5-04B5-4FE5-8FEC-CAC37764DE8F}"/>
    <cellStyle name="Normal 2 4 2 3 2 2 5 5" xfId="18596" xr:uid="{94155EFB-6537-4CBF-8F62-AE2A844B170E}"/>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CD0B2F22-3D0E-45CD-AAB7-AB03D00455F2}"/>
    <cellStyle name="Normal 2 4 2 3 2 2 6 2 2 3" xfId="25371" xr:uid="{6E1167DB-BB95-4DF1-B96E-0B9993398D60}"/>
    <cellStyle name="Normal 2 4 2 3 2 2 6 2 3" xfId="12706" xr:uid="{2C93DF0F-F5D6-4AF4-921B-3CE765F5A483}"/>
    <cellStyle name="Normal 2 4 2 3 2 2 6 2 4" xfId="21154" xr:uid="{4FC740FD-2B97-40E3-AD0F-406DD6C18E57}"/>
    <cellStyle name="Normal 2 4 2 3 2 2 6 3" xfId="6329" xr:uid="{00000000-0005-0000-0000-0000BD0E0000}"/>
    <cellStyle name="Normal 2 4 2 3 2 2 6 3 2" xfId="14779" xr:uid="{A1670CF2-4309-4E32-8CF4-D09A38B13612}"/>
    <cellStyle name="Normal 2 4 2 3 2 2 6 3 3" xfId="23226" xr:uid="{4B2B4042-013B-4436-994C-221CB73CB8F7}"/>
    <cellStyle name="Normal 2 4 2 3 2 2 6 4" xfId="10561" xr:uid="{BFF8FF02-658F-4250-8939-587E3E508E8C}"/>
    <cellStyle name="Normal 2 4 2 3 2 2 6 5" xfId="19009" xr:uid="{B9359593-F142-43CB-B6AA-5F6215AE5387}"/>
    <cellStyle name="Normal 2 4 2 3 2 2 7" xfId="2459" xr:uid="{00000000-0005-0000-0000-0000BE0E0000}"/>
    <cellStyle name="Normal 2 4 2 3 2 2 7 2" xfId="6742" xr:uid="{00000000-0005-0000-0000-0000BF0E0000}"/>
    <cellStyle name="Normal 2 4 2 3 2 2 7 2 2" xfId="15192" xr:uid="{C72F31E1-4D57-4E4A-A9CA-1D584341AD87}"/>
    <cellStyle name="Normal 2 4 2 3 2 2 7 2 3" xfId="23639" xr:uid="{802A899F-A267-42AF-824F-3E7D3D9EF4EF}"/>
    <cellStyle name="Normal 2 4 2 3 2 2 7 3" xfId="10974" xr:uid="{1F39011B-A131-4B8D-AFF6-10E9BFF3FD92}"/>
    <cellStyle name="Normal 2 4 2 3 2 2 7 4" xfId="19422" xr:uid="{824878C8-6B23-4A6C-99A4-FF8B9CC24342}"/>
    <cellStyle name="Normal 2 4 2 3 2 2 8" xfId="4676" xr:uid="{00000000-0005-0000-0000-0000C00E0000}"/>
    <cellStyle name="Normal 2 4 2 3 2 2 8 2" xfId="13126" xr:uid="{17731C94-5FC0-43B8-B5B3-BD6DCEE61492}"/>
    <cellStyle name="Normal 2 4 2 3 2 2 8 3" xfId="21573" xr:uid="{21F2AAD7-D068-42C9-B713-4B7DBFD8A6F5}"/>
    <cellStyle name="Normal 2 4 2 3 2 2 9" xfId="8908" xr:uid="{1B1E7DCE-6CE5-4E80-B2E3-E8ABEE1F1C4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1D1B2AE6-7493-463F-AEFE-4272984B66EF}"/>
    <cellStyle name="Normal 2 4 2 3 2 3 2 2 2 3" xfId="24134" xr:uid="{71C25BD7-E9B4-4475-94AA-7CE5F4146F77}"/>
    <cellStyle name="Normal 2 4 2 3 2 3 2 2 3" xfId="11469" xr:uid="{F6DD2179-0868-4E27-BFB1-48331ED9FF7E}"/>
    <cellStyle name="Normal 2 4 2 3 2 3 2 2 4" xfId="19917" xr:uid="{F025FE7A-DD5A-47F9-A66A-650428A995A3}"/>
    <cellStyle name="Normal 2 4 2 3 2 3 2 3" xfId="5092" xr:uid="{00000000-0005-0000-0000-0000C50E0000}"/>
    <cellStyle name="Normal 2 4 2 3 2 3 2 3 2" xfId="13542" xr:uid="{6140CBD5-268D-4041-9756-5980417AE504}"/>
    <cellStyle name="Normal 2 4 2 3 2 3 2 3 3" xfId="21989" xr:uid="{48061BBA-983A-4566-ABDD-642FCA76DAC1}"/>
    <cellStyle name="Normal 2 4 2 3 2 3 2 4" xfId="9324" xr:uid="{4155319F-D1EC-45FE-86F4-577855CEE4AE}"/>
    <cellStyle name="Normal 2 4 2 3 2 3 2 5" xfId="17772" xr:uid="{7E7FDD9B-6A34-4EE7-9BF6-FEBDB245357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6ACA8775-36C4-4ED9-84B3-805F9D7C12B6}"/>
    <cellStyle name="Normal 2 4 2 3 2 3 3 2 2 3" xfId="24547" xr:uid="{A646CABC-85A7-4C14-9C2E-56142E5DFBB0}"/>
    <cellStyle name="Normal 2 4 2 3 2 3 3 2 3" xfId="11882" xr:uid="{851D0203-F226-4B46-BEE7-4CC9C7689A9D}"/>
    <cellStyle name="Normal 2 4 2 3 2 3 3 2 4" xfId="20330" xr:uid="{A4932259-60D0-49E4-B0F0-037E79CCA8EC}"/>
    <cellStyle name="Normal 2 4 2 3 2 3 3 3" xfId="5505" xr:uid="{00000000-0005-0000-0000-0000C90E0000}"/>
    <cellStyle name="Normal 2 4 2 3 2 3 3 3 2" xfId="13955" xr:uid="{3B080A78-CCD8-43FE-BD93-CC4908BCA6F4}"/>
    <cellStyle name="Normal 2 4 2 3 2 3 3 3 3" xfId="22402" xr:uid="{45C3784B-8BED-4AE3-B1CC-52C8A3131F44}"/>
    <cellStyle name="Normal 2 4 2 3 2 3 3 4" xfId="9737" xr:uid="{5FD98C75-91DB-4C9F-86AC-4E02BC9FDD1B}"/>
    <cellStyle name="Normal 2 4 2 3 2 3 3 5" xfId="18185" xr:uid="{531D3F6E-2B12-4929-BCCF-BF1066B5566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55F73A26-5ABF-48AA-AA49-5942477E588B}"/>
    <cellStyle name="Normal 2 4 2 3 2 3 4 2 2 3" xfId="24960" xr:uid="{A958DDA0-FC92-4372-A1AB-272D10AF14DF}"/>
    <cellStyle name="Normal 2 4 2 3 2 3 4 2 3" xfId="12295" xr:uid="{875AE9BD-0F57-493C-A83A-1669E3788815}"/>
    <cellStyle name="Normal 2 4 2 3 2 3 4 2 4" xfId="20743" xr:uid="{6D2C7365-D521-430A-8603-053B7A96AC63}"/>
    <cellStyle name="Normal 2 4 2 3 2 3 4 3" xfId="5918" xr:uid="{00000000-0005-0000-0000-0000CD0E0000}"/>
    <cellStyle name="Normal 2 4 2 3 2 3 4 3 2" xfId="14368" xr:uid="{C5427012-96C8-4AFF-B11E-D62F88F13620}"/>
    <cellStyle name="Normal 2 4 2 3 2 3 4 3 3" xfId="22815" xr:uid="{819FAE77-E7FE-4E07-9239-76CE34F8A84F}"/>
    <cellStyle name="Normal 2 4 2 3 2 3 4 4" xfId="10150" xr:uid="{6BF6D20E-84A3-41E4-B747-71A493930DF4}"/>
    <cellStyle name="Normal 2 4 2 3 2 3 4 5" xfId="18598" xr:uid="{3A709F34-1FA5-49BD-A5C7-404CB5DDA4D7}"/>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3F99B81E-870A-4008-AF6C-FB0395402B3C}"/>
    <cellStyle name="Normal 2 4 2 3 2 3 5 2 2 3" xfId="25373" xr:uid="{7C0FD199-C863-4481-828D-AC0A20DC69CF}"/>
    <cellStyle name="Normal 2 4 2 3 2 3 5 2 3" xfId="12708" xr:uid="{C377073B-8E48-4C65-BBA4-505555232F34}"/>
    <cellStyle name="Normal 2 4 2 3 2 3 5 2 4" xfId="21156" xr:uid="{03BA4753-849F-46E4-8A93-CF7D596CAFEA}"/>
    <cellStyle name="Normal 2 4 2 3 2 3 5 3" xfId="6331" xr:uid="{00000000-0005-0000-0000-0000D10E0000}"/>
    <cellStyle name="Normal 2 4 2 3 2 3 5 3 2" xfId="14781" xr:uid="{3E36D4B5-86B1-4BDA-9D13-A36A43A19A15}"/>
    <cellStyle name="Normal 2 4 2 3 2 3 5 3 3" xfId="23228" xr:uid="{2C1CB14C-DD7F-467F-B1CF-59AF6F926319}"/>
    <cellStyle name="Normal 2 4 2 3 2 3 5 4" xfId="10563" xr:uid="{AEFB8804-84D7-4991-AC5F-767F643F394F}"/>
    <cellStyle name="Normal 2 4 2 3 2 3 5 5" xfId="19011" xr:uid="{BDEE30FD-F139-41C0-9B59-77972B669D92}"/>
    <cellStyle name="Normal 2 4 2 3 2 3 6" xfId="2461" xr:uid="{00000000-0005-0000-0000-0000D20E0000}"/>
    <cellStyle name="Normal 2 4 2 3 2 3 6 2" xfId="6744" xr:uid="{00000000-0005-0000-0000-0000D30E0000}"/>
    <cellStyle name="Normal 2 4 2 3 2 3 6 2 2" xfId="15194" xr:uid="{CDA8BA2A-B52A-4EAC-BAAF-C95094ECDCB7}"/>
    <cellStyle name="Normal 2 4 2 3 2 3 6 2 3" xfId="23641" xr:uid="{9B75C326-D3C5-4FA0-A48E-1FA29B2066DB}"/>
    <cellStyle name="Normal 2 4 2 3 2 3 6 3" xfId="10976" xr:uid="{2A1BC97D-8B27-433F-80E4-CB7D75073019}"/>
    <cellStyle name="Normal 2 4 2 3 2 3 6 4" xfId="19424" xr:uid="{295AF269-4F72-4F97-9E34-AD4E7B028A5D}"/>
    <cellStyle name="Normal 2 4 2 3 2 3 7" xfId="4678" xr:uid="{00000000-0005-0000-0000-0000D40E0000}"/>
    <cellStyle name="Normal 2 4 2 3 2 3 7 2" xfId="13128" xr:uid="{E460AD7A-8E4A-433B-9533-A63B0F9ECDD3}"/>
    <cellStyle name="Normal 2 4 2 3 2 3 7 3" xfId="21575" xr:uid="{9DBB8876-FD18-41F9-BFAD-3768C2101EF3}"/>
    <cellStyle name="Normal 2 4 2 3 2 3 8" xfId="8910" xr:uid="{97BA64E0-E3D3-4796-85B2-EA0EDA7AC8B1}"/>
    <cellStyle name="Normal 2 4 2 3 2 3 9" xfId="17358" xr:uid="{DB3DAF96-ADC1-4CBF-B686-8478EC8DB8CF}"/>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EED133C8-358F-416F-8283-8660746A1F56}"/>
    <cellStyle name="Normal 2 4 2 3 2 4 2 2 3" xfId="24131" xr:uid="{9892202B-0AAF-40DE-AC4B-93E1E4BCB0F0}"/>
    <cellStyle name="Normal 2 4 2 3 2 4 2 3" xfId="11466" xr:uid="{C9F8F40B-7F68-4A56-9DC0-C11B907170AE}"/>
    <cellStyle name="Normal 2 4 2 3 2 4 2 4" xfId="19914" xr:uid="{B77B14B0-9B9A-40C2-9207-19D3156212EF}"/>
    <cellStyle name="Normal 2 4 2 3 2 4 3" xfId="5089" xr:uid="{00000000-0005-0000-0000-0000D80E0000}"/>
    <cellStyle name="Normal 2 4 2 3 2 4 3 2" xfId="13539" xr:uid="{53B708A4-30D5-47C2-AE1F-43696CED81A7}"/>
    <cellStyle name="Normal 2 4 2 3 2 4 3 3" xfId="21986" xr:uid="{5BAC10FD-005F-4764-99AD-46D6A5D9CE65}"/>
    <cellStyle name="Normal 2 4 2 3 2 4 4" xfId="9321" xr:uid="{5577F884-7BE3-44C3-ABBD-0AD7599920E0}"/>
    <cellStyle name="Normal 2 4 2 3 2 4 5" xfId="17769" xr:uid="{AFBDCDBC-1D98-42CB-942A-9B8D884209C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4083C1E3-03A3-4208-802D-8AA9D35F2461}"/>
    <cellStyle name="Normal 2 4 2 3 2 5 2 2 3" xfId="24544" xr:uid="{B75B60A6-B89B-45AF-992E-856BDA41E817}"/>
    <cellStyle name="Normal 2 4 2 3 2 5 2 3" xfId="11879" xr:uid="{ECAB7AAD-C722-4D4F-83D0-F69797D41D63}"/>
    <cellStyle name="Normal 2 4 2 3 2 5 2 4" xfId="20327" xr:uid="{25C8D1E7-605F-42A6-9911-4ABC4218387C}"/>
    <cellStyle name="Normal 2 4 2 3 2 5 3" xfId="5502" xr:uid="{00000000-0005-0000-0000-0000DC0E0000}"/>
    <cellStyle name="Normal 2 4 2 3 2 5 3 2" xfId="13952" xr:uid="{6027331F-E1F9-4A59-9422-2B065F918105}"/>
    <cellStyle name="Normal 2 4 2 3 2 5 3 3" xfId="22399" xr:uid="{3C9B5E42-9F5D-4356-AC79-9A0825BC8627}"/>
    <cellStyle name="Normal 2 4 2 3 2 5 4" xfId="9734" xr:uid="{2CFA9C00-9043-456B-B65D-777DB1983606}"/>
    <cellStyle name="Normal 2 4 2 3 2 5 5" xfId="18182" xr:uid="{CA5F8E78-3FEF-4861-912E-C71CA9B735D3}"/>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98995F2E-0A8E-442F-A0A0-7C1A72E4355F}"/>
    <cellStyle name="Normal 2 4 2 3 2 6 2 2 3" xfId="24957" xr:uid="{445B2A6D-536E-4508-9662-5828E25B8370}"/>
    <cellStyle name="Normal 2 4 2 3 2 6 2 3" xfId="12292" xr:uid="{0C60391B-B6A8-4B66-8F59-8FFA81057661}"/>
    <cellStyle name="Normal 2 4 2 3 2 6 2 4" xfId="20740" xr:uid="{EF0BEEF1-3F62-4FF9-9140-303E08327A9B}"/>
    <cellStyle name="Normal 2 4 2 3 2 6 3" xfId="5915" xr:uid="{00000000-0005-0000-0000-0000E00E0000}"/>
    <cellStyle name="Normal 2 4 2 3 2 6 3 2" xfId="14365" xr:uid="{B550309C-9E2A-4050-97A7-E9F8AB61C50A}"/>
    <cellStyle name="Normal 2 4 2 3 2 6 3 3" xfId="22812" xr:uid="{588E95BD-F50B-473C-BCA0-B872B5815355}"/>
    <cellStyle name="Normal 2 4 2 3 2 6 4" xfId="10147" xr:uid="{87D95D36-263A-4397-AD13-A69297DAFAD1}"/>
    <cellStyle name="Normal 2 4 2 3 2 6 5" xfId="18595" xr:uid="{DB51DA28-8BE6-487E-9CB3-6DB3B387212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CA63C55F-05ED-4F81-B23D-B710EFEDF350}"/>
    <cellStyle name="Normal 2 4 2 3 2 7 2 2 3" xfId="25370" xr:uid="{9E425402-3F8D-459D-827E-25A5057DD41A}"/>
    <cellStyle name="Normal 2 4 2 3 2 7 2 3" xfId="12705" xr:uid="{5A58D281-2728-465A-A91F-3C3B035BD032}"/>
    <cellStyle name="Normal 2 4 2 3 2 7 2 4" xfId="21153" xr:uid="{F1735B75-7EFF-4531-8D2E-AED6A0851AE1}"/>
    <cellStyle name="Normal 2 4 2 3 2 7 3" xfId="6328" xr:uid="{00000000-0005-0000-0000-0000E40E0000}"/>
    <cellStyle name="Normal 2 4 2 3 2 7 3 2" xfId="14778" xr:uid="{095BF463-1543-46D9-8B51-DC33B488C617}"/>
    <cellStyle name="Normal 2 4 2 3 2 7 3 3" xfId="23225" xr:uid="{798C0763-4688-404C-AB91-949F4EED0853}"/>
    <cellStyle name="Normal 2 4 2 3 2 7 4" xfId="10560" xr:uid="{B5577D8F-970F-433E-A19B-9C20BE438E96}"/>
    <cellStyle name="Normal 2 4 2 3 2 7 5" xfId="19008" xr:uid="{764CD63A-3F1A-485F-90E8-B398097DD4B8}"/>
    <cellStyle name="Normal 2 4 2 3 2 8" xfId="2458" xr:uid="{00000000-0005-0000-0000-0000E50E0000}"/>
    <cellStyle name="Normal 2 4 2 3 2 8 2" xfId="6741" xr:uid="{00000000-0005-0000-0000-0000E60E0000}"/>
    <cellStyle name="Normal 2 4 2 3 2 8 2 2" xfId="15191" xr:uid="{115DAA39-36F8-416A-8CE8-DFB4DFE9B3DF}"/>
    <cellStyle name="Normal 2 4 2 3 2 8 2 3" xfId="23638" xr:uid="{73C47F69-A5E7-4FDB-8D8C-2834A9A3E1D1}"/>
    <cellStyle name="Normal 2 4 2 3 2 8 3" xfId="10973" xr:uid="{EEF9B09D-788B-4D5B-929F-C58F013CAEEB}"/>
    <cellStyle name="Normal 2 4 2 3 2 8 4" xfId="19421" xr:uid="{0490691A-58DD-415D-86FB-F16506F8127A}"/>
    <cellStyle name="Normal 2 4 2 3 2 9" xfId="4675" xr:uid="{00000000-0005-0000-0000-0000E70E0000}"/>
    <cellStyle name="Normal 2 4 2 3 2 9 2" xfId="13125" xr:uid="{062B29F8-4A90-4A9A-AC5C-0578F5D590C9}"/>
    <cellStyle name="Normal 2 4 2 3 2 9 3" xfId="21572" xr:uid="{0BD2CE9B-D00E-4EC3-AF5F-9C5C8B0D3E05}"/>
    <cellStyle name="Normal 2 4 2 3 3" xfId="286" xr:uid="{00000000-0005-0000-0000-0000E80E0000}"/>
    <cellStyle name="Normal 2 4 2 3 3 10" xfId="17359" xr:uid="{4D6D3396-94C5-419A-A8A4-9EE8A2BFA48B}"/>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4F9379D7-DF8D-45E7-BBDE-206162B7B80F}"/>
    <cellStyle name="Normal 2 4 2 3 3 2 2 2 2 3" xfId="24136" xr:uid="{72303B36-3654-4F60-8EE6-51D18C67B96A}"/>
    <cellStyle name="Normal 2 4 2 3 3 2 2 2 3" xfId="11471" xr:uid="{AC4B2AD5-FF47-41B5-97D5-1C94C0F30F74}"/>
    <cellStyle name="Normal 2 4 2 3 3 2 2 2 4" xfId="19919" xr:uid="{EFC869F8-5CFC-4C86-A117-0626EE36FF9C}"/>
    <cellStyle name="Normal 2 4 2 3 3 2 2 3" xfId="5094" xr:uid="{00000000-0005-0000-0000-0000ED0E0000}"/>
    <cellStyle name="Normal 2 4 2 3 3 2 2 3 2" xfId="13544" xr:uid="{86224F54-CC3C-4D83-86A0-F58F00D20763}"/>
    <cellStyle name="Normal 2 4 2 3 3 2 2 3 3" xfId="21991" xr:uid="{72AE9958-E09C-4887-8242-1050274677FA}"/>
    <cellStyle name="Normal 2 4 2 3 3 2 2 4" xfId="9326" xr:uid="{25BD5AB5-064A-4ECA-B30D-C67BD10D9720}"/>
    <cellStyle name="Normal 2 4 2 3 3 2 2 5" xfId="17774" xr:uid="{F55A9F0B-FC62-478A-B8C3-1D21F70A6A1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96F06E23-70FC-4425-BE29-734DB67B3632}"/>
    <cellStyle name="Normal 2 4 2 3 3 2 3 2 2 3" xfId="24549" xr:uid="{AB08EA71-0E93-4298-B8B8-8D1C7A62931A}"/>
    <cellStyle name="Normal 2 4 2 3 3 2 3 2 3" xfId="11884" xr:uid="{17CFF2AB-098A-4303-A1E4-3BE6ABDE67E4}"/>
    <cellStyle name="Normal 2 4 2 3 3 2 3 2 4" xfId="20332" xr:uid="{A6198DAE-3EEC-4F34-B331-DD076729708A}"/>
    <cellStyle name="Normal 2 4 2 3 3 2 3 3" xfId="5507" xr:uid="{00000000-0005-0000-0000-0000F10E0000}"/>
    <cellStyle name="Normal 2 4 2 3 3 2 3 3 2" xfId="13957" xr:uid="{5348A5D1-89F9-4FC0-A542-2F521F982D8C}"/>
    <cellStyle name="Normal 2 4 2 3 3 2 3 3 3" xfId="22404" xr:uid="{7409ADAE-5776-4624-9B22-D8F99746FFE8}"/>
    <cellStyle name="Normal 2 4 2 3 3 2 3 4" xfId="9739" xr:uid="{47ED6501-91C7-4CB3-B8F8-A6712E0A0AD7}"/>
    <cellStyle name="Normal 2 4 2 3 3 2 3 5" xfId="18187" xr:uid="{BF9FEA9D-501D-4065-98BF-774EE9E1AA9D}"/>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88ACDCAA-1E98-418F-92B0-C3C1991E8A36}"/>
    <cellStyle name="Normal 2 4 2 3 3 2 4 2 2 3" xfId="24962" xr:uid="{A79E3EA0-6949-4FF2-8452-AD3AA2866E51}"/>
    <cellStyle name="Normal 2 4 2 3 3 2 4 2 3" xfId="12297" xr:uid="{BF3634B0-87E0-4418-A597-1897301C4786}"/>
    <cellStyle name="Normal 2 4 2 3 3 2 4 2 4" xfId="20745" xr:uid="{947AC182-8C44-4879-B777-57DD72B5EE74}"/>
    <cellStyle name="Normal 2 4 2 3 3 2 4 3" xfId="5920" xr:uid="{00000000-0005-0000-0000-0000F50E0000}"/>
    <cellStyle name="Normal 2 4 2 3 3 2 4 3 2" xfId="14370" xr:uid="{63C4176C-2D81-48F9-8159-79C5E1DA39E0}"/>
    <cellStyle name="Normal 2 4 2 3 3 2 4 3 3" xfId="22817" xr:uid="{56FEE2E5-C91D-492E-AAF4-6B5E5BC66AB9}"/>
    <cellStyle name="Normal 2 4 2 3 3 2 4 4" xfId="10152" xr:uid="{4CDF1730-7423-4AFF-BE6F-0B590016727A}"/>
    <cellStyle name="Normal 2 4 2 3 3 2 4 5" xfId="18600" xr:uid="{C03034CA-27AB-4CBE-8152-BB7D7319F33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EA2D5530-BC41-4CE6-9E72-14195384D383}"/>
    <cellStyle name="Normal 2 4 2 3 3 2 5 2 2 3" xfId="25375" xr:uid="{D54E12CC-40C9-45CC-9974-C31B2B4D247B}"/>
    <cellStyle name="Normal 2 4 2 3 3 2 5 2 3" xfId="12710" xr:uid="{F3251007-51EC-4728-A96A-42E438F6C739}"/>
    <cellStyle name="Normal 2 4 2 3 3 2 5 2 4" xfId="21158" xr:uid="{BAB2B172-AD94-4C86-9299-6A58045970CE}"/>
    <cellStyle name="Normal 2 4 2 3 3 2 5 3" xfId="6333" xr:uid="{00000000-0005-0000-0000-0000F90E0000}"/>
    <cellStyle name="Normal 2 4 2 3 3 2 5 3 2" xfId="14783" xr:uid="{F0155A6E-E0E1-4F86-8307-D6DB92816C29}"/>
    <cellStyle name="Normal 2 4 2 3 3 2 5 3 3" xfId="23230" xr:uid="{A07F5E9A-B180-45E4-8E4D-D975A57A6CA5}"/>
    <cellStyle name="Normal 2 4 2 3 3 2 5 4" xfId="10565" xr:uid="{C5094D3B-AA45-4890-8C26-EAEE1341BA25}"/>
    <cellStyle name="Normal 2 4 2 3 3 2 5 5" xfId="19013" xr:uid="{FAE6213D-B361-446A-8090-24D9B76A01B4}"/>
    <cellStyle name="Normal 2 4 2 3 3 2 6" xfId="2463" xr:uid="{00000000-0005-0000-0000-0000FA0E0000}"/>
    <cellStyle name="Normal 2 4 2 3 3 2 6 2" xfId="6746" xr:uid="{00000000-0005-0000-0000-0000FB0E0000}"/>
    <cellStyle name="Normal 2 4 2 3 3 2 6 2 2" xfId="15196" xr:uid="{7BE225C2-BF0C-4527-801A-8371323565D9}"/>
    <cellStyle name="Normal 2 4 2 3 3 2 6 2 3" xfId="23643" xr:uid="{C2035E81-842C-44F7-8934-9B43CB6B60C8}"/>
    <cellStyle name="Normal 2 4 2 3 3 2 6 3" xfId="10978" xr:uid="{5E019974-9815-44F8-A7A2-F63C3CDB3036}"/>
    <cellStyle name="Normal 2 4 2 3 3 2 6 4" xfId="19426" xr:uid="{5CABBD5D-ABD9-4A1C-BBF5-6F1F3B69F1D3}"/>
    <cellStyle name="Normal 2 4 2 3 3 2 7" xfId="4680" xr:uid="{00000000-0005-0000-0000-0000FC0E0000}"/>
    <cellStyle name="Normal 2 4 2 3 3 2 7 2" xfId="13130" xr:uid="{95F366D6-8618-473B-820A-E5E2CB849B2A}"/>
    <cellStyle name="Normal 2 4 2 3 3 2 7 3" xfId="21577" xr:uid="{7B2C0264-A899-4FB1-9EEA-C10ECD5F072E}"/>
    <cellStyle name="Normal 2 4 2 3 3 2 8" xfId="8912" xr:uid="{977CE697-7C89-4E9E-A488-5FC5650EC7E4}"/>
    <cellStyle name="Normal 2 4 2 3 3 2 9" xfId="17360" xr:uid="{885E61CD-CD4A-4EBF-B8B0-1A89835A205E}"/>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6BE232D7-9B99-4F29-AE40-EAAF59CCC636}"/>
    <cellStyle name="Normal 2 4 2 3 3 3 2 2 3" xfId="24135" xr:uid="{312F010C-BD5A-4A14-8196-6DD99018F2E3}"/>
    <cellStyle name="Normal 2 4 2 3 3 3 2 3" xfId="11470" xr:uid="{930713E5-57C9-44CF-8ED7-3352F8DCD78A}"/>
    <cellStyle name="Normal 2 4 2 3 3 3 2 4" xfId="19918" xr:uid="{08B80009-1371-49D9-BBD5-5783C4D93B7D}"/>
    <cellStyle name="Normal 2 4 2 3 3 3 3" xfId="5093" xr:uid="{00000000-0005-0000-0000-0000000F0000}"/>
    <cellStyle name="Normal 2 4 2 3 3 3 3 2" xfId="13543" xr:uid="{836266B2-9F87-45D5-B0AC-29C6099A9E34}"/>
    <cellStyle name="Normal 2 4 2 3 3 3 3 3" xfId="21990" xr:uid="{A2C113F9-77D0-44C9-B297-709D9E085DD8}"/>
    <cellStyle name="Normal 2 4 2 3 3 3 4" xfId="9325" xr:uid="{E55328A5-4543-4132-8327-5AEBFD5D5DF7}"/>
    <cellStyle name="Normal 2 4 2 3 3 3 5" xfId="17773" xr:uid="{A3345FF3-EF81-4984-9995-FC17A330CD98}"/>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8C37A728-E1D3-40AE-B645-853777575EFF}"/>
    <cellStyle name="Normal 2 4 2 3 3 4 2 2 3" xfId="24548" xr:uid="{67D059AD-22B2-432E-B0B4-21E94EF39BDF}"/>
    <cellStyle name="Normal 2 4 2 3 3 4 2 3" xfId="11883" xr:uid="{B742D350-59A0-44FE-A3B1-DA1EB78E0D74}"/>
    <cellStyle name="Normal 2 4 2 3 3 4 2 4" xfId="20331" xr:uid="{0D6DEDDB-E811-48BA-BC13-73ED4AC6D898}"/>
    <cellStyle name="Normal 2 4 2 3 3 4 3" xfId="5506" xr:uid="{00000000-0005-0000-0000-0000040F0000}"/>
    <cellStyle name="Normal 2 4 2 3 3 4 3 2" xfId="13956" xr:uid="{BBEF8F18-809A-436E-8BF4-739CDFF9979C}"/>
    <cellStyle name="Normal 2 4 2 3 3 4 3 3" xfId="22403" xr:uid="{BF43CA86-91A6-4A86-933B-506ED4C1595A}"/>
    <cellStyle name="Normal 2 4 2 3 3 4 4" xfId="9738" xr:uid="{CF3C98D1-64D0-413C-8168-E498B6A2BCA0}"/>
    <cellStyle name="Normal 2 4 2 3 3 4 5" xfId="18186" xr:uid="{E125289F-C847-465D-8741-361E539CD111}"/>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44060C8F-ABC7-4A9B-9AE9-8DB13E3558DA}"/>
    <cellStyle name="Normal 2 4 2 3 3 5 2 2 3" xfId="24961" xr:uid="{C7B53562-E1A7-4F67-9692-8669ABF15BB3}"/>
    <cellStyle name="Normal 2 4 2 3 3 5 2 3" xfId="12296" xr:uid="{FD9C2505-E651-4A22-9AEB-72758CDB42C0}"/>
    <cellStyle name="Normal 2 4 2 3 3 5 2 4" xfId="20744" xr:uid="{ABE7D55B-E00E-4621-9912-588B87C5A3B2}"/>
    <cellStyle name="Normal 2 4 2 3 3 5 3" xfId="5919" xr:uid="{00000000-0005-0000-0000-0000080F0000}"/>
    <cellStyle name="Normal 2 4 2 3 3 5 3 2" xfId="14369" xr:uid="{B2C7EF44-C334-4611-AE97-98DDF766AA6E}"/>
    <cellStyle name="Normal 2 4 2 3 3 5 3 3" xfId="22816" xr:uid="{33493806-916A-46B1-ADD6-2210602E2014}"/>
    <cellStyle name="Normal 2 4 2 3 3 5 4" xfId="10151" xr:uid="{637C4107-1844-4D16-B800-5CD3FEE125CB}"/>
    <cellStyle name="Normal 2 4 2 3 3 5 5" xfId="18599" xr:uid="{1CE3B57B-8E31-43FF-8663-2C3AA8C083FE}"/>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24AAEAA2-B69F-441B-8DB0-0A086413C9F3}"/>
    <cellStyle name="Normal 2 4 2 3 3 6 2 2 3" xfId="25374" xr:uid="{5AFF182E-99A0-463D-A52F-89944185C622}"/>
    <cellStyle name="Normal 2 4 2 3 3 6 2 3" xfId="12709" xr:uid="{41F59437-1B7C-4947-8A66-A4D67A097148}"/>
    <cellStyle name="Normal 2 4 2 3 3 6 2 4" xfId="21157" xr:uid="{C4B66874-A1AD-4C9C-AB0C-2CF5A0D02CE7}"/>
    <cellStyle name="Normal 2 4 2 3 3 6 3" xfId="6332" xr:uid="{00000000-0005-0000-0000-00000C0F0000}"/>
    <cellStyle name="Normal 2 4 2 3 3 6 3 2" xfId="14782" xr:uid="{F398404E-1378-4E15-B173-7D618CFFE040}"/>
    <cellStyle name="Normal 2 4 2 3 3 6 3 3" xfId="23229" xr:uid="{5D376F9F-7668-4433-83B1-CFDFD7BD04F5}"/>
    <cellStyle name="Normal 2 4 2 3 3 6 4" xfId="10564" xr:uid="{E293B1AD-B6AB-4833-A180-C908CB3D0AF0}"/>
    <cellStyle name="Normal 2 4 2 3 3 6 5" xfId="19012" xr:uid="{15C138B3-D5D1-4C38-8F87-0EEA95A63C42}"/>
    <cellStyle name="Normal 2 4 2 3 3 7" xfId="2462" xr:uid="{00000000-0005-0000-0000-00000D0F0000}"/>
    <cellStyle name="Normal 2 4 2 3 3 7 2" xfId="6745" xr:uid="{00000000-0005-0000-0000-00000E0F0000}"/>
    <cellStyle name="Normal 2 4 2 3 3 7 2 2" xfId="15195" xr:uid="{32BE3F3C-DBDF-4C34-8DC1-F64A120743A2}"/>
    <cellStyle name="Normal 2 4 2 3 3 7 2 3" xfId="23642" xr:uid="{AFF3726F-CB82-4C39-B583-694535DF2A56}"/>
    <cellStyle name="Normal 2 4 2 3 3 7 3" xfId="10977" xr:uid="{898EBE40-1A3F-471E-A07B-0A53950BFC02}"/>
    <cellStyle name="Normal 2 4 2 3 3 7 4" xfId="19425" xr:uid="{C6156E19-B745-4F2D-B25C-32AC18C7B73B}"/>
    <cellStyle name="Normal 2 4 2 3 3 8" xfId="4679" xr:uid="{00000000-0005-0000-0000-00000F0F0000}"/>
    <cellStyle name="Normal 2 4 2 3 3 8 2" xfId="13129" xr:uid="{A544FE46-BAD8-4DEC-BC42-BE0FA9D91AC1}"/>
    <cellStyle name="Normal 2 4 2 3 3 8 3" xfId="21576" xr:uid="{42514E83-C097-4971-864E-00D6B920F7EA}"/>
    <cellStyle name="Normal 2 4 2 3 3 9" xfId="8911" xr:uid="{A9F7C1B0-83D5-4FED-86F8-CDA5800B96D2}"/>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889ADCB0-1BEC-4A64-BC5C-B3E25C4E412B}"/>
    <cellStyle name="Normal 2 4 2 3 4 2 2 2 3" xfId="24137" xr:uid="{83D4C70D-9807-440C-A801-ABC478AE6324}"/>
    <cellStyle name="Normal 2 4 2 3 4 2 2 3" xfId="11472" xr:uid="{773BE63D-CA8D-41C6-8B2B-FD94C9C172C9}"/>
    <cellStyle name="Normal 2 4 2 3 4 2 2 4" xfId="19920" xr:uid="{952EAC53-6A38-4F54-9DAC-E02B9AE18AB8}"/>
    <cellStyle name="Normal 2 4 2 3 4 2 3" xfId="5095" xr:uid="{00000000-0005-0000-0000-0000140F0000}"/>
    <cellStyle name="Normal 2 4 2 3 4 2 3 2" xfId="13545" xr:uid="{AF396001-124F-44D8-A1F0-468A435CF40C}"/>
    <cellStyle name="Normal 2 4 2 3 4 2 3 3" xfId="21992" xr:uid="{68039891-FFC6-476B-BB2C-9932F7C1D691}"/>
    <cellStyle name="Normal 2 4 2 3 4 2 4" xfId="9327" xr:uid="{7D09CE5F-6387-4B45-9A99-F1CCD23329E2}"/>
    <cellStyle name="Normal 2 4 2 3 4 2 5" xfId="17775" xr:uid="{FE40AC64-D1DB-43E9-9B54-5FA4DCE97A19}"/>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B271136F-50D5-4BC7-AC33-D8D56362A936}"/>
    <cellStyle name="Normal 2 4 2 3 4 3 2 2 3" xfId="24550" xr:uid="{56AFAB86-ADC2-4ADD-B81B-8FF1388B0922}"/>
    <cellStyle name="Normal 2 4 2 3 4 3 2 3" xfId="11885" xr:uid="{088B8446-A950-407B-8225-C3C1D9F47B6D}"/>
    <cellStyle name="Normal 2 4 2 3 4 3 2 4" xfId="20333" xr:uid="{1D3F29CA-2D02-4292-BF76-D9D4FD371EF0}"/>
    <cellStyle name="Normal 2 4 2 3 4 3 3" xfId="5508" xr:uid="{00000000-0005-0000-0000-0000180F0000}"/>
    <cellStyle name="Normal 2 4 2 3 4 3 3 2" xfId="13958" xr:uid="{6935DC1F-C19F-41C0-946F-E224C19D48C7}"/>
    <cellStyle name="Normal 2 4 2 3 4 3 3 3" xfId="22405" xr:uid="{FAB374F3-1416-4C2E-98F6-1E2B3D6407D5}"/>
    <cellStyle name="Normal 2 4 2 3 4 3 4" xfId="9740" xr:uid="{55E4F8AF-F1F0-4CE2-B4AC-C1D1E6FC911A}"/>
    <cellStyle name="Normal 2 4 2 3 4 3 5" xfId="18188" xr:uid="{2DE2309D-CB5E-42A3-A512-D7C341871426}"/>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B02E0D1D-4D4B-4258-959A-309030E9B1F3}"/>
    <cellStyle name="Normal 2 4 2 3 4 4 2 2 3" xfId="24963" xr:uid="{F5365B31-F6D2-4904-A424-9C7367B96AC7}"/>
    <cellStyle name="Normal 2 4 2 3 4 4 2 3" xfId="12298" xr:uid="{B8B1B11D-3967-4674-9395-4E57B8C4A403}"/>
    <cellStyle name="Normal 2 4 2 3 4 4 2 4" xfId="20746" xr:uid="{50A7CE02-B468-4D6F-9EBA-9E28EA21BF5C}"/>
    <cellStyle name="Normal 2 4 2 3 4 4 3" xfId="5921" xr:uid="{00000000-0005-0000-0000-00001C0F0000}"/>
    <cellStyle name="Normal 2 4 2 3 4 4 3 2" xfId="14371" xr:uid="{3FB12BCD-970A-40B8-9C6E-DAEE2A7ECA7E}"/>
    <cellStyle name="Normal 2 4 2 3 4 4 3 3" xfId="22818" xr:uid="{0AEB2625-D285-444C-BBBE-7F8F18BEF2C6}"/>
    <cellStyle name="Normal 2 4 2 3 4 4 4" xfId="10153" xr:uid="{2F4FCADB-EDB2-40DE-ACC7-C1B97F93F314}"/>
    <cellStyle name="Normal 2 4 2 3 4 4 5" xfId="18601" xr:uid="{42B54E54-F56B-4644-A789-2B35579D5B3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99AB8231-6795-4A44-8F64-0DD8FAF9C39A}"/>
    <cellStyle name="Normal 2 4 2 3 4 5 2 2 3" xfId="25376" xr:uid="{F1899CF6-17EA-4241-8B2C-FDCBBF267231}"/>
    <cellStyle name="Normal 2 4 2 3 4 5 2 3" xfId="12711" xr:uid="{59107B90-8795-4B8B-81D3-29C4B7D03EAC}"/>
    <cellStyle name="Normal 2 4 2 3 4 5 2 4" xfId="21159" xr:uid="{09B5BC50-97A7-4114-B041-6EBF1DDFDCEE}"/>
    <cellStyle name="Normal 2 4 2 3 4 5 3" xfId="6334" xr:uid="{00000000-0005-0000-0000-0000200F0000}"/>
    <cellStyle name="Normal 2 4 2 3 4 5 3 2" xfId="14784" xr:uid="{0BDAD819-1946-4791-B55D-6CFD4DA310B5}"/>
    <cellStyle name="Normal 2 4 2 3 4 5 3 3" xfId="23231" xr:uid="{81444A5A-7437-4FBA-BAE0-9844A7DFD5BE}"/>
    <cellStyle name="Normal 2 4 2 3 4 5 4" xfId="10566" xr:uid="{771469C8-2A0A-46F0-B2D3-9FFB31257FFB}"/>
    <cellStyle name="Normal 2 4 2 3 4 5 5" xfId="19014" xr:uid="{F83DD9F2-320B-4026-8104-4ED700BC0C92}"/>
    <cellStyle name="Normal 2 4 2 3 4 6" xfId="2464" xr:uid="{00000000-0005-0000-0000-0000210F0000}"/>
    <cellStyle name="Normal 2 4 2 3 4 6 2" xfId="6747" xr:uid="{00000000-0005-0000-0000-0000220F0000}"/>
    <cellStyle name="Normal 2 4 2 3 4 6 2 2" xfId="15197" xr:uid="{19D04F43-E1CB-49B5-9056-D0A134AB68B8}"/>
    <cellStyle name="Normal 2 4 2 3 4 6 2 3" xfId="23644" xr:uid="{AC527AA8-60F3-438E-9741-4822652FB7A1}"/>
    <cellStyle name="Normal 2 4 2 3 4 6 3" xfId="10979" xr:uid="{D495E5DF-BCD2-4926-B373-50BAF8A77C38}"/>
    <cellStyle name="Normal 2 4 2 3 4 6 4" xfId="19427" xr:uid="{1E3EC165-D15C-4EA5-8FBC-1FD40D60C9A8}"/>
    <cellStyle name="Normal 2 4 2 3 4 7" xfId="4681" xr:uid="{00000000-0005-0000-0000-0000230F0000}"/>
    <cellStyle name="Normal 2 4 2 3 4 7 2" xfId="13131" xr:uid="{5230D26D-EA31-4995-8A0A-7BEB19DBC77E}"/>
    <cellStyle name="Normal 2 4 2 3 4 7 3" xfId="21578" xr:uid="{F97F2958-2C80-4177-A654-000C8BC6274C}"/>
    <cellStyle name="Normal 2 4 2 3 4 8" xfId="8913" xr:uid="{CBFA3231-71DC-488B-B050-78436EEB66CD}"/>
    <cellStyle name="Normal 2 4 2 3 4 9" xfId="17361" xr:uid="{6A9A089E-F980-4DE4-A4D5-3881B4B5D49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08291CC7-81B4-4E45-9A4C-4C987287D116}"/>
    <cellStyle name="Normal 2 4 2 3 5 2 2 3" xfId="24130" xr:uid="{94DB06F2-750A-4A78-819B-1B38847DB4E8}"/>
    <cellStyle name="Normal 2 4 2 3 5 2 3" xfId="11465" xr:uid="{E25F54F8-1A2A-41CF-AF92-58575864EC4B}"/>
    <cellStyle name="Normal 2 4 2 3 5 2 4" xfId="19913" xr:uid="{99C64DB1-9495-42AB-89E7-80E841BCA74B}"/>
    <cellStyle name="Normal 2 4 2 3 5 3" xfId="5088" xr:uid="{00000000-0005-0000-0000-0000270F0000}"/>
    <cellStyle name="Normal 2 4 2 3 5 3 2" xfId="13538" xr:uid="{5C3807C5-AC81-4218-85BF-5AE8954B0B13}"/>
    <cellStyle name="Normal 2 4 2 3 5 3 3" xfId="21985" xr:uid="{B727D57B-0460-40D1-A5A9-1C8CE30927A1}"/>
    <cellStyle name="Normal 2 4 2 3 5 4" xfId="9320" xr:uid="{CA729FC1-1CCD-49AD-83BC-3CB1C4D22251}"/>
    <cellStyle name="Normal 2 4 2 3 5 5" xfId="17768" xr:uid="{71196F59-DA4E-4A5F-B242-2771391E2040}"/>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84251FFA-C259-40F9-9FBD-E95B59C4EA37}"/>
    <cellStyle name="Normal 2 4 2 3 6 2 2 3" xfId="24543" xr:uid="{55142BDD-C125-47EC-9C84-72033B424BDE}"/>
    <cellStyle name="Normal 2 4 2 3 6 2 3" xfId="11878" xr:uid="{C32D91A7-A0A3-4996-B2DD-1379D56B9C86}"/>
    <cellStyle name="Normal 2 4 2 3 6 2 4" xfId="20326" xr:uid="{8C708F73-F3CE-490D-BADE-B02E0244678C}"/>
    <cellStyle name="Normal 2 4 2 3 6 3" xfId="5501" xr:uid="{00000000-0005-0000-0000-00002B0F0000}"/>
    <cellStyle name="Normal 2 4 2 3 6 3 2" xfId="13951" xr:uid="{FB42F024-B979-45FF-B451-7464EB0FDEEF}"/>
    <cellStyle name="Normal 2 4 2 3 6 3 3" xfId="22398" xr:uid="{59CD56B4-85E8-4335-9F88-E78E713FC801}"/>
    <cellStyle name="Normal 2 4 2 3 6 4" xfId="9733" xr:uid="{8B41B7BA-AD12-4AAB-9E63-30C2E0744D53}"/>
    <cellStyle name="Normal 2 4 2 3 6 5" xfId="18181" xr:uid="{901FE5D0-BF2D-4943-B200-2E394CEF6DB8}"/>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B42819FB-20A0-4EB3-B330-419ABE191E57}"/>
    <cellStyle name="Normal 2 4 2 3 7 2 2 3" xfId="24956" xr:uid="{BA3D8A1F-52F5-4BDA-A61B-9D8DCA3306AD}"/>
    <cellStyle name="Normal 2 4 2 3 7 2 3" xfId="12291" xr:uid="{75CF4FBF-79C5-4CC0-B94E-9926BC30CF34}"/>
    <cellStyle name="Normal 2 4 2 3 7 2 4" xfId="20739" xr:uid="{9A76F0F9-5622-4E1D-9F5D-094C3BE081AB}"/>
    <cellStyle name="Normal 2 4 2 3 7 3" xfId="5914" xr:uid="{00000000-0005-0000-0000-00002F0F0000}"/>
    <cellStyle name="Normal 2 4 2 3 7 3 2" xfId="14364" xr:uid="{20EB2E11-692A-4EDA-9C81-C9DF5A188AC4}"/>
    <cellStyle name="Normal 2 4 2 3 7 3 3" xfId="22811" xr:uid="{B230749B-601D-4B01-98DE-35DB97C9B214}"/>
    <cellStyle name="Normal 2 4 2 3 7 4" xfId="10146" xr:uid="{7FA1155E-FDB3-40EB-AB82-B92499EA9BEB}"/>
    <cellStyle name="Normal 2 4 2 3 7 5" xfId="18594" xr:uid="{856FA0FC-F3D6-4FE6-9F29-D152E205C39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78DD5D40-037C-42A7-AB01-2926E74AF392}"/>
    <cellStyle name="Normal 2 4 2 3 8 2 2 3" xfId="25369" xr:uid="{F3305CBE-FFA2-4932-9A68-2E8DF882DB7F}"/>
    <cellStyle name="Normal 2 4 2 3 8 2 3" xfId="12704" xr:uid="{89B48E89-063B-4A09-A14E-70AACB00D78D}"/>
    <cellStyle name="Normal 2 4 2 3 8 2 4" xfId="21152" xr:uid="{E3D23733-4A35-46AD-9712-B5B9DADC5AAF}"/>
    <cellStyle name="Normal 2 4 2 3 8 3" xfId="6327" xr:uid="{00000000-0005-0000-0000-0000330F0000}"/>
    <cellStyle name="Normal 2 4 2 3 8 3 2" xfId="14777" xr:uid="{E78ED662-057A-4DF4-9686-E53F5F847504}"/>
    <cellStyle name="Normal 2 4 2 3 8 3 3" xfId="23224" xr:uid="{DB446179-0CCD-4327-8517-E4E2D6FBF2B5}"/>
    <cellStyle name="Normal 2 4 2 3 8 4" xfId="10559" xr:uid="{EF81B726-4968-4049-A44C-9FF65EEDC515}"/>
    <cellStyle name="Normal 2 4 2 3 8 5" xfId="19007" xr:uid="{9F53DD61-F226-4F52-ACE7-03B79140CEED}"/>
    <cellStyle name="Normal 2 4 2 3 9" xfId="2457" xr:uid="{00000000-0005-0000-0000-0000340F0000}"/>
    <cellStyle name="Normal 2 4 2 3 9 2" xfId="6740" xr:uid="{00000000-0005-0000-0000-0000350F0000}"/>
    <cellStyle name="Normal 2 4 2 3 9 2 2" xfId="15190" xr:uid="{BEC95B6F-D04F-4A16-867C-24EC8C16E8A6}"/>
    <cellStyle name="Normal 2 4 2 3 9 2 3" xfId="23637" xr:uid="{8E72DCA8-7C91-4A96-9484-3FEF818554FB}"/>
    <cellStyle name="Normal 2 4 2 3 9 3" xfId="10972" xr:uid="{D3E591D3-53C4-4887-ABD0-5B81A7752C3F}"/>
    <cellStyle name="Normal 2 4 2 3 9 4" xfId="19420" xr:uid="{7D5B87A2-1843-4E37-9590-1E5C7DB6192D}"/>
    <cellStyle name="Normal 2 4 2 4" xfId="289" xr:uid="{00000000-0005-0000-0000-0000360F0000}"/>
    <cellStyle name="Normal 2 4 2 4 10" xfId="8914" xr:uid="{170EC09B-03A8-45B0-B1F6-83DB03150A50}"/>
    <cellStyle name="Normal 2 4 2 4 11" xfId="17362" xr:uid="{966F6EAA-A2AB-425E-814B-79DB99BFB2E6}"/>
    <cellStyle name="Normal 2 4 2 4 2" xfId="290" xr:uid="{00000000-0005-0000-0000-0000370F0000}"/>
    <cellStyle name="Normal 2 4 2 4 2 10" xfId="17363" xr:uid="{4CEC73CB-CBC8-407B-B7B3-F308D4571AD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7C748230-CB6B-47D8-B739-3855A398DBA1}"/>
    <cellStyle name="Normal 2 4 2 4 2 2 2 2 2 3" xfId="24140" xr:uid="{D260B4ED-E5EF-40E9-9082-01CF8CCB01BE}"/>
    <cellStyle name="Normal 2 4 2 4 2 2 2 2 3" xfId="11475" xr:uid="{E2C17367-A928-4352-8DC6-CBA45BFC5E85}"/>
    <cellStyle name="Normal 2 4 2 4 2 2 2 2 4" xfId="19923" xr:uid="{A468F622-E422-42E6-A963-6D0C814BC438}"/>
    <cellStyle name="Normal 2 4 2 4 2 2 2 3" xfId="5098" xr:uid="{00000000-0005-0000-0000-00003C0F0000}"/>
    <cellStyle name="Normal 2 4 2 4 2 2 2 3 2" xfId="13548" xr:uid="{6CE4840C-B7E6-429C-A350-8CC0BF88D5C1}"/>
    <cellStyle name="Normal 2 4 2 4 2 2 2 3 3" xfId="21995" xr:uid="{ABBE2835-CFDF-4010-922C-A6E9D19DD138}"/>
    <cellStyle name="Normal 2 4 2 4 2 2 2 4" xfId="9330" xr:uid="{B950D0FB-2CBD-4749-98B6-28B4460971B7}"/>
    <cellStyle name="Normal 2 4 2 4 2 2 2 5" xfId="17778" xr:uid="{5EDB49C5-D54D-45EF-ABA1-27E09C1B3797}"/>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868BF9AA-ADBC-4C85-BC90-132E4A38D731}"/>
    <cellStyle name="Normal 2 4 2 4 2 2 3 2 2 3" xfId="24553" xr:uid="{7F6D3BEE-36E6-4F85-A855-07AABF5E1B6B}"/>
    <cellStyle name="Normal 2 4 2 4 2 2 3 2 3" xfId="11888" xr:uid="{1073EB88-7C90-4883-A538-0D7BE373CB06}"/>
    <cellStyle name="Normal 2 4 2 4 2 2 3 2 4" xfId="20336" xr:uid="{371A4BBA-8286-4E02-BCFC-D5F8A3C807C2}"/>
    <cellStyle name="Normal 2 4 2 4 2 2 3 3" xfId="5511" xr:uid="{00000000-0005-0000-0000-0000400F0000}"/>
    <cellStyle name="Normal 2 4 2 4 2 2 3 3 2" xfId="13961" xr:uid="{41C8A500-311D-4CE1-9DF6-A3329D2F4002}"/>
    <cellStyle name="Normal 2 4 2 4 2 2 3 3 3" xfId="22408" xr:uid="{48AA70B0-8915-4C4C-809A-BD1DA2AA3F55}"/>
    <cellStyle name="Normal 2 4 2 4 2 2 3 4" xfId="9743" xr:uid="{FDC5DD1C-3555-4397-9394-15EA6E67E05E}"/>
    <cellStyle name="Normal 2 4 2 4 2 2 3 5" xfId="18191" xr:uid="{E6FDA991-B6E9-4B54-9D1D-5C86E0E18C95}"/>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01CD96FE-CF20-42A4-82FE-625F66EBB474}"/>
    <cellStyle name="Normal 2 4 2 4 2 2 4 2 2 3" xfId="24966" xr:uid="{291154EB-DA40-4CA0-8C8D-FD89DD8C653C}"/>
    <cellStyle name="Normal 2 4 2 4 2 2 4 2 3" xfId="12301" xr:uid="{5763BC6D-463E-429F-A36C-8ABAB394D629}"/>
    <cellStyle name="Normal 2 4 2 4 2 2 4 2 4" xfId="20749" xr:uid="{F01A6EB1-A3D1-40A9-8E6A-772E7B64E1D4}"/>
    <cellStyle name="Normal 2 4 2 4 2 2 4 3" xfId="5924" xr:uid="{00000000-0005-0000-0000-0000440F0000}"/>
    <cellStyle name="Normal 2 4 2 4 2 2 4 3 2" xfId="14374" xr:uid="{6142D045-1BF4-44C8-9CC9-C77C1347F5DD}"/>
    <cellStyle name="Normal 2 4 2 4 2 2 4 3 3" xfId="22821" xr:uid="{8B8F88CA-03DC-4954-954F-F60A56FAA8EA}"/>
    <cellStyle name="Normal 2 4 2 4 2 2 4 4" xfId="10156" xr:uid="{C050CF5E-A913-4348-9B01-9EB7A5CD3BE4}"/>
    <cellStyle name="Normal 2 4 2 4 2 2 4 5" xfId="18604" xr:uid="{E17E261D-CF9C-45DA-A45B-483F442231CC}"/>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0575582D-8D2A-455D-AEB9-ED43E229F0DB}"/>
    <cellStyle name="Normal 2 4 2 4 2 2 5 2 2 3" xfId="25379" xr:uid="{CAD951A0-85C1-49BF-ACE3-526FD2655A14}"/>
    <cellStyle name="Normal 2 4 2 4 2 2 5 2 3" xfId="12714" xr:uid="{871E5B71-61E3-4A9F-BB8D-015EB4BC747C}"/>
    <cellStyle name="Normal 2 4 2 4 2 2 5 2 4" xfId="21162" xr:uid="{907292E2-72EE-4DCF-9857-144EE19B8785}"/>
    <cellStyle name="Normal 2 4 2 4 2 2 5 3" xfId="6337" xr:uid="{00000000-0005-0000-0000-0000480F0000}"/>
    <cellStyle name="Normal 2 4 2 4 2 2 5 3 2" xfId="14787" xr:uid="{D555F74E-C609-4ED5-8A7E-9A63003441B6}"/>
    <cellStyle name="Normal 2 4 2 4 2 2 5 3 3" xfId="23234" xr:uid="{7C5D5AF8-BC18-4611-9E92-36213B57D137}"/>
    <cellStyle name="Normal 2 4 2 4 2 2 5 4" xfId="10569" xr:uid="{6625F3ED-B58E-4499-9D38-30D340B7251B}"/>
    <cellStyle name="Normal 2 4 2 4 2 2 5 5" xfId="19017" xr:uid="{E359E3D3-00E5-4161-91B1-3C22B958BC04}"/>
    <cellStyle name="Normal 2 4 2 4 2 2 6" xfId="2467" xr:uid="{00000000-0005-0000-0000-0000490F0000}"/>
    <cellStyle name="Normal 2 4 2 4 2 2 6 2" xfId="6750" xr:uid="{00000000-0005-0000-0000-00004A0F0000}"/>
    <cellStyle name="Normal 2 4 2 4 2 2 6 2 2" xfId="15200" xr:uid="{1B25B9E2-807F-4F15-8ADF-8AD61DDD3EEF}"/>
    <cellStyle name="Normal 2 4 2 4 2 2 6 2 3" xfId="23647" xr:uid="{F7C22EFA-ED61-4621-82B5-A3E415781647}"/>
    <cellStyle name="Normal 2 4 2 4 2 2 6 3" xfId="10982" xr:uid="{FEF70A32-8D30-4A3F-A6B2-2159FEC3E972}"/>
    <cellStyle name="Normal 2 4 2 4 2 2 6 4" xfId="19430" xr:uid="{D07B27B4-E1DD-4F1A-B0CD-A1256C7565A3}"/>
    <cellStyle name="Normal 2 4 2 4 2 2 7" xfId="4684" xr:uid="{00000000-0005-0000-0000-00004B0F0000}"/>
    <cellStyle name="Normal 2 4 2 4 2 2 7 2" xfId="13134" xr:uid="{FE1FA4B7-156B-412B-A481-33D0AC2B60EE}"/>
    <cellStyle name="Normal 2 4 2 4 2 2 7 3" xfId="21581" xr:uid="{85046451-5472-4302-913E-39D4B3607386}"/>
    <cellStyle name="Normal 2 4 2 4 2 2 8" xfId="8916" xr:uid="{87AE4FAB-B03C-4BBE-A26F-B55D01688516}"/>
    <cellStyle name="Normal 2 4 2 4 2 2 9" xfId="17364" xr:uid="{DA734A39-4157-4423-937A-51C81DCB3BB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7E73C130-F1F7-4EB3-B98A-46E496DA8EF8}"/>
    <cellStyle name="Normal 2 4 2 4 2 3 2 2 3" xfId="24139" xr:uid="{C3F1FA80-1847-4CA8-8B65-506DB80B5636}"/>
    <cellStyle name="Normal 2 4 2 4 2 3 2 3" xfId="11474" xr:uid="{419F5EF8-B6E1-450D-AD72-B9C900514C7D}"/>
    <cellStyle name="Normal 2 4 2 4 2 3 2 4" xfId="19922" xr:uid="{A13AB03E-FD5B-4F30-B1BE-EC77A9308BC2}"/>
    <cellStyle name="Normal 2 4 2 4 2 3 3" xfId="5097" xr:uid="{00000000-0005-0000-0000-00004F0F0000}"/>
    <cellStyle name="Normal 2 4 2 4 2 3 3 2" xfId="13547" xr:uid="{4390E3CC-CF2B-4339-B6C8-77888BD8A745}"/>
    <cellStyle name="Normal 2 4 2 4 2 3 3 3" xfId="21994" xr:uid="{DF45459A-B222-440C-B037-EDD7974D7672}"/>
    <cellStyle name="Normal 2 4 2 4 2 3 4" xfId="9329" xr:uid="{F7AA895E-5229-4EFA-88DD-3648CA5345A1}"/>
    <cellStyle name="Normal 2 4 2 4 2 3 5" xfId="17777" xr:uid="{747F950D-D173-4759-803E-AEBBA908460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F0AF9BDB-A192-4AD4-9D66-1CB9FE93DBE4}"/>
    <cellStyle name="Normal 2 4 2 4 2 4 2 2 3" xfId="24552" xr:uid="{AFF749A6-B64B-44EF-A8DD-212E1D0D6774}"/>
    <cellStyle name="Normal 2 4 2 4 2 4 2 3" xfId="11887" xr:uid="{892081BE-7D9E-4C96-A223-5FFA21459C47}"/>
    <cellStyle name="Normal 2 4 2 4 2 4 2 4" xfId="20335" xr:uid="{C3D05E03-CB06-436B-805E-5F3531FEDB40}"/>
    <cellStyle name="Normal 2 4 2 4 2 4 3" xfId="5510" xr:uid="{00000000-0005-0000-0000-0000530F0000}"/>
    <cellStyle name="Normal 2 4 2 4 2 4 3 2" xfId="13960" xr:uid="{B251CCC8-EF6C-47C8-8A89-2E10FAD893C4}"/>
    <cellStyle name="Normal 2 4 2 4 2 4 3 3" xfId="22407" xr:uid="{B08FFEED-FF17-4EAF-ABDD-BC0AA1F9C276}"/>
    <cellStyle name="Normal 2 4 2 4 2 4 4" xfId="9742" xr:uid="{F11A4FC8-45F6-45B3-ADAD-FB77A4C6C9DD}"/>
    <cellStyle name="Normal 2 4 2 4 2 4 5" xfId="18190" xr:uid="{D7F7FC6C-E557-4141-974C-9AF282D40538}"/>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D1D77812-332E-4427-A8A1-83D7E6EA7587}"/>
    <cellStyle name="Normal 2 4 2 4 2 5 2 2 3" xfId="24965" xr:uid="{401420E3-254E-4563-9393-91AC1CFF3C0B}"/>
    <cellStyle name="Normal 2 4 2 4 2 5 2 3" xfId="12300" xr:uid="{8E3FB572-E88E-4026-9616-3595BEECCC09}"/>
    <cellStyle name="Normal 2 4 2 4 2 5 2 4" xfId="20748" xr:uid="{0D4CB409-3DCE-4AB6-8FB7-106EDA94A0BB}"/>
    <cellStyle name="Normal 2 4 2 4 2 5 3" xfId="5923" xr:uid="{00000000-0005-0000-0000-0000570F0000}"/>
    <cellStyle name="Normal 2 4 2 4 2 5 3 2" xfId="14373" xr:uid="{69548C1B-9256-4195-A33B-F25A76C4F045}"/>
    <cellStyle name="Normal 2 4 2 4 2 5 3 3" xfId="22820" xr:uid="{7581C979-FF65-4E67-8883-260B41791834}"/>
    <cellStyle name="Normal 2 4 2 4 2 5 4" xfId="10155" xr:uid="{5311B3D1-52D6-403B-A11F-1BEB7B1AEFE7}"/>
    <cellStyle name="Normal 2 4 2 4 2 5 5" xfId="18603" xr:uid="{7DE89458-C123-49C2-909F-5F59C60D3ABE}"/>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AE8A7068-0E2E-4CB6-B796-C82B2616A62A}"/>
    <cellStyle name="Normal 2 4 2 4 2 6 2 2 3" xfId="25378" xr:uid="{0AF5D919-D87B-4E3D-9AB8-977C59AD1BA4}"/>
    <cellStyle name="Normal 2 4 2 4 2 6 2 3" xfId="12713" xr:uid="{E0B5815C-20B8-43A3-8104-8A04A3E61164}"/>
    <cellStyle name="Normal 2 4 2 4 2 6 2 4" xfId="21161" xr:uid="{39D0BB73-7F3D-4187-A1F5-E4BCF31555E7}"/>
    <cellStyle name="Normal 2 4 2 4 2 6 3" xfId="6336" xr:uid="{00000000-0005-0000-0000-00005B0F0000}"/>
    <cellStyle name="Normal 2 4 2 4 2 6 3 2" xfId="14786" xr:uid="{0BF3B4FB-FCFA-4991-8BB1-AE33FAE4F32F}"/>
    <cellStyle name="Normal 2 4 2 4 2 6 3 3" xfId="23233" xr:uid="{4F23AC03-3D26-47F2-B4F4-FF761A03E006}"/>
    <cellStyle name="Normal 2 4 2 4 2 6 4" xfId="10568" xr:uid="{51D1A803-C347-42BA-9D51-AD42ADE82789}"/>
    <cellStyle name="Normal 2 4 2 4 2 6 5" xfId="19016" xr:uid="{76B18D1E-A42F-46D7-912A-C6CC1BF3DDCC}"/>
    <cellStyle name="Normal 2 4 2 4 2 7" xfId="2466" xr:uid="{00000000-0005-0000-0000-00005C0F0000}"/>
    <cellStyle name="Normal 2 4 2 4 2 7 2" xfId="6749" xr:uid="{00000000-0005-0000-0000-00005D0F0000}"/>
    <cellStyle name="Normal 2 4 2 4 2 7 2 2" xfId="15199" xr:uid="{AC68AF39-B37F-4733-B114-87BD3719B68F}"/>
    <cellStyle name="Normal 2 4 2 4 2 7 2 3" xfId="23646" xr:uid="{F6A41B0A-893C-422A-A8CA-A1481FA6EB36}"/>
    <cellStyle name="Normal 2 4 2 4 2 7 3" xfId="10981" xr:uid="{B40A0498-8E28-4CCE-B50B-A93766CBE954}"/>
    <cellStyle name="Normal 2 4 2 4 2 7 4" xfId="19429" xr:uid="{F8AED0E9-DE8C-424D-A5C5-B4238F68524A}"/>
    <cellStyle name="Normal 2 4 2 4 2 8" xfId="4683" xr:uid="{00000000-0005-0000-0000-00005E0F0000}"/>
    <cellStyle name="Normal 2 4 2 4 2 8 2" xfId="13133" xr:uid="{1509F63B-0FD3-4F56-B56F-9C892512EF3E}"/>
    <cellStyle name="Normal 2 4 2 4 2 8 3" xfId="21580" xr:uid="{74D00513-7FDF-4D01-B5D4-39F2437F30D3}"/>
    <cellStyle name="Normal 2 4 2 4 2 9" xfId="8915" xr:uid="{EAEA4323-B131-4D98-A461-7290EB2962C3}"/>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FCE92AF6-135B-46D7-9605-9FA4FD00F131}"/>
    <cellStyle name="Normal 2 4 2 4 3 2 2 2 3" xfId="24141" xr:uid="{38364FEC-AB1E-45DC-A23D-2302D63403FB}"/>
    <cellStyle name="Normal 2 4 2 4 3 2 2 3" xfId="11476" xr:uid="{E4028142-FA63-4E67-92B6-657B7EDC1E5A}"/>
    <cellStyle name="Normal 2 4 2 4 3 2 2 4" xfId="19924" xr:uid="{9611313A-4ABA-458C-9407-F95A951F91F2}"/>
    <cellStyle name="Normal 2 4 2 4 3 2 3" xfId="5099" xr:uid="{00000000-0005-0000-0000-0000630F0000}"/>
    <cellStyle name="Normal 2 4 2 4 3 2 3 2" xfId="13549" xr:uid="{B4ED4B36-A73D-4542-97AD-8EAD32249E2D}"/>
    <cellStyle name="Normal 2 4 2 4 3 2 3 3" xfId="21996" xr:uid="{8215F066-3212-4187-B2EB-D681DACF0DE3}"/>
    <cellStyle name="Normal 2 4 2 4 3 2 4" xfId="9331" xr:uid="{85B4CE98-9030-4C0D-9D71-AABF6BFEB30B}"/>
    <cellStyle name="Normal 2 4 2 4 3 2 5" xfId="17779" xr:uid="{272B418A-C333-43C1-93C0-0FD4F1192D76}"/>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5B29CBB9-544B-43EA-B0D2-198F2EA8EF3B}"/>
    <cellStyle name="Normal 2 4 2 4 3 3 2 2 3" xfId="24554" xr:uid="{F250FFBB-A8A6-442A-A97F-3EABE68477E6}"/>
    <cellStyle name="Normal 2 4 2 4 3 3 2 3" xfId="11889" xr:uid="{5D5E29EE-7B30-4039-A8EF-453238278965}"/>
    <cellStyle name="Normal 2 4 2 4 3 3 2 4" xfId="20337" xr:uid="{E2EEADF2-E1E7-401B-AB3E-DF10DED5E1A4}"/>
    <cellStyle name="Normal 2 4 2 4 3 3 3" xfId="5512" xr:uid="{00000000-0005-0000-0000-0000670F0000}"/>
    <cellStyle name="Normal 2 4 2 4 3 3 3 2" xfId="13962" xr:uid="{24D7C433-20F7-443B-A950-30357D4F4F15}"/>
    <cellStyle name="Normal 2 4 2 4 3 3 3 3" xfId="22409" xr:uid="{0873CDB6-F61D-477C-8BD5-74DD86A1CA98}"/>
    <cellStyle name="Normal 2 4 2 4 3 3 4" xfId="9744" xr:uid="{4D240F16-5238-4CAD-A086-5D81C1A7F5D3}"/>
    <cellStyle name="Normal 2 4 2 4 3 3 5" xfId="18192" xr:uid="{F439C933-6970-4BA9-88BB-1244A5F4BB2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187F939C-F092-4D37-B514-0B047C4834ED}"/>
    <cellStyle name="Normal 2 4 2 4 3 4 2 2 3" xfId="24967" xr:uid="{4C3BC529-C71E-4FB8-8B1B-16ADE5299894}"/>
    <cellStyle name="Normal 2 4 2 4 3 4 2 3" xfId="12302" xr:uid="{5C5C78F2-B0A2-4574-927B-CCECB4428593}"/>
    <cellStyle name="Normal 2 4 2 4 3 4 2 4" xfId="20750" xr:uid="{457256B6-B92C-4071-8414-A40B7D820091}"/>
    <cellStyle name="Normal 2 4 2 4 3 4 3" xfId="5925" xr:uid="{00000000-0005-0000-0000-00006B0F0000}"/>
    <cellStyle name="Normal 2 4 2 4 3 4 3 2" xfId="14375" xr:uid="{73800FCB-2827-4F82-94D9-88C1438C697F}"/>
    <cellStyle name="Normal 2 4 2 4 3 4 3 3" xfId="22822" xr:uid="{F2075023-1D14-483B-940F-25384FE99CA9}"/>
    <cellStyle name="Normal 2 4 2 4 3 4 4" xfId="10157" xr:uid="{36D6E2AB-1EB0-48B0-B672-490CFAE2F322}"/>
    <cellStyle name="Normal 2 4 2 4 3 4 5" xfId="18605" xr:uid="{F15B0F82-EA77-4CCC-A614-5834EF5F8891}"/>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4E53C81D-168C-4B05-9A51-157C00651E5A}"/>
    <cellStyle name="Normal 2 4 2 4 3 5 2 2 3" xfId="25380" xr:uid="{675A3A6E-AAFD-45EF-A0F6-40A3FB1A232A}"/>
    <cellStyle name="Normal 2 4 2 4 3 5 2 3" xfId="12715" xr:uid="{6C27CE87-3CA9-4F84-BA2D-FB758D15B611}"/>
    <cellStyle name="Normal 2 4 2 4 3 5 2 4" xfId="21163" xr:uid="{252191EC-1003-4FBD-BA95-AFB5C32702E8}"/>
    <cellStyle name="Normal 2 4 2 4 3 5 3" xfId="6338" xr:uid="{00000000-0005-0000-0000-00006F0F0000}"/>
    <cellStyle name="Normal 2 4 2 4 3 5 3 2" xfId="14788" xr:uid="{05F9624B-64E4-45EA-80D4-FF5A13FC8359}"/>
    <cellStyle name="Normal 2 4 2 4 3 5 3 3" xfId="23235" xr:uid="{56419221-5E24-4F3E-98D2-2AD6CECAF747}"/>
    <cellStyle name="Normal 2 4 2 4 3 5 4" xfId="10570" xr:uid="{95967470-DE04-4D4D-A71E-B4A023A4F7F6}"/>
    <cellStyle name="Normal 2 4 2 4 3 5 5" xfId="19018" xr:uid="{F0713DDB-06CF-43A5-9525-2D8E5375CCA3}"/>
    <cellStyle name="Normal 2 4 2 4 3 6" xfId="2468" xr:uid="{00000000-0005-0000-0000-0000700F0000}"/>
    <cellStyle name="Normal 2 4 2 4 3 6 2" xfId="6751" xr:uid="{00000000-0005-0000-0000-0000710F0000}"/>
    <cellStyle name="Normal 2 4 2 4 3 6 2 2" xfId="15201" xr:uid="{A4234356-5475-4D7A-A98B-CD9A5AE82D88}"/>
    <cellStyle name="Normal 2 4 2 4 3 6 2 3" xfId="23648" xr:uid="{4A6E45EA-2C66-4ED5-8716-9630939D373E}"/>
    <cellStyle name="Normal 2 4 2 4 3 6 3" xfId="10983" xr:uid="{BBD81BC0-D2AD-4A94-AAC4-C797D2FFE915}"/>
    <cellStyle name="Normal 2 4 2 4 3 6 4" xfId="19431" xr:uid="{890D879E-9FC8-4B73-87FA-45BEA7CC444E}"/>
    <cellStyle name="Normal 2 4 2 4 3 7" xfId="4685" xr:uid="{00000000-0005-0000-0000-0000720F0000}"/>
    <cellStyle name="Normal 2 4 2 4 3 7 2" xfId="13135" xr:uid="{5C4749A2-DC8C-414D-8EDF-9C38AA3D7365}"/>
    <cellStyle name="Normal 2 4 2 4 3 7 3" xfId="21582" xr:uid="{135D0F05-B56F-4DD7-873B-DC3259ED30E4}"/>
    <cellStyle name="Normal 2 4 2 4 3 8" xfId="8917" xr:uid="{7E75F863-29C5-43F4-A35E-BEDF2BC2F44A}"/>
    <cellStyle name="Normal 2 4 2 4 3 9" xfId="17365" xr:uid="{7EBE7D99-CB64-409E-924E-332A835141A6}"/>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113BB98B-9B17-4A50-8CF7-97CBA39E14DD}"/>
    <cellStyle name="Normal 2 4 2 4 4 2 2 3" xfId="24138" xr:uid="{AA20EDED-8455-43AF-8E30-5764D92CACB8}"/>
    <cellStyle name="Normal 2 4 2 4 4 2 3" xfId="11473" xr:uid="{C4F10C33-7E2E-45B8-9D9C-C7107BC62D6C}"/>
    <cellStyle name="Normal 2 4 2 4 4 2 4" xfId="19921" xr:uid="{632789AC-FF28-4421-85D7-F143FD99A5FA}"/>
    <cellStyle name="Normal 2 4 2 4 4 3" xfId="5096" xr:uid="{00000000-0005-0000-0000-0000760F0000}"/>
    <cellStyle name="Normal 2 4 2 4 4 3 2" xfId="13546" xr:uid="{C9B40D88-8616-42E1-BD25-766301CB2196}"/>
    <cellStyle name="Normal 2 4 2 4 4 3 3" xfId="21993" xr:uid="{3B954670-C3F2-49A3-AFAE-C0C0CBB245E7}"/>
    <cellStyle name="Normal 2 4 2 4 4 4" xfId="9328" xr:uid="{735DB511-C2CA-408C-8C17-3D9FA68BA5A4}"/>
    <cellStyle name="Normal 2 4 2 4 4 5" xfId="17776" xr:uid="{14C12BB7-CF7E-405E-993F-59C11A09655F}"/>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AF49A2E1-6828-44B5-8BC5-364B8FCA26D4}"/>
    <cellStyle name="Normal 2 4 2 4 5 2 2 3" xfId="24551" xr:uid="{C7871C89-CB25-4F1A-A481-8CAFA01E3C17}"/>
    <cellStyle name="Normal 2 4 2 4 5 2 3" xfId="11886" xr:uid="{D253F023-4F34-48C2-9FAF-15CB61F6DE84}"/>
    <cellStyle name="Normal 2 4 2 4 5 2 4" xfId="20334" xr:uid="{5A18C05D-C144-4A93-961D-24EF6CEB467A}"/>
    <cellStyle name="Normal 2 4 2 4 5 3" xfId="5509" xr:uid="{00000000-0005-0000-0000-00007A0F0000}"/>
    <cellStyle name="Normal 2 4 2 4 5 3 2" xfId="13959" xr:uid="{9BA78482-5368-44B9-9AA7-5B68F0620E47}"/>
    <cellStyle name="Normal 2 4 2 4 5 3 3" xfId="22406" xr:uid="{55EF1929-AE57-4A12-8347-AF8B76A336BC}"/>
    <cellStyle name="Normal 2 4 2 4 5 4" xfId="9741" xr:uid="{154FF40D-5070-4157-B39F-13D09BC45DD8}"/>
    <cellStyle name="Normal 2 4 2 4 5 5" xfId="18189" xr:uid="{751B756D-3DCB-42D7-83A5-8ED81F7ED60C}"/>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F44B175A-149D-4707-B577-19328A148806}"/>
    <cellStyle name="Normal 2 4 2 4 6 2 2 3" xfId="24964" xr:uid="{D90542BF-29CF-4170-94D2-471B9F97980B}"/>
    <cellStyle name="Normal 2 4 2 4 6 2 3" xfId="12299" xr:uid="{F4343E34-1ABA-4D00-B182-3A49DF88CF59}"/>
    <cellStyle name="Normal 2 4 2 4 6 2 4" xfId="20747" xr:uid="{BE35D3FD-6B59-42CE-B6B2-449200176E7E}"/>
    <cellStyle name="Normal 2 4 2 4 6 3" xfId="5922" xr:uid="{00000000-0005-0000-0000-00007E0F0000}"/>
    <cellStyle name="Normal 2 4 2 4 6 3 2" xfId="14372" xr:uid="{E07C61CF-04D5-4F47-A971-EDCE25224D14}"/>
    <cellStyle name="Normal 2 4 2 4 6 3 3" xfId="22819" xr:uid="{3C2BFDA2-86B9-4DDC-B4A1-3B4710D4136B}"/>
    <cellStyle name="Normal 2 4 2 4 6 4" xfId="10154" xr:uid="{B740AFAC-56AA-454C-A29C-A7369CB0FC83}"/>
    <cellStyle name="Normal 2 4 2 4 6 5" xfId="18602" xr:uid="{044AD7B1-FA3D-4FF5-837F-7A24A6D29FC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E9F1A705-3906-461C-82A2-B3D3191A5B1A}"/>
    <cellStyle name="Normal 2 4 2 4 7 2 2 3" xfId="25377" xr:uid="{A1978BD8-ED87-441E-AFB6-9B13E2DE46B2}"/>
    <cellStyle name="Normal 2 4 2 4 7 2 3" xfId="12712" xr:uid="{210FACA6-A73D-42C8-8ADD-5780F38DA14D}"/>
    <cellStyle name="Normal 2 4 2 4 7 2 4" xfId="21160" xr:uid="{FA40E0BC-C3AC-4F73-BCB1-9482AA862DF5}"/>
    <cellStyle name="Normal 2 4 2 4 7 3" xfId="6335" xr:uid="{00000000-0005-0000-0000-0000820F0000}"/>
    <cellStyle name="Normal 2 4 2 4 7 3 2" xfId="14785" xr:uid="{2323CEF7-055D-41E1-BBBF-3A4854ED56A6}"/>
    <cellStyle name="Normal 2 4 2 4 7 3 3" xfId="23232" xr:uid="{EAC7CFE6-61EB-487B-BC65-4997609C8229}"/>
    <cellStyle name="Normal 2 4 2 4 7 4" xfId="10567" xr:uid="{AFEF583F-9F21-4067-8F28-D9ED4456E78D}"/>
    <cellStyle name="Normal 2 4 2 4 7 5" xfId="19015" xr:uid="{52045932-8147-4E21-90D0-5388A495B700}"/>
    <cellStyle name="Normal 2 4 2 4 8" xfId="2465" xr:uid="{00000000-0005-0000-0000-0000830F0000}"/>
    <cellStyle name="Normal 2 4 2 4 8 2" xfId="6748" xr:uid="{00000000-0005-0000-0000-0000840F0000}"/>
    <cellStyle name="Normal 2 4 2 4 8 2 2" xfId="15198" xr:uid="{D7D15D8D-FE6C-48B1-973B-560FC7CF8156}"/>
    <cellStyle name="Normal 2 4 2 4 8 2 3" xfId="23645" xr:uid="{5F02EC9A-94C8-4164-881D-3A69C2359A1A}"/>
    <cellStyle name="Normal 2 4 2 4 8 3" xfId="10980" xr:uid="{633AFE63-A57B-4FDE-BC84-50AEF631BA4C}"/>
    <cellStyle name="Normal 2 4 2 4 8 4" xfId="19428" xr:uid="{5E50C6C1-8737-4B51-8FB6-5196B1DB8B6D}"/>
    <cellStyle name="Normal 2 4 2 4 9" xfId="4682" xr:uid="{00000000-0005-0000-0000-0000850F0000}"/>
    <cellStyle name="Normal 2 4 2 4 9 2" xfId="13132" xr:uid="{D8B7F27C-D4AE-49D2-A973-0202B50A86EB}"/>
    <cellStyle name="Normal 2 4 2 4 9 3" xfId="21579" xr:uid="{2CF1D194-295E-43E6-BE9B-4ABF4FD88937}"/>
    <cellStyle name="Normal 2 4 2 5" xfId="293" xr:uid="{00000000-0005-0000-0000-0000860F0000}"/>
    <cellStyle name="Normal 2 4 2 5 10" xfId="17366" xr:uid="{609D2E98-B3C7-4DB0-8D48-361084908D57}"/>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617DCBDD-D6AF-4253-810C-39F6D2C0BF25}"/>
    <cellStyle name="Normal 2 4 2 5 2 2 2 2 3" xfId="24143" xr:uid="{F6319465-42BF-4F96-A373-013C86E75C3F}"/>
    <cellStyle name="Normal 2 4 2 5 2 2 2 3" xfId="11478" xr:uid="{7E8919AF-1CB0-4974-962E-03173C9C887E}"/>
    <cellStyle name="Normal 2 4 2 5 2 2 2 4" xfId="19926" xr:uid="{FA2F51CA-5208-4191-A55B-0BEC185C3313}"/>
    <cellStyle name="Normal 2 4 2 5 2 2 3" xfId="5101" xr:uid="{00000000-0005-0000-0000-00008B0F0000}"/>
    <cellStyle name="Normal 2 4 2 5 2 2 3 2" xfId="13551" xr:uid="{C7637B33-57E9-4998-B6F5-EFFFC0D8FC91}"/>
    <cellStyle name="Normal 2 4 2 5 2 2 3 3" xfId="21998" xr:uid="{B8047CB9-7681-452B-8668-2C2C8997D8B2}"/>
    <cellStyle name="Normal 2 4 2 5 2 2 4" xfId="9333" xr:uid="{EBCE7B39-A94E-4BEB-BE4C-D12B30FD8D28}"/>
    <cellStyle name="Normal 2 4 2 5 2 2 5" xfId="17781" xr:uid="{63CA5B29-4199-4120-825B-119AEB0E0169}"/>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7F54BFC8-EB3D-4ACC-97A8-9877E8CA4397}"/>
    <cellStyle name="Normal 2 4 2 5 2 3 2 2 3" xfId="24556" xr:uid="{AA46D0FC-DBB4-4A29-BD61-0AEA4BE54A02}"/>
    <cellStyle name="Normal 2 4 2 5 2 3 2 3" xfId="11891" xr:uid="{48F69318-4806-41CB-B4C3-B5561CEF88C1}"/>
    <cellStyle name="Normal 2 4 2 5 2 3 2 4" xfId="20339" xr:uid="{4E097508-7BF7-49C6-A8D3-A8407E5FF7E2}"/>
    <cellStyle name="Normal 2 4 2 5 2 3 3" xfId="5514" xr:uid="{00000000-0005-0000-0000-00008F0F0000}"/>
    <cellStyle name="Normal 2 4 2 5 2 3 3 2" xfId="13964" xr:uid="{834DBE5F-29C7-4AEC-A14D-EA17C782DA22}"/>
    <cellStyle name="Normal 2 4 2 5 2 3 3 3" xfId="22411" xr:uid="{7898D5E3-1155-4A7F-90B9-1E6AFA5BE192}"/>
    <cellStyle name="Normal 2 4 2 5 2 3 4" xfId="9746" xr:uid="{5BCEBAB1-A537-4E46-9B46-91E4916EF8FF}"/>
    <cellStyle name="Normal 2 4 2 5 2 3 5" xfId="18194" xr:uid="{C91661F5-E313-4B5F-B483-C9F08BC54F7F}"/>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2EB9A397-630D-4C62-95DF-1440B54DA6B8}"/>
    <cellStyle name="Normal 2 4 2 5 2 4 2 2 3" xfId="24969" xr:uid="{461FB8F7-8ABB-424A-B7D6-5EFBA0BB0416}"/>
    <cellStyle name="Normal 2 4 2 5 2 4 2 3" xfId="12304" xr:uid="{2A412218-4EA9-455C-9C3D-1170A021FA91}"/>
    <cellStyle name="Normal 2 4 2 5 2 4 2 4" xfId="20752" xr:uid="{BD49AD91-B0D3-44F6-8ED8-6BA01AC7816A}"/>
    <cellStyle name="Normal 2 4 2 5 2 4 3" xfId="5927" xr:uid="{00000000-0005-0000-0000-0000930F0000}"/>
    <cellStyle name="Normal 2 4 2 5 2 4 3 2" xfId="14377" xr:uid="{DF92F2BB-BC4B-480E-9237-B3E551B01BAC}"/>
    <cellStyle name="Normal 2 4 2 5 2 4 3 3" xfId="22824" xr:uid="{CE5AD6F0-5994-4B7B-97F1-49F3C285F04D}"/>
    <cellStyle name="Normal 2 4 2 5 2 4 4" xfId="10159" xr:uid="{22ABE2C4-893C-48FA-9C11-D9DCD6ADBE2F}"/>
    <cellStyle name="Normal 2 4 2 5 2 4 5" xfId="18607" xr:uid="{DC34E2DB-2A01-4C1C-837C-1E79AAECA33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8C88B73E-57D6-4DA5-A359-BE294EE85978}"/>
    <cellStyle name="Normal 2 4 2 5 2 5 2 2 3" xfId="25382" xr:uid="{E670C5E2-2B12-4729-81D8-A25AF255EACB}"/>
    <cellStyle name="Normal 2 4 2 5 2 5 2 3" xfId="12717" xr:uid="{FD4BC0CB-3118-448E-A41C-8AA36E714340}"/>
    <cellStyle name="Normal 2 4 2 5 2 5 2 4" xfId="21165" xr:uid="{61A26525-D37D-498B-A5E2-19AA485432B9}"/>
    <cellStyle name="Normal 2 4 2 5 2 5 3" xfId="6340" xr:uid="{00000000-0005-0000-0000-0000970F0000}"/>
    <cellStyle name="Normal 2 4 2 5 2 5 3 2" xfId="14790" xr:uid="{9BB069E1-1862-4D6E-851B-CBB525777F29}"/>
    <cellStyle name="Normal 2 4 2 5 2 5 3 3" xfId="23237" xr:uid="{B4D6F3AC-4F0D-4E53-8B06-97AD2D59ED24}"/>
    <cellStyle name="Normal 2 4 2 5 2 5 4" xfId="10572" xr:uid="{726CC3A4-D68B-445C-AC52-534D299311C8}"/>
    <cellStyle name="Normal 2 4 2 5 2 5 5" xfId="19020" xr:uid="{E267914E-4D8D-4744-AADB-7AF696BD32BE}"/>
    <cellStyle name="Normal 2 4 2 5 2 6" xfId="2470" xr:uid="{00000000-0005-0000-0000-0000980F0000}"/>
    <cellStyle name="Normal 2 4 2 5 2 6 2" xfId="6753" xr:uid="{00000000-0005-0000-0000-0000990F0000}"/>
    <cellStyle name="Normal 2 4 2 5 2 6 2 2" xfId="15203" xr:uid="{F6C18D8E-D1C3-41DE-9E63-8FE7944625C7}"/>
    <cellStyle name="Normal 2 4 2 5 2 6 2 3" xfId="23650" xr:uid="{E4E7C9AD-784D-4BB2-ADA0-2BAF22CEAE17}"/>
    <cellStyle name="Normal 2 4 2 5 2 6 3" xfId="10985" xr:uid="{F51EA0CA-988F-49A4-BBA5-0ACD91820A99}"/>
    <cellStyle name="Normal 2 4 2 5 2 6 4" xfId="19433" xr:uid="{04FDE9BC-5708-4CF0-BA59-94D8C5E174A8}"/>
    <cellStyle name="Normal 2 4 2 5 2 7" xfId="4687" xr:uid="{00000000-0005-0000-0000-00009A0F0000}"/>
    <cellStyle name="Normal 2 4 2 5 2 7 2" xfId="13137" xr:uid="{EAC58707-9A65-4179-BDB2-894F0B20A5DF}"/>
    <cellStyle name="Normal 2 4 2 5 2 7 3" xfId="21584" xr:uid="{245DA696-91E5-4DC9-B58D-DBC80785A893}"/>
    <cellStyle name="Normal 2 4 2 5 2 8" xfId="8919" xr:uid="{EDB5D20D-C7B1-4099-9156-6BE02DA10AB0}"/>
    <cellStyle name="Normal 2 4 2 5 2 9" xfId="17367" xr:uid="{EF0D57C1-89A6-44A4-B42D-6D1E8106B97E}"/>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179F93AF-BF52-442E-A2E8-B387FCE605D0}"/>
    <cellStyle name="Normal 2 4 2 5 3 2 2 3" xfId="24142" xr:uid="{3130FCB8-7F74-42DF-876C-78E404E160DB}"/>
    <cellStyle name="Normal 2 4 2 5 3 2 3" xfId="11477" xr:uid="{90089A3C-6F73-45AA-BFAF-21E8B75D537A}"/>
    <cellStyle name="Normal 2 4 2 5 3 2 4" xfId="19925" xr:uid="{0DE0E6CB-79E5-423F-B4B8-878238D8DD90}"/>
    <cellStyle name="Normal 2 4 2 5 3 3" xfId="5100" xr:uid="{00000000-0005-0000-0000-00009E0F0000}"/>
    <cellStyle name="Normal 2 4 2 5 3 3 2" xfId="13550" xr:uid="{8802F97D-6ED8-497B-9554-815E7BA9EEB4}"/>
    <cellStyle name="Normal 2 4 2 5 3 3 3" xfId="21997" xr:uid="{7193D5F0-0F53-417B-B5B7-F532BA3793E6}"/>
    <cellStyle name="Normal 2 4 2 5 3 4" xfId="9332" xr:uid="{BFDCFBFD-1B51-41FB-BC97-5C3E1DCC805A}"/>
    <cellStyle name="Normal 2 4 2 5 3 5" xfId="17780" xr:uid="{E232CBA8-DEE3-478C-B153-5A778BA0D53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37FD614B-428B-4F7D-A55E-EFFE8ED0B8E5}"/>
    <cellStyle name="Normal 2 4 2 5 4 2 2 3" xfId="24555" xr:uid="{55CDBC4E-6451-45F3-88B9-5CAD9C54DC65}"/>
    <cellStyle name="Normal 2 4 2 5 4 2 3" xfId="11890" xr:uid="{32F0AF86-DB6E-4C77-B14C-43F22C6143C0}"/>
    <cellStyle name="Normal 2 4 2 5 4 2 4" xfId="20338" xr:uid="{3BD7FBB1-DB55-49C7-B7AE-61E794F64536}"/>
    <cellStyle name="Normal 2 4 2 5 4 3" xfId="5513" xr:uid="{00000000-0005-0000-0000-0000A20F0000}"/>
    <cellStyle name="Normal 2 4 2 5 4 3 2" xfId="13963" xr:uid="{09F8BFCE-8264-4470-9390-F4D75F8671AD}"/>
    <cellStyle name="Normal 2 4 2 5 4 3 3" xfId="22410" xr:uid="{F4EFAD10-2D4B-4E76-AA20-1A4689DB59C5}"/>
    <cellStyle name="Normal 2 4 2 5 4 4" xfId="9745" xr:uid="{C063284E-D80E-4274-A0DA-72FE7AEE3EFB}"/>
    <cellStyle name="Normal 2 4 2 5 4 5" xfId="18193" xr:uid="{05E2D90C-F8A2-4787-A897-6673BBDF9B1A}"/>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F7D86E07-6A37-4AC7-9DCD-0703AA9D24C2}"/>
    <cellStyle name="Normal 2 4 2 5 5 2 2 3" xfId="24968" xr:uid="{CC1823C6-5925-4661-A6B1-A24EA0ED464A}"/>
    <cellStyle name="Normal 2 4 2 5 5 2 3" xfId="12303" xr:uid="{260DA6CD-960E-44D9-996E-28071D233FE8}"/>
    <cellStyle name="Normal 2 4 2 5 5 2 4" xfId="20751" xr:uid="{0084756A-DA43-4BDB-8DA2-2239558635C4}"/>
    <cellStyle name="Normal 2 4 2 5 5 3" xfId="5926" xr:uid="{00000000-0005-0000-0000-0000A60F0000}"/>
    <cellStyle name="Normal 2 4 2 5 5 3 2" xfId="14376" xr:uid="{6F2757F9-7407-4710-A718-3E385F3802BB}"/>
    <cellStyle name="Normal 2 4 2 5 5 3 3" xfId="22823" xr:uid="{C7BB9672-D6ED-43F1-B3AC-E6ADC66DB6FF}"/>
    <cellStyle name="Normal 2 4 2 5 5 4" xfId="10158" xr:uid="{2B402194-5321-406C-A7C7-BAE4A3AE3E80}"/>
    <cellStyle name="Normal 2 4 2 5 5 5" xfId="18606" xr:uid="{8F1CE91C-F5B9-4787-AC11-FA1532E73F1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4F86666E-61E7-4CD4-9391-D5834C824C7C}"/>
    <cellStyle name="Normal 2 4 2 5 6 2 2 3" xfId="25381" xr:uid="{0822FA43-6027-4CAC-99A8-EC9E9A56DE1C}"/>
    <cellStyle name="Normal 2 4 2 5 6 2 3" xfId="12716" xr:uid="{7B9188CE-574C-4AAA-B3CB-305FF933856B}"/>
    <cellStyle name="Normal 2 4 2 5 6 2 4" xfId="21164" xr:uid="{478E1E43-AB90-44A9-8C3A-560D258088AA}"/>
    <cellStyle name="Normal 2 4 2 5 6 3" xfId="6339" xr:uid="{00000000-0005-0000-0000-0000AA0F0000}"/>
    <cellStyle name="Normal 2 4 2 5 6 3 2" xfId="14789" xr:uid="{9448454D-22D5-4440-AB5C-BB960264673C}"/>
    <cellStyle name="Normal 2 4 2 5 6 3 3" xfId="23236" xr:uid="{8A8A05FF-F3B3-403E-A768-2BBF7F395E5F}"/>
    <cellStyle name="Normal 2 4 2 5 6 4" xfId="10571" xr:uid="{E6D54812-3BCA-4EA7-A405-63BEE0416DA1}"/>
    <cellStyle name="Normal 2 4 2 5 6 5" xfId="19019" xr:uid="{84F2834C-40FC-4015-BF79-DF109F5DD5AC}"/>
    <cellStyle name="Normal 2 4 2 5 7" xfId="2469" xr:uid="{00000000-0005-0000-0000-0000AB0F0000}"/>
    <cellStyle name="Normal 2 4 2 5 7 2" xfId="6752" xr:uid="{00000000-0005-0000-0000-0000AC0F0000}"/>
    <cellStyle name="Normal 2 4 2 5 7 2 2" xfId="15202" xr:uid="{7B527D99-374A-41E7-A949-C23BCD4C29A2}"/>
    <cellStyle name="Normal 2 4 2 5 7 2 3" xfId="23649" xr:uid="{719FF9B1-DF66-472C-88D7-1429C1A2AC23}"/>
    <cellStyle name="Normal 2 4 2 5 7 3" xfId="10984" xr:uid="{EE52D42C-6BF8-4200-BC7A-D0C6BCAAA09B}"/>
    <cellStyle name="Normal 2 4 2 5 7 4" xfId="19432" xr:uid="{A30D0B2C-8EC0-416B-9D4E-740BB7C0A8A8}"/>
    <cellStyle name="Normal 2 4 2 5 8" xfId="4686" xr:uid="{00000000-0005-0000-0000-0000AD0F0000}"/>
    <cellStyle name="Normal 2 4 2 5 8 2" xfId="13136" xr:uid="{55E0C8B8-9BB4-4DFC-8942-AD3B2AF44D2E}"/>
    <cellStyle name="Normal 2 4 2 5 8 3" xfId="21583" xr:uid="{0F1EE792-6831-43D6-802D-A2E0CE8D8D77}"/>
    <cellStyle name="Normal 2 4 2 5 9" xfId="8918" xr:uid="{D030A561-28E3-456F-80A3-6AE2F117D3BB}"/>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FE0E0B32-294C-4B44-942A-CCBFC357F73C}"/>
    <cellStyle name="Normal 2 4 2 6 2 2 2 3" xfId="24144" xr:uid="{D69F542C-7684-4261-843E-0FBF6E59D72A}"/>
    <cellStyle name="Normal 2 4 2 6 2 2 3" xfId="11479" xr:uid="{D2DD64EE-8114-499B-A798-BC9ED57ABADC}"/>
    <cellStyle name="Normal 2 4 2 6 2 2 4" xfId="19927" xr:uid="{D4845B29-06A7-4616-A573-201D95CC33DC}"/>
    <cellStyle name="Normal 2 4 2 6 2 3" xfId="5102" xr:uid="{00000000-0005-0000-0000-0000B20F0000}"/>
    <cellStyle name="Normal 2 4 2 6 2 3 2" xfId="13552" xr:uid="{366CDE57-74D3-4C24-B809-BE02DC46A4C5}"/>
    <cellStyle name="Normal 2 4 2 6 2 3 3" xfId="21999" xr:uid="{3819459A-FE25-41D3-9216-018EDB70A73F}"/>
    <cellStyle name="Normal 2 4 2 6 2 4" xfId="9334" xr:uid="{7456199E-12B9-47DA-9138-E4F2050D4B7A}"/>
    <cellStyle name="Normal 2 4 2 6 2 5" xfId="17782" xr:uid="{3292E89A-B79F-460C-83E6-0789E60C7AF5}"/>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76464447-7038-4B4D-9A56-7DF39C977245}"/>
    <cellStyle name="Normal 2 4 2 6 3 2 2 3" xfId="24557" xr:uid="{FBFEDF31-44EF-4D5E-85D8-35D52AF53B1F}"/>
    <cellStyle name="Normal 2 4 2 6 3 2 3" xfId="11892" xr:uid="{8708050F-3290-4A70-B800-B251389737BA}"/>
    <cellStyle name="Normal 2 4 2 6 3 2 4" xfId="20340" xr:uid="{3A24126C-9648-4194-B89E-610D622CFCFB}"/>
    <cellStyle name="Normal 2 4 2 6 3 3" xfId="5515" xr:uid="{00000000-0005-0000-0000-0000B60F0000}"/>
    <cellStyle name="Normal 2 4 2 6 3 3 2" xfId="13965" xr:uid="{A3917FF9-CE46-428D-BC9C-1960F486F92F}"/>
    <cellStyle name="Normal 2 4 2 6 3 3 3" xfId="22412" xr:uid="{31147CA5-9996-439C-99AF-EDA3831F9E90}"/>
    <cellStyle name="Normal 2 4 2 6 3 4" xfId="9747" xr:uid="{A2061E3B-E5E1-4B74-AC67-D73E40F12822}"/>
    <cellStyle name="Normal 2 4 2 6 3 5" xfId="18195" xr:uid="{28E13C83-C00D-4BCB-B3B9-C9FC43994D9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CF4C7AAB-1C49-4BC6-85B6-44DC26CDE9C3}"/>
    <cellStyle name="Normal 2 4 2 6 4 2 2 3" xfId="24970" xr:uid="{FFA11521-39A3-4DA2-AB09-2132BEF5A33A}"/>
    <cellStyle name="Normal 2 4 2 6 4 2 3" xfId="12305" xr:uid="{44AEB6E0-6A58-49F3-9DB4-E1A2866C116A}"/>
    <cellStyle name="Normal 2 4 2 6 4 2 4" xfId="20753" xr:uid="{C05EAA1A-4419-48B9-BC8F-B7F9AC4820E8}"/>
    <cellStyle name="Normal 2 4 2 6 4 3" xfId="5928" xr:uid="{00000000-0005-0000-0000-0000BA0F0000}"/>
    <cellStyle name="Normal 2 4 2 6 4 3 2" xfId="14378" xr:uid="{E810655A-36ED-4F6B-9D85-0FB5EE2F4508}"/>
    <cellStyle name="Normal 2 4 2 6 4 3 3" xfId="22825" xr:uid="{78FC676E-102B-44AC-923E-6B717F2F7529}"/>
    <cellStyle name="Normal 2 4 2 6 4 4" xfId="10160" xr:uid="{0C6B0CC9-33C0-40DD-86AC-7677AF3AA37D}"/>
    <cellStyle name="Normal 2 4 2 6 4 5" xfId="18608" xr:uid="{3A5C41CE-A26D-4354-A41E-102E94EE65F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B82E0B56-B887-445B-8E95-3EDDAC0981DD}"/>
    <cellStyle name="Normal 2 4 2 6 5 2 2 3" xfId="25383" xr:uid="{B7DA0859-F7F3-40FA-B868-E6D782231F69}"/>
    <cellStyle name="Normal 2 4 2 6 5 2 3" xfId="12718" xr:uid="{CD67BFB1-026D-4457-816A-85E5394FF40A}"/>
    <cellStyle name="Normal 2 4 2 6 5 2 4" xfId="21166" xr:uid="{524C4F8C-7910-43B1-B581-75A56EC70172}"/>
    <cellStyle name="Normal 2 4 2 6 5 3" xfId="6341" xr:uid="{00000000-0005-0000-0000-0000BE0F0000}"/>
    <cellStyle name="Normal 2 4 2 6 5 3 2" xfId="14791" xr:uid="{D5558FF9-7A45-4E32-AFAF-A61DAD05A9E0}"/>
    <cellStyle name="Normal 2 4 2 6 5 3 3" xfId="23238" xr:uid="{E2782533-0C9C-49B4-8DFD-81E93A8CD543}"/>
    <cellStyle name="Normal 2 4 2 6 5 4" xfId="10573" xr:uid="{62F0FCCE-323D-4C9E-AE23-B6B75FA76B9A}"/>
    <cellStyle name="Normal 2 4 2 6 5 5" xfId="19021" xr:uid="{068A6F23-A5D2-4320-A165-749899A15F34}"/>
    <cellStyle name="Normal 2 4 2 6 6" xfId="2471" xr:uid="{00000000-0005-0000-0000-0000BF0F0000}"/>
    <cellStyle name="Normal 2 4 2 6 6 2" xfId="6754" xr:uid="{00000000-0005-0000-0000-0000C00F0000}"/>
    <cellStyle name="Normal 2 4 2 6 6 2 2" xfId="15204" xr:uid="{F96DD1CB-3551-496F-98E3-C6C99B5F1481}"/>
    <cellStyle name="Normal 2 4 2 6 6 2 3" xfId="23651" xr:uid="{34C31212-08DE-43A7-B9EC-DC3751D2BD03}"/>
    <cellStyle name="Normal 2 4 2 6 6 3" xfId="10986" xr:uid="{D3516AC6-3594-4D4A-B0CB-B68F5964F195}"/>
    <cellStyle name="Normal 2 4 2 6 6 4" xfId="19434" xr:uid="{743950E3-46D3-47AD-BA2F-5D3B1C7F8D91}"/>
    <cellStyle name="Normal 2 4 2 6 7" xfId="4688" xr:uid="{00000000-0005-0000-0000-0000C10F0000}"/>
    <cellStyle name="Normal 2 4 2 6 7 2" xfId="13138" xr:uid="{F12FCFCC-949A-4F85-A6EF-0776370E8251}"/>
    <cellStyle name="Normal 2 4 2 6 7 3" xfId="21585" xr:uid="{4BF97F3D-1259-4A6E-8DB0-58C32B56B079}"/>
    <cellStyle name="Normal 2 4 2 6 8" xfId="8920" xr:uid="{9A91B606-AF04-4B2F-9972-E0AF346E9BCE}"/>
    <cellStyle name="Normal 2 4 2 6 9" xfId="17368" xr:uid="{13B0B577-53AA-4BE0-9120-F814738B1FA1}"/>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12098C86-E76B-433C-8016-387D9959DB37}"/>
    <cellStyle name="Normal 2 4 2 7 2 2 3" xfId="24129" xr:uid="{5931D4FC-2E1A-4BB1-9EA5-DAC52931BAE6}"/>
    <cellStyle name="Normal 2 4 2 7 2 3" xfId="11464" xr:uid="{D8C4CCA7-1397-47A1-B30C-5EB8247E38C9}"/>
    <cellStyle name="Normal 2 4 2 7 2 4" xfId="19912" xr:uid="{0A45D533-1D4D-494B-90C2-5372CF06AB27}"/>
    <cellStyle name="Normal 2 4 2 7 3" xfId="5087" xr:uid="{00000000-0005-0000-0000-0000C50F0000}"/>
    <cellStyle name="Normal 2 4 2 7 3 2" xfId="13537" xr:uid="{C8DB3C38-FECC-4E45-BAFB-3B1063DBC3C7}"/>
    <cellStyle name="Normal 2 4 2 7 3 3" xfId="21984" xr:uid="{8A1001A7-7191-4C09-BFDB-D318238F842B}"/>
    <cellStyle name="Normal 2 4 2 7 4" xfId="9319" xr:uid="{FB8D94C6-0D6A-4648-B6A9-DFF7255D5811}"/>
    <cellStyle name="Normal 2 4 2 7 5" xfId="17767" xr:uid="{0B30DCAD-C8B0-4F57-963D-23A9CF31B023}"/>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57BD4CF7-74F5-49FB-8DDA-A750406165F0}"/>
    <cellStyle name="Normal 2 4 2 8 2 2 3" xfId="24542" xr:uid="{6DD053F4-C2E5-436E-A1AE-AF1CC5004A92}"/>
    <cellStyle name="Normal 2 4 2 8 2 3" xfId="11877" xr:uid="{ADF72773-1F0A-4CD7-A88E-B3580481AA23}"/>
    <cellStyle name="Normal 2 4 2 8 2 4" xfId="20325" xr:uid="{A6548AA6-05DB-42A5-A15D-EF6A5205D91C}"/>
    <cellStyle name="Normal 2 4 2 8 3" xfId="5500" xr:uid="{00000000-0005-0000-0000-0000C90F0000}"/>
    <cellStyle name="Normal 2 4 2 8 3 2" xfId="13950" xr:uid="{65741C81-6C38-4304-A374-61FE379DE29B}"/>
    <cellStyle name="Normal 2 4 2 8 3 3" xfId="22397" xr:uid="{57233132-52F4-433C-8471-8D66D7DD23AA}"/>
    <cellStyle name="Normal 2 4 2 8 4" xfId="9732" xr:uid="{5F27C70E-0208-4EEB-84DB-A285C023CFDD}"/>
    <cellStyle name="Normal 2 4 2 8 5" xfId="18180" xr:uid="{61F60D06-81FF-467E-9652-EC3BB764EAFE}"/>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64007FCD-526D-4ECF-8BB2-5C0AD7C10800}"/>
    <cellStyle name="Normal 2 4 2 9 2 2 3" xfId="24955" xr:uid="{72866DD8-9A46-4EB4-8F7A-55C9918483C6}"/>
    <cellStyle name="Normal 2 4 2 9 2 3" xfId="12290" xr:uid="{949E1F9C-7196-489F-A17A-CF93C0927B08}"/>
    <cellStyle name="Normal 2 4 2 9 2 4" xfId="20738" xr:uid="{A9244B7E-54FC-41DF-BC5C-881E5D7F5911}"/>
    <cellStyle name="Normal 2 4 2 9 3" xfId="5913" xr:uid="{00000000-0005-0000-0000-0000CD0F0000}"/>
    <cellStyle name="Normal 2 4 2 9 3 2" xfId="14363" xr:uid="{3507163E-3C0A-4631-B396-9225A9162199}"/>
    <cellStyle name="Normal 2 4 2 9 3 3" xfId="22810" xr:uid="{B0D52985-60E3-425C-8B1C-567A0F511E68}"/>
    <cellStyle name="Normal 2 4 2 9 4" xfId="10145" xr:uid="{152D1B98-0240-482B-B826-9B34CC6C1871}"/>
    <cellStyle name="Normal 2 4 2 9 5" xfId="18593" xr:uid="{A7B80820-684A-4928-BD77-1AA37E6FD3B9}"/>
    <cellStyle name="Normal 2 4 3" xfId="296" xr:uid="{00000000-0005-0000-0000-0000CE0F0000}"/>
    <cellStyle name="Normal 2 4 3 10" xfId="8921" xr:uid="{94BCC2B2-C708-474F-A3D3-939A1BD1F554}"/>
    <cellStyle name="Normal 2 4 3 11" xfId="17369" xr:uid="{01B5DC83-ECBF-4105-B793-586335591802}"/>
    <cellStyle name="Normal 2 4 3 2" xfId="297" xr:uid="{00000000-0005-0000-0000-0000CF0F0000}"/>
    <cellStyle name="Normal 2 4 3 3" xfId="298" xr:uid="{00000000-0005-0000-0000-0000D00F0000}"/>
    <cellStyle name="Normal 2 4 3 3 10" xfId="8922" xr:uid="{0142B6C7-2E52-4E99-9343-4CCBD50F5145}"/>
    <cellStyle name="Normal 2 4 3 3 11" xfId="17370" xr:uid="{DB68D8EB-A38F-4FCB-A3AB-B714616349AE}"/>
    <cellStyle name="Normal 2 4 3 3 2" xfId="299" xr:uid="{00000000-0005-0000-0000-0000D10F0000}"/>
    <cellStyle name="Normal 2 4 3 3 2 10" xfId="17371" xr:uid="{ADDD219E-B86C-4A36-9302-2C3FE00D54EB}"/>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75170546-44FE-49E4-AEF6-B4267F55BF97}"/>
    <cellStyle name="Normal 2 4 3 3 2 2 2 2 2 3" xfId="24148" xr:uid="{55F07151-73AB-4251-B28E-50CD3E8960B9}"/>
    <cellStyle name="Normal 2 4 3 3 2 2 2 2 3" xfId="11483" xr:uid="{FAA7D0CF-3201-4F16-A997-7633DD31BB29}"/>
    <cellStyle name="Normal 2 4 3 3 2 2 2 2 4" xfId="19931" xr:uid="{15404B89-0E8D-4EA6-8998-E992531F6DD5}"/>
    <cellStyle name="Normal 2 4 3 3 2 2 2 3" xfId="5106" xr:uid="{00000000-0005-0000-0000-0000D60F0000}"/>
    <cellStyle name="Normal 2 4 3 3 2 2 2 3 2" xfId="13556" xr:uid="{E6C9C7F2-498E-4622-9730-333ABE3EA925}"/>
    <cellStyle name="Normal 2 4 3 3 2 2 2 3 3" xfId="22003" xr:uid="{C5858260-AEC3-405C-884E-82147240EC89}"/>
    <cellStyle name="Normal 2 4 3 3 2 2 2 4" xfId="9338" xr:uid="{5D57D3C8-BB68-4D75-8ACC-633ADDDDFC56}"/>
    <cellStyle name="Normal 2 4 3 3 2 2 2 5" xfId="17786" xr:uid="{5C44E3C7-38D7-4159-ADAF-EA2078E62851}"/>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F45CBA65-E72A-49D3-9504-0A0D702FAD66}"/>
    <cellStyle name="Normal 2 4 3 3 2 2 3 2 2 3" xfId="24561" xr:uid="{34CC578B-EA70-4ABB-9627-70AE9592C49A}"/>
    <cellStyle name="Normal 2 4 3 3 2 2 3 2 3" xfId="11896" xr:uid="{78806E9B-1AC0-4E97-806B-36074CA15798}"/>
    <cellStyle name="Normal 2 4 3 3 2 2 3 2 4" xfId="20344" xr:uid="{80F0DEF6-4C58-42B3-ABA2-BF0050E60867}"/>
    <cellStyle name="Normal 2 4 3 3 2 2 3 3" xfId="5519" xr:uid="{00000000-0005-0000-0000-0000DA0F0000}"/>
    <cellStyle name="Normal 2 4 3 3 2 2 3 3 2" xfId="13969" xr:uid="{ACE6C5B9-5E0B-4F40-8B43-15B0B678A0C1}"/>
    <cellStyle name="Normal 2 4 3 3 2 2 3 3 3" xfId="22416" xr:uid="{C3BE085A-1D3C-469F-96A5-79A6902A0074}"/>
    <cellStyle name="Normal 2 4 3 3 2 2 3 4" xfId="9751" xr:uid="{589BD8A7-C9DC-467A-BFFE-4AB19D511E92}"/>
    <cellStyle name="Normal 2 4 3 3 2 2 3 5" xfId="18199" xr:uid="{B3E534B9-86E2-4E73-86C3-F87296081659}"/>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1E8635B3-318F-4018-86F8-68B28B9F211B}"/>
    <cellStyle name="Normal 2 4 3 3 2 2 4 2 2 3" xfId="24974" xr:uid="{6849BBF1-EDBD-4B8A-B49A-647CE03B0384}"/>
    <cellStyle name="Normal 2 4 3 3 2 2 4 2 3" xfId="12309" xr:uid="{49B3AF36-CD3F-4DCB-AA94-7DB12183A4C7}"/>
    <cellStyle name="Normal 2 4 3 3 2 2 4 2 4" xfId="20757" xr:uid="{6E7BDD9F-BB2F-40F0-9ACD-87B644D26523}"/>
    <cellStyle name="Normal 2 4 3 3 2 2 4 3" xfId="5932" xr:uid="{00000000-0005-0000-0000-0000DE0F0000}"/>
    <cellStyle name="Normal 2 4 3 3 2 2 4 3 2" xfId="14382" xr:uid="{9E69DA80-7341-420A-9431-D2AA4D4A2487}"/>
    <cellStyle name="Normal 2 4 3 3 2 2 4 3 3" xfId="22829" xr:uid="{6DC0FF7E-8A6D-4A24-8A7B-6C6222629273}"/>
    <cellStyle name="Normal 2 4 3 3 2 2 4 4" xfId="10164" xr:uid="{05310791-C25A-4D92-AFFE-277A973792D2}"/>
    <cellStyle name="Normal 2 4 3 3 2 2 4 5" xfId="18612" xr:uid="{36F7D3C2-8E13-49B0-A7DA-DD4B0D756859}"/>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6791F8A8-53DF-4193-A372-1F2865AAB21C}"/>
    <cellStyle name="Normal 2 4 3 3 2 2 5 2 2 3" xfId="25387" xr:uid="{2DEC207E-0516-4575-857F-6C3B12500090}"/>
    <cellStyle name="Normal 2 4 3 3 2 2 5 2 3" xfId="12722" xr:uid="{F7837773-9A06-4DAE-A63A-A4A34607BE65}"/>
    <cellStyle name="Normal 2 4 3 3 2 2 5 2 4" xfId="21170" xr:uid="{B580D829-3FE3-40BA-815F-697CB6C975DE}"/>
    <cellStyle name="Normal 2 4 3 3 2 2 5 3" xfId="6345" xr:uid="{00000000-0005-0000-0000-0000E20F0000}"/>
    <cellStyle name="Normal 2 4 3 3 2 2 5 3 2" xfId="14795" xr:uid="{B6DA35D4-BFB4-46D4-8E0B-AC69B355DB3F}"/>
    <cellStyle name="Normal 2 4 3 3 2 2 5 3 3" xfId="23242" xr:uid="{E51171FB-B090-451B-9D20-5C04FCD146E7}"/>
    <cellStyle name="Normal 2 4 3 3 2 2 5 4" xfId="10577" xr:uid="{E2B304C5-4D4C-446C-B3C0-27753C716C64}"/>
    <cellStyle name="Normal 2 4 3 3 2 2 5 5" xfId="19025" xr:uid="{B4E2CEE5-8A37-48B2-A227-39BBEA1856EA}"/>
    <cellStyle name="Normal 2 4 3 3 2 2 6" xfId="2475" xr:uid="{00000000-0005-0000-0000-0000E30F0000}"/>
    <cellStyle name="Normal 2 4 3 3 2 2 6 2" xfId="6758" xr:uid="{00000000-0005-0000-0000-0000E40F0000}"/>
    <cellStyle name="Normal 2 4 3 3 2 2 6 2 2" xfId="15208" xr:uid="{0C48A84D-4E2C-4D1D-A619-23FDF0F56F58}"/>
    <cellStyle name="Normal 2 4 3 3 2 2 6 2 3" xfId="23655" xr:uid="{981FFF0B-9530-4C5B-89B6-71C41C4725B2}"/>
    <cellStyle name="Normal 2 4 3 3 2 2 6 3" xfId="10990" xr:uid="{939022F6-A723-4062-B5AE-AF9A7D1C83D7}"/>
    <cellStyle name="Normal 2 4 3 3 2 2 6 4" xfId="19438" xr:uid="{B8592EE6-D7FE-436E-AA3B-CA282BE59F91}"/>
    <cellStyle name="Normal 2 4 3 3 2 2 7" xfId="4692" xr:uid="{00000000-0005-0000-0000-0000E50F0000}"/>
    <cellStyle name="Normal 2 4 3 3 2 2 7 2" xfId="13142" xr:uid="{3E2C8085-21FA-4D3A-A862-EDC993A497C5}"/>
    <cellStyle name="Normal 2 4 3 3 2 2 7 3" xfId="21589" xr:uid="{3915F709-F3A0-4AE5-B5F9-CC19B41C137A}"/>
    <cellStyle name="Normal 2 4 3 3 2 2 8" xfId="8924" xr:uid="{C91E9523-F410-4FD9-B3A4-007B3E305316}"/>
    <cellStyle name="Normal 2 4 3 3 2 2 9" xfId="17372" xr:uid="{0B1EC5DB-AEE8-485A-9797-A5378C8BF612}"/>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27F6C31D-22FE-4D3F-A7A7-4BC17CAA70C3}"/>
    <cellStyle name="Normal 2 4 3 3 2 3 2 2 3" xfId="24147" xr:uid="{F453F2E5-C40B-40B1-BB05-137F78B30AFB}"/>
    <cellStyle name="Normal 2 4 3 3 2 3 2 3" xfId="11482" xr:uid="{3A4599B3-38A5-4135-B68C-6B3D0B654AA4}"/>
    <cellStyle name="Normal 2 4 3 3 2 3 2 4" xfId="19930" xr:uid="{B7B0E34E-80A0-4477-B390-A13F6F4D1E0F}"/>
    <cellStyle name="Normal 2 4 3 3 2 3 3" xfId="5105" xr:uid="{00000000-0005-0000-0000-0000E90F0000}"/>
    <cellStyle name="Normal 2 4 3 3 2 3 3 2" xfId="13555" xr:uid="{D5F08590-C4CE-4048-8490-2815F53D4470}"/>
    <cellStyle name="Normal 2 4 3 3 2 3 3 3" xfId="22002" xr:uid="{EE9DC127-C5C6-4695-AB9F-74D7FA2168A8}"/>
    <cellStyle name="Normal 2 4 3 3 2 3 4" xfId="9337" xr:uid="{E015553C-3C29-4807-81B5-7C133910182E}"/>
    <cellStyle name="Normal 2 4 3 3 2 3 5" xfId="17785" xr:uid="{FD04E8DC-22AA-4E88-84E6-BA3C565C3BB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1536CCD0-A379-49E3-95FF-7B1B3A359DE2}"/>
    <cellStyle name="Normal 2 4 3 3 2 4 2 2 3" xfId="24560" xr:uid="{5871796A-0B0C-409B-8254-671E23A6D1E8}"/>
    <cellStyle name="Normal 2 4 3 3 2 4 2 3" xfId="11895" xr:uid="{A56FE6DF-0B95-404E-850D-AF2C3B808195}"/>
    <cellStyle name="Normal 2 4 3 3 2 4 2 4" xfId="20343" xr:uid="{8927575F-535C-49FD-ACEB-9F983AA07D72}"/>
    <cellStyle name="Normal 2 4 3 3 2 4 3" xfId="5518" xr:uid="{00000000-0005-0000-0000-0000ED0F0000}"/>
    <cellStyle name="Normal 2 4 3 3 2 4 3 2" xfId="13968" xr:uid="{4E20B7E6-AEBE-46B7-8ED7-2230BC7B2FB1}"/>
    <cellStyle name="Normal 2 4 3 3 2 4 3 3" xfId="22415" xr:uid="{749377C6-FDB7-43A3-AC8A-1D902028F8AF}"/>
    <cellStyle name="Normal 2 4 3 3 2 4 4" xfId="9750" xr:uid="{81C8F552-CE64-41DA-8065-FF19F61DD4C0}"/>
    <cellStyle name="Normal 2 4 3 3 2 4 5" xfId="18198" xr:uid="{C8B497AE-40DE-4D27-8AB1-971C6F8D25B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D72D9971-2A5C-495B-9C4E-5626B0321639}"/>
    <cellStyle name="Normal 2 4 3 3 2 5 2 2 3" xfId="24973" xr:uid="{35711C9F-B811-493F-8FAE-9FCB4D18EAFB}"/>
    <cellStyle name="Normal 2 4 3 3 2 5 2 3" xfId="12308" xr:uid="{61B824E5-A115-4365-BFA9-F27A43BAD440}"/>
    <cellStyle name="Normal 2 4 3 3 2 5 2 4" xfId="20756" xr:uid="{759DC564-563C-4695-A1F1-28C247A9F21C}"/>
    <cellStyle name="Normal 2 4 3 3 2 5 3" xfId="5931" xr:uid="{00000000-0005-0000-0000-0000F10F0000}"/>
    <cellStyle name="Normal 2 4 3 3 2 5 3 2" xfId="14381" xr:uid="{116EDCA1-1B53-43A4-84DE-254053688B6F}"/>
    <cellStyle name="Normal 2 4 3 3 2 5 3 3" xfId="22828" xr:uid="{DB8C3A8D-C655-4A50-B9A3-F91FBABC6AFC}"/>
    <cellStyle name="Normal 2 4 3 3 2 5 4" xfId="10163" xr:uid="{DBD331E9-E5EB-4CEB-BE53-B186D0A46636}"/>
    <cellStyle name="Normal 2 4 3 3 2 5 5" xfId="18611" xr:uid="{BAD6A824-7295-477A-A166-012EACB761A2}"/>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372CC92D-1CB3-4026-8A1F-1973E864506C}"/>
    <cellStyle name="Normal 2 4 3 3 2 6 2 2 3" xfId="25386" xr:uid="{BAFE5EAD-E339-4931-8EDD-CDCDE4AEF651}"/>
    <cellStyle name="Normal 2 4 3 3 2 6 2 3" xfId="12721" xr:uid="{FA9B214C-6BA4-4BB8-B861-648739E1FC85}"/>
    <cellStyle name="Normal 2 4 3 3 2 6 2 4" xfId="21169" xr:uid="{954F3DCD-2633-4041-9B8A-57D1A8ADFFE2}"/>
    <cellStyle name="Normal 2 4 3 3 2 6 3" xfId="6344" xr:uid="{00000000-0005-0000-0000-0000F50F0000}"/>
    <cellStyle name="Normal 2 4 3 3 2 6 3 2" xfId="14794" xr:uid="{C070897D-A42A-408F-A11B-498BAE713508}"/>
    <cellStyle name="Normal 2 4 3 3 2 6 3 3" xfId="23241" xr:uid="{5949891E-5EA4-44AE-A49A-8CE959754AD5}"/>
    <cellStyle name="Normal 2 4 3 3 2 6 4" xfId="10576" xr:uid="{378038EE-28BA-406D-A113-6FCAD6D5DEC2}"/>
    <cellStyle name="Normal 2 4 3 3 2 6 5" xfId="19024" xr:uid="{BE88F1A2-5B95-437A-992F-39421DABBE37}"/>
    <cellStyle name="Normal 2 4 3 3 2 7" xfId="2474" xr:uid="{00000000-0005-0000-0000-0000F60F0000}"/>
    <cellStyle name="Normal 2 4 3 3 2 7 2" xfId="6757" xr:uid="{00000000-0005-0000-0000-0000F70F0000}"/>
    <cellStyle name="Normal 2 4 3 3 2 7 2 2" xfId="15207" xr:uid="{4B1197C1-CC62-4479-937A-A519C480556D}"/>
    <cellStyle name="Normal 2 4 3 3 2 7 2 3" xfId="23654" xr:uid="{DD1DA331-31DD-458C-84C6-E7D8D1BD087B}"/>
    <cellStyle name="Normal 2 4 3 3 2 7 3" xfId="10989" xr:uid="{D4415B8C-7FC2-4C87-ABC3-4B541AB0888B}"/>
    <cellStyle name="Normal 2 4 3 3 2 7 4" xfId="19437" xr:uid="{32A62D8D-5922-4264-91FF-B4A0A0885D76}"/>
    <cellStyle name="Normal 2 4 3 3 2 8" xfId="4691" xr:uid="{00000000-0005-0000-0000-0000F80F0000}"/>
    <cellStyle name="Normal 2 4 3 3 2 8 2" xfId="13141" xr:uid="{A8D8AB40-FB73-4186-A231-B3D2BD052522}"/>
    <cellStyle name="Normal 2 4 3 3 2 8 3" xfId="21588" xr:uid="{0B1C67BF-9847-4A23-92BD-BDECAA85163F}"/>
    <cellStyle name="Normal 2 4 3 3 2 9" xfId="8923" xr:uid="{C5AF8B4B-B2D4-4645-A9FE-AA65C9A611A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E3075A47-C1A4-4B20-A4E7-7A3A9B830CEA}"/>
    <cellStyle name="Normal 2 4 3 3 3 2 2 2 3" xfId="24149" xr:uid="{55A20C1F-6004-43A3-BAA3-5379CF4FB42F}"/>
    <cellStyle name="Normal 2 4 3 3 3 2 2 3" xfId="11484" xr:uid="{9817A5F8-609B-4B6F-8A32-216D4B48744E}"/>
    <cellStyle name="Normal 2 4 3 3 3 2 2 4" xfId="19932" xr:uid="{89472845-FA53-40F2-A15A-D4BEFF6FBE68}"/>
    <cellStyle name="Normal 2 4 3 3 3 2 3" xfId="5107" xr:uid="{00000000-0005-0000-0000-0000FD0F0000}"/>
    <cellStyle name="Normal 2 4 3 3 3 2 3 2" xfId="13557" xr:uid="{BFE5A934-9EEE-4AAC-9C89-442722310152}"/>
    <cellStyle name="Normal 2 4 3 3 3 2 3 3" xfId="22004" xr:uid="{0603C517-3A29-4E24-A981-454F271503B8}"/>
    <cellStyle name="Normal 2 4 3 3 3 2 4" xfId="9339" xr:uid="{95E1AFBB-21E3-4603-B505-1C59D039F5C1}"/>
    <cellStyle name="Normal 2 4 3 3 3 2 5" xfId="17787" xr:uid="{8C0D9E9E-8A78-4929-AC71-4B765DB5CFEE}"/>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A5CA1496-5A69-470B-8DB8-4C4F8AB8BA6F}"/>
    <cellStyle name="Normal 2 4 3 3 3 3 2 2 3" xfId="24562" xr:uid="{66C7384E-E44F-4CAC-B976-76A0045EE46A}"/>
    <cellStyle name="Normal 2 4 3 3 3 3 2 3" xfId="11897" xr:uid="{5CDD41A6-4BF9-4260-8109-6E912CBBFE77}"/>
    <cellStyle name="Normal 2 4 3 3 3 3 2 4" xfId="20345" xr:uid="{05C026AB-17E0-4F43-8B73-A3F531C6BC72}"/>
    <cellStyle name="Normal 2 4 3 3 3 3 3" xfId="5520" xr:uid="{00000000-0005-0000-0000-000001100000}"/>
    <cellStyle name="Normal 2 4 3 3 3 3 3 2" xfId="13970" xr:uid="{6DC8D4C4-3BF9-4436-B198-39F6A97CA345}"/>
    <cellStyle name="Normal 2 4 3 3 3 3 3 3" xfId="22417" xr:uid="{0C975376-284E-46AC-8CCE-AAB4BB04B95A}"/>
    <cellStyle name="Normal 2 4 3 3 3 3 4" xfId="9752" xr:uid="{DEC87C7B-E373-41B3-890B-EF9E489443A1}"/>
    <cellStyle name="Normal 2 4 3 3 3 3 5" xfId="18200" xr:uid="{6908B40E-83FB-4CE2-8B5C-84EC5C626A19}"/>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12761CFE-3DBC-45C3-889C-D8B34B91D35F}"/>
    <cellStyle name="Normal 2 4 3 3 3 4 2 2 3" xfId="24975" xr:uid="{4C653900-8AC8-4DE0-84E1-CFB6F33E27F2}"/>
    <cellStyle name="Normal 2 4 3 3 3 4 2 3" xfId="12310" xr:uid="{59B1AAD2-9983-4C02-A185-8EE2784A78C2}"/>
    <cellStyle name="Normal 2 4 3 3 3 4 2 4" xfId="20758" xr:uid="{AD3A5CA2-DCB5-4525-9348-0F1E696B013F}"/>
    <cellStyle name="Normal 2 4 3 3 3 4 3" xfId="5933" xr:uid="{00000000-0005-0000-0000-000005100000}"/>
    <cellStyle name="Normal 2 4 3 3 3 4 3 2" xfId="14383" xr:uid="{AF845CCF-21D1-4867-ADEC-19AF25E7B992}"/>
    <cellStyle name="Normal 2 4 3 3 3 4 3 3" xfId="22830" xr:uid="{793FD2FE-CC57-4002-AE2D-3486B8DA86C1}"/>
    <cellStyle name="Normal 2 4 3 3 3 4 4" xfId="10165" xr:uid="{CCC51219-CC81-4736-88D4-2873273CAFE1}"/>
    <cellStyle name="Normal 2 4 3 3 3 4 5" xfId="18613" xr:uid="{F2A2BB6F-96A6-4899-8C0A-3CE8C0D58CC4}"/>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DDA5EE8A-6CEC-436E-B50B-BA3D23EBF94A}"/>
    <cellStyle name="Normal 2 4 3 3 3 5 2 2 3" xfId="25388" xr:uid="{24E198C5-4DB4-4B67-A005-FFABBC321D78}"/>
    <cellStyle name="Normal 2 4 3 3 3 5 2 3" xfId="12723" xr:uid="{75B0F46E-E3DF-4F98-8ED0-8062126EDA19}"/>
    <cellStyle name="Normal 2 4 3 3 3 5 2 4" xfId="21171" xr:uid="{61A190DA-4CBB-4D47-ACE7-EE85F6FE29EF}"/>
    <cellStyle name="Normal 2 4 3 3 3 5 3" xfId="6346" xr:uid="{00000000-0005-0000-0000-000009100000}"/>
    <cellStyle name="Normal 2 4 3 3 3 5 3 2" xfId="14796" xr:uid="{2765BCC9-CD15-41DD-A348-A696BD1ABC4E}"/>
    <cellStyle name="Normal 2 4 3 3 3 5 3 3" xfId="23243" xr:uid="{262DB6D6-7E2E-43CF-A98D-A989D62CA0BC}"/>
    <cellStyle name="Normal 2 4 3 3 3 5 4" xfId="10578" xr:uid="{8B86130A-D4BB-40C2-A8C4-55FCD37A90DC}"/>
    <cellStyle name="Normal 2 4 3 3 3 5 5" xfId="19026" xr:uid="{DA10D4F2-C4F5-415D-8504-CC2B97D3CC74}"/>
    <cellStyle name="Normal 2 4 3 3 3 6" xfId="2476" xr:uid="{00000000-0005-0000-0000-00000A100000}"/>
    <cellStyle name="Normal 2 4 3 3 3 6 2" xfId="6759" xr:uid="{00000000-0005-0000-0000-00000B100000}"/>
    <cellStyle name="Normal 2 4 3 3 3 6 2 2" xfId="15209" xr:uid="{66810E34-CD0D-40F6-82D5-12C37BDC3831}"/>
    <cellStyle name="Normal 2 4 3 3 3 6 2 3" xfId="23656" xr:uid="{EAD1F1E1-74AD-4C70-91BC-E547ECA00B5F}"/>
    <cellStyle name="Normal 2 4 3 3 3 6 3" xfId="10991" xr:uid="{48DD2E2B-B6DF-43E4-9999-0E79A79CD843}"/>
    <cellStyle name="Normal 2 4 3 3 3 6 4" xfId="19439" xr:uid="{66790956-6966-49DC-BEC7-D7B952AF542D}"/>
    <cellStyle name="Normal 2 4 3 3 3 7" xfId="4693" xr:uid="{00000000-0005-0000-0000-00000C100000}"/>
    <cellStyle name="Normal 2 4 3 3 3 7 2" xfId="13143" xr:uid="{3D9C8FF8-50DA-4998-9877-54A40D5EEBDA}"/>
    <cellStyle name="Normal 2 4 3 3 3 7 3" xfId="21590" xr:uid="{3EEAEAA7-C904-4CF9-A3DA-341728AB6339}"/>
    <cellStyle name="Normal 2 4 3 3 3 8" xfId="8925" xr:uid="{2DEF2192-CB0F-4421-868C-77CB759F198E}"/>
    <cellStyle name="Normal 2 4 3 3 3 9" xfId="17373" xr:uid="{BEC772BA-4A27-4599-9DB7-6EA2FE5A600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3D88FEA1-EFE2-4B7D-A87F-28A6D60FCA43}"/>
    <cellStyle name="Normal 2 4 3 3 4 2 2 3" xfId="24146" xr:uid="{FC14D737-EF57-45B4-B11E-6483DC24E1C6}"/>
    <cellStyle name="Normal 2 4 3 3 4 2 3" xfId="11481" xr:uid="{1E44F2C5-E167-421E-A7F2-96D6AE24E9B5}"/>
    <cellStyle name="Normal 2 4 3 3 4 2 4" xfId="19929" xr:uid="{CCDA37D1-CF30-4040-B6D5-474C6364DB24}"/>
    <cellStyle name="Normal 2 4 3 3 4 3" xfId="5104" xr:uid="{00000000-0005-0000-0000-000010100000}"/>
    <cellStyle name="Normal 2 4 3 3 4 3 2" xfId="13554" xr:uid="{8EF869CD-F8DD-4DB5-9C53-07A4F802BD00}"/>
    <cellStyle name="Normal 2 4 3 3 4 3 3" xfId="22001" xr:uid="{51617401-543E-4BE4-956B-E3BDBE5E0903}"/>
    <cellStyle name="Normal 2 4 3 3 4 4" xfId="9336" xr:uid="{591BB065-F65C-4343-9A2B-483674B441B2}"/>
    <cellStyle name="Normal 2 4 3 3 4 5" xfId="17784" xr:uid="{0ECED664-684B-4C1B-A9D9-41B369ADACA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6F03DA9D-01DF-4DB7-AFAA-A2F294B0C944}"/>
    <cellStyle name="Normal 2 4 3 3 5 2 2 3" xfId="24559" xr:uid="{B37F93FE-34C5-4A62-B233-891A3CD93DA9}"/>
    <cellStyle name="Normal 2 4 3 3 5 2 3" xfId="11894" xr:uid="{D5470B8C-1B4F-469C-8015-8AA1955B7673}"/>
    <cellStyle name="Normal 2 4 3 3 5 2 4" xfId="20342" xr:uid="{317F7FA6-8EFB-4C16-AA04-943B6D2D2D84}"/>
    <cellStyle name="Normal 2 4 3 3 5 3" xfId="5517" xr:uid="{00000000-0005-0000-0000-000014100000}"/>
    <cellStyle name="Normal 2 4 3 3 5 3 2" xfId="13967" xr:uid="{8B0A09C3-0954-44B2-86DA-EE56EAD99614}"/>
    <cellStyle name="Normal 2 4 3 3 5 3 3" xfId="22414" xr:uid="{ACDB75E8-727A-4079-A0B8-6240ABDCCA47}"/>
    <cellStyle name="Normal 2 4 3 3 5 4" xfId="9749" xr:uid="{62D6401D-6CAA-4B97-92F9-E27070FC847D}"/>
    <cellStyle name="Normal 2 4 3 3 5 5" xfId="18197" xr:uid="{2FEB5C5F-4B04-498E-B185-BCA25B6B149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CF9F928D-7395-4D73-BBD5-02429EAA72CC}"/>
    <cellStyle name="Normal 2 4 3 3 6 2 2 3" xfId="24972" xr:uid="{D77044CB-8BDA-42A4-9FAE-ACD92EC504B9}"/>
    <cellStyle name="Normal 2 4 3 3 6 2 3" xfId="12307" xr:uid="{B999AB77-D10B-4133-92BB-AC3F9E809176}"/>
    <cellStyle name="Normal 2 4 3 3 6 2 4" xfId="20755" xr:uid="{B2511D12-C5A5-4FF8-94E5-03BE4DD3553C}"/>
    <cellStyle name="Normal 2 4 3 3 6 3" xfId="5930" xr:uid="{00000000-0005-0000-0000-000018100000}"/>
    <cellStyle name="Normal 2 4 3 3 6 3 2" xfId="14380" xr:uid="{86AC4986-AB52-4AE4-B280-F20B513AA152}"/>
    <cellStyle name="Normal 2 4 3 3 6 3 3" xfId="22827" xr:uid="{E05E1B52-A31B-4929-A1A2-1135C84407EE}"/>
    <cellStyle name="Normal 2 4 3 3 6 4" xfId="10162" xr:uid="{1979325D-6FB5-4243-A0C7-52669FDEA4EA}"/>
    <cellStyle name="Normal 2 4 3 3 6 5" xfId="18610" xr:uid="{D9526AAB-D697-41C9-ABE6-33FD49B64A1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ECAA187C-8428-4B11-9474-F1E87E3BC065}"/>
    <cellStyle name="Normal 2 4 3 3 7 2 2 3" xfId="25385" xr:uid="{D3DB8036-0B2D-4CDA-BB92-0F179CA0D191}"/>
    <cellStyle name="Normal 2 4 3 3 7 2 3" xfId="12720" xr:uid="{018490D1-1B70-4A2A-96EF-7BCAC320C1CF}"/>
    <cellStyle name="Normal 2 4 3 3 7 2 4" xfId="21168" xr:uid="{352166D2-178E-403C-B2B4-F6EC364364F7}"/>
    <cellStyle name="Normal 2 4 3 3 7 3" xfId="6343" xr:uid="{00000000-0005-0000-0000-00001C100000}"/>
    <cellStyle name="Normal 2 4 3 3 7 3 2" xfId="14793" xr:uid="{01312027-9F0B-44C5-BFF4-4943F3D60EC3}"/>
    <cellStyle name="Normal 2 4 3 3 7 3 3" xfId="23240" xr:uid="{6C5D0E7B-7CCA-40DA-B313-76F321AB0D40}"/>
    <cellStyle name="Normal 2 4 3 3 7 4" xfId="10575" xr:uid="{DAE9E864-A76F-477C-A597-32BABADBF055}"/>
    <cellStyle name="Normal 2 4 3 3 7 5" xfId="19023" xr:uid="{63EA8DBF-209D-44FD-ACB8-D5B3EB9AD997}"/>
    <cellStyle name="Normal 2 4 3 3 8" xfId="2473" xr:uid="{00000000-0005-0000-0000-00001D100000}"/>
    <cellStyle name="Normal 2 4 3 3 8 2" xfId="6756" xr:uid="{00000000-0005-0000-0000-00001E100000}"/>
    <cellStyle name="Normal 2 4 3 3 8 2 2" xfId="15206" xr:uid="{22E06ED7-275D-4353-AC96-9ACF14D31681}"/>
    <cellStyle name="Normal 2 4 3 3 8 2 3" xfId="23653" xr:uid="{7A99727D-7656-4335-BECD-98663F7353C5}"/>
    <cellStyle name="Normal 2 4 3 3 8 3" xfId="10988" xr:uid="{3667B28E-5838-41AC-BBD9-D9ED55D3835F}"/>
    <cellStyle name="Normal 2 4 3 3 8 4" xfId="19436" xr:uid="{844E490F-BDE5-40CD-A458-A10EEA84283D}"/>
    <cellStyle name="Normal 2 4 3 3 9" xfId="4690" xr:uid="{00000000-0005-0000-0000-00001F100000}"/>
    <cellStyle name="Normal 2 4 3 3 9 2" xfId="13140" xr:uid="{BC9961E8-8B62-4956-8CC6-6B23F987F58D}"/>
    <cellStyle name="Normal 2 4 3 3 9 3" xfId="21587" xr:uid="{BA186DF6-8DE7-4D5C-9948-C4EC69181B97}"/>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63A972E7-39F0-4808-997A-48974D1C52E9}"/>
    <cellStyle name="Normal 2 4 3 4 2 2 3" xfId="24145" xr:uid="{826C961A-E532-42C3-8768-F1DEF0E1ED53}"/>
    <cellStyle name="Normal 2 4 3 4 2 3" xfId="11480" xr:uid="{3FE04FD8-7E46-420E-AF55-73A64BE9AC34}"/>
    <cellStyle name="Normal 2 4 3 4 2 4" xfId="19928" xr:uid="{3BE7806B-B007-4108-8D18-C6CEC0CD3A7F}"/>
    <cellStyle name="Normal 2 4 3 4 3" xfId="5103" xr:uid="{00000000-0005-0000-0000-000023100000}"/>
    <cellStyle name="Normal 2 4 3 4 3 2" xfId="13553" xr:uid="{EF1063A5-69BE-48CD-9FD6-34CA6F50BF0A}"/>
    <cellStyle name="Normal 2 4 3 4 3 3" xfId="22000" xr:uid="{C665CC95-ECC0-483B-A273-51427AEE8D49}"/>
    <cellStyle name="Normal 2 4 3 4 4" xfId="9335" xr:uid="{94FD7D8F-F34C-4987-90DF-74525759C3C1}"/>
    <cellStyle name="Normal 2 4 3 4 5" xfId="17783" xr:uid="{F3755C20-8144-42A8-B30E-EE5FAB3DE425}"/>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20CA22E2-D0E1-4D31-9558-AB7617233565}"/>
    <cellStyle name="Normal 2 4 3 5 2 2 3" xfId="24558" xr:uid="{14EF4937-DBF5-4A7A-B8AD-118D3C314495}"/>
    <cellStyle name="Normal 2 4 3 5 2 3" xfId="11893" xr:uid="{4BBE7A81-80F9-4ECA-B406-A510680EA379}"/>
    <cellStyle name="Normal 2 4 3 5 2 4" xfId="20341" xr:uid="{9AB46C99-4A09-418A-B147-F29E4358BD8F}"/>
    <cellStyle name="Normal 2 4 3 5 3" xfId="5516" xr:uid="{00000000-0005-0000-0000-000027100000}"/>
    <cellStyle name="Normal 2 4 3 5 3 2" xfId="13966" xr:uid="{DE0B3851-00A7-4C28-BAEB-D9AA6822FBA5}"/>
    <cellStyle name="Normal 2 4 3 5 3 3" xfId="22413" xr:uid="{888ECD5D-DF72-4A73-B417-5945080DC72B}"/>
    <cellStyle name="Normal 2 4 3 5 4" xfId="9748" xr:uid="{85F26E10-E932-4FCB-96D0-BF317A328D4A}"/>
    <cellStyle name="Normal 2 4 3 5 5" xfId="18196" xr:uid="{E6290B8E-0D06-4E1D-8FC0-73B1F00766B1}"/>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0164F06D-99F8-449A-BAF4-246DBCEF8696}"/>
    <cellStyle name="Normal 2 4 3 6 2 2 3" xfId="24971" xr:uid="{1D080CFD-8B50-4E12-8524-686526A26AB3}"/>
    <cellStyle name="Normal 2 4 3 6 2 3" xfId="12306" xr:uid="{4B8564E0-ED3D-4B85-B8F8-942665C23C51}"/>
    <cellStyle name="Normal 2 4 3 6 2 4" xfId="20754" xr:uid="{3F74BD59-5E73-4440-8A0E-A197FFEA6403}"/>
    <cellStyle name="Normal 2 4 3 6 3" xfId="5929" xr:uid="{00000000-0005-0000-0000-00002B100000}"/>
    <cellStyle name="Normal 2 4 3 6 3 2" xfId="14379" xr:uid="{92918EED-5BB0-43AA-8674-B9C71E876A4C}"/>
    <cellStyle name="Normal 2 4 3 6 3 3" xfId="22826" xr:uid="{0A703BF1-EFB9-4F98-A65B-1D89CCADB435}"/>
    <cellStyle name="Normal 2 4 3 6 4" xfId="10161" xr:uid="{E6E5A08F-84CC-4BE5-BA61-BFB7762D6E69}"/>
    <cellStyle name="Normal 2 4 3 6 5" xfId="18609" xr:uid="{8531F49F-A5DE-4E11-83ED-CF499F71015E}"/>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00074D8F-CF80-4731-9CAD-BCC807B1E037}"/>
    <cellStyle name="Normal 2 4 3 7 2 2 3" xfId="25384" xr:uid="{C54F7897-5DD3-4249-9050-B5DC97415DD9}"/>
    <cellStyle name="Normal 2 4 3 7 2 3" xfId="12719" xr:uid="{640F8B18-695A-4230-891D-F6CF611045F8}"/>
    <cellStyle name="Normal 2 4 3 7 2 4" xfId="21167" xr:uid="{3351E077-3695-4FA6-9378-277B002BCC38}"/>
    <cellStyle name="Normal 2 4 3 7 3" xfId="6342" xr:uid="{00000000-0005-0000-0000-00002F100000}"/>
    <cellStyle name="Normal 2 4 3 7 3 2" xfId="14792" xr:uid="{0EDFB35A-67F1-4204-B48B-628DEE1B376F}"/>
    <cellStyle name="Normal 2 4 3 7 3 3" xfId="23239" xr:uid="{BA4FCD50-1F19-4BE8-8E32-3D42653A2562}"/>
    <cellStyle name="Normal 2 4 3 7 4" xfId="10574" xr:uid="{142CEC68-B118-445F-A65D-D299CBD771AE}"/>
    <cellStyle name="Normal 2 4 3 7 5" xfId="19022" xr:uid="{15D9C688-BDB3-4009-B2D0-3E2D1A9AF4EF}"/>
    <cellStyle name="Normal 2 4 3 8" xfId="2472" xr:uid="{00000000-0005-0000-0000-000030100000}"/>
    <cellStyle name="Normal 2 4 3 8 2" xfId="6755" xr:uid="{00000000-0005-0000-0000-000031100000}"/>
    <cellStyle name="Normal 2 4 3 8 2 2" xfId="15205" xr:uid="{FB60EB75-3361-4528-B35E-84288C91DC41}"/>
    <cellStyle name="Normal 2 4 3 8 2 3" xfId="23652" xr:uid="{38D1CC7F-D6C0-4907-9DB6-BA9514684994}"/>
    <cellStyle name="Normal 2 4 3 8 3" xfId="10987" xr:uid="{3A3A993C-A859-4E53-8C1F-88C453A8925D}"/>
    <cellStyle name="Normal 2 4 3 8 4" xfId="19435" xr:uid="{F4B1B9BC-DC1A-4EE2-B24B-D66F3E4C76DD}"/>
    <cellStyle name="Normal 2 4 3 9" xfId="4689" xr:uid="{00000000-0005-0000-0000-000032100000}"/>
    <cellStyle name="Normal 2 4 3 9 2" xfId="13139" xr:uid="{33E86085-55A7-4F6C-9CE8-D3B57BEE22F3}"/>
    <cellStyle name="Normal 2 4 3 9 3" xfId="21586" xr:uid="{38E46E8C-F33F-4607-BC51-668C6AFD07E7}"/>
    <cellStyle name="Normal 2 4 4" xfId="302" xr:uid="{00000000-0005-0000-0000-000033100000}"/>
    <cellStyle name="Normal 2 4 5" xfId="303" xr:uid="{00000000-0005-0000-0000-000034100000}"/>
    <cellStyle name="Normal 2 4 5 10" xfId="4694" xr:uid="{00000000-0005-0000-0000-000035100000}"/>
    <cellStyle name="Normal 2 4 5 10 2" xfId="13144" xr:uid="{4EE45AE7-1267-454C-8191-6A0E41709C51}"/>
    <cellStyle name="Normal 2 4 5 10 3" xfId="21591" xr:uid="{F7893993-7D93-4370-BB67-343D77FD70F1}"/>
    <cellStyle name="Normal 2 4 5 11" xfId="8926" xr:uid="{2EE93863-1ECF-4F91-96CE-1731C8476A50}"/>
    <cellStyle name="Normal 2 4 5 12" xfId="17374" xr:uid="{F710201F-2118-47F3-96A1-93AD0649248D}"/>
    <cellStyle name="Normal 2 4 5 2" xfId="304" xr:uid="{00000000-0005-0000-0000-000036100000}"/>
    <cellStyle name="Normal 2 4 5 2 10" xfId="8927" xr:uid="{D02D17B7-1621-4931-A2B4-D798CF705BA0}"/>
    <cellStyle name="Normal 2 4 5 2 11" xfId="17375" xr:uid="{D025D4EA-990A-45F6-ACE8-F6CE3D0A6DCC}"/>
    <cellStyle name="Normal 2 4 5 2 2" xfId="305" xr:uid="{00000000-0005-0000-0000-000037100000}"/>
    <cellStyle name="Normal 2 4 5 2 2 10" xfId="17376" xr:uid="{865245C2-BF1B-4137-8180-8F43E1D8CB94}"/>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649A2817-EA03-459C-A4E8-2EB66B263834}"/>
    <cellStyle name="Normal 2 4 5 2 2 2 2 2 2 3" xfId="24153" xr:uid="{05088EA7-63B7-46AF-804E-88C316856DC5}"/>
    <cellStyle name="Normal 2 4 5 2 2 2 2 2 3" xfId="11488" xr:uid="{DC8C33EB-5ABE-416A-A8EB-985CC10DBE73}"/>
    <cellStyle name="Normal 2 4 5 2 2 2 2 2 4" xfId="19936" xr:uid="{ABDB01E2-63DC-48EC-A485-56BA7E4713AC}"/>
    <cellStyle name="Normal 2 4 5 2 2 2 2 3" xfId="5111" xr:uid="{00000000-0005-0000-0000-00003C100000}"/>
    <cellStyle name="Normal 2 4 5 2 2 2 2 3 2" xfId="13561" xr:uid="{EA347B3C-4549-4DDF-B7DB-C29E865D85D8}"/>
    <cellStyle name="Normal 2 4 5 2 2 2 2 3 3" xfId="22008" xr:uid="{A82217CB-A38C-4287-BCB4-B9BAC0D84160}"/>
    <cellStyle name="Normal 2 4 5 2 2 2 2 4" xfId="9343" xr:uid="{1DC0BA05-96D1-45E4-A70B-084C0FCE15B4}"/>
    <cellStyle name="Normal 2 4 5 2 2 2 2 5" xfId="17791" xr:uid="{C0083C5D-30B7-4F9F-8565-5320DC71EE71}"/>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E4FC38FD-1195-411A-9D22-605316840414}"/>
    <cellStyle name="Normal 2 4 5 2 2 2 3 2 2 3" xfId="24566" xr:uid="{3F9DC70E-C814-4D7F-B6BC-01048C3A3BA3}"/>
    <cellStyle name="Normal 2 4 5 2 2 2 3 2 3" xfId="11901" xr:uid="{AF6D3624-D03D-4AEF-9F97-5AF4B7DBECBD}"/>
    <cellStyle name="Normal 2 4 5 2 2 2 3 2 4" xfId="20349" xr:uid="{D988509E-C11E-4238-9AD3-BF5F86128B00}"/>
    <cellStyle name="Normal 2 4 5 2 2 2 3 3" xfId="5524" xr:uid="{00000000-0005-0000-0000-000040100000}"/>
    <cellStyle name="Normal 2 4 5 2 2 2 3 3 2" xfId="13974" xr:uid="{40394FDA-BD98-44C7-BE82-99CE0EDCABC2}"/>
    <cellStyle name="Normal 2 4 5 2 2 2 3 3 3" xfId="22421" xr:uid="{FFF28DDB-8C12-4342-87FB-C78315E5E95B}"/>
    <cellStyle name="Normal 2 4 5 2 2 2 3 4" xfId="9756" xr:uid="{BD2C5E93-B7B1-4B87-9401-63816BC98FB2}"/>
    <cellStyle name="Normal 2 4 5 2 2 2 3 5" xfId="18204" xr:uid="{D663F720-D7F2-4B10-B4F6-40BE1A08FA0C}"/>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531FEFE1-0E0E-4B79-B85F-CA5F313E0971}"/>
    <cellStyle name="Normal 2 4 5 2 2 2 4 2 2 3" xfId="24979" xr:uid="{05B836C6-53A6-4FA5-BCBA-BAB42A9AA4F4}"/>
    <cellStyle name="Normal 2 4 5 2 2 2 4 2 3" xfId="12314" xr:uid="{7DA08201-A5A6-40CC-BBBF-8627BA5EAE48}"/>
    <cellStyle name="Normal 2 4 5 2 2 2 4 2 4" xfId="20762" xr:uid="{E69C7C0F-B27A-4F64-B007-D268D8E77C79}"/>
    <cellStyle name="Normal 2 4 5 2 2 2 4 3" xfId="5937" xr:uid="{00000000-0005-0000-0000-000044100000}"/>
    <cellStyle name="Normal 2 4 5 2 2 2 4 3 2" xfId="14387" xr:uid="{EC3E5F90-916B-46B8-8A0D-998DDD36E299}"/>
    <cellStyle name="Normal 2 4 5 2 2 2 4 3 3" xfId="22834" xr:uid="{0F2EC610-1917-42AF-863E-7E01DBC59176}"/>
    <cellStyle name="Normal 2 4 5 2 2 2 4 4" xfId="10169" xr:uid="{87E9849A-618C-4FFE-AE42-E77C445C335D}"/>
    <cellStyle name="Normal 2 4 5 2 2 2 4 5" xfId="18617" xr:uid="{FC1F5FCF-071D-40E7-8894-45A3199B4EE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8E500BF4-18AF-4947-89F2-6453FB41CD6C}"/>
    <cellStyle name="Normal 2 4 5 2 2 2 5 2 2 3" xfId="25392" xr:uid="{86667B84-A695-4BCE-B21C-537FA7865257}"/>
    <cellStyle name="Normal 2 4 5 2 2 2 5 2 3" xfId="12727" xr:uid="{AD7C66E3-AA0F-4E77-9080-BE6E8107DCE6}"/>
    <cellStyle name="Normal 2 4 5 2 2 2 5 2 4" xfId="21175" xr:uid="{D285AE67-50F4-4C57-9F4A-966538BD3D9C}"/>
    <cellStyle name="Normal 2 4 5 2 2 2 5 3" xfId="6350" xr:uid="{00000000-0005-0000-0000-000048100000}"/>
    <cellStyle name="Normal 2 4 5 2 2 2 5 3 2" xfId="14800" xr:uid="{FAF60E94-88DC-4975-AE43-65363BB53716}"/>
    <cellStyle name="Normal 2 4 5 2 2 2 5 3 3" xfId="23247" xr:uid="{AD01F867-DCE2-457A-93EC-12E94539EC53}"/>
    <cellStyle name="Normal 2 4 5 2 2 2 5 4" xfId="10582" xr:uid="{991AC319-98C3-4440-BF78-87447933D703}"/>
    <cellStyle name="Normal 2 4 5 2 2 2 5 5" xfId="19030" xr:uid="{8D60FD2E-2A22-408A-829B-E1A55E973020}"/>
    <cellStyle name="Normal 2 4 5 2 2 2 6" xfId="2480" xr:uid="{00000000-0005-0000-0000-000049100000}"/>
    <cellStyle name="Normal 2 4 5 2 2 2 6 2" xfId="6763" xr:uid="{00000000-0005-0000-0000-00004A100000}"/>
    <cellStyle name="Normal 2 4 5 2 2 2 6 2 2" xfId="15213" xr:uid="{0434A83A-8AA9-4220-BAD9-D238D191D007}"/>
    <cellStyle name="Normal 2 4 5 2 2 2 6 2 3" xfId="23660" xr:uid="{5E33A49F-7445-4850-AF80-30658D4D2C27}"/>
    <cellStyle name="Normal 2 4 5 2 2 2 6 3" xfId="10995" xr:uid="{104BEFEC-B233-43C8-96DE-F2E96C205D2E}"/>
    <cellStyle name="Normal 2 4 5 2 2 2 6 4" xfId="19443" xr:uid="{0D4214ED-B45B-4D1E-B02B-839A3E5E89C1}"/>
    <cellStyle name="Normal 2 4 5 2 2 2 7" xfId="4697" xr:uid="{00000000-0005-0000-0000-00004B100000}"/>
    <cellStyle name="Normal 2 4 5 2 2 2 7 2" xfId="13147" xr:uid="{72AEA96F-429A-4228-8997-A3CD97F725F4}"/>
    <cellStyle name="Normal 2 4 5 2 2 2 7 3" xfId="21594" xr:uid="{3E1AD1D9-593D-4D49-955F-6E65E1024C89}"/>
    <cellStyle name="Normal 2 4 5 2 2 2 8" xfId="8929" xr:uid="{A5B50C20-3C2B-4100-A854-ED76A1AE2218}"/>
    <cellStyle name="Normal 2 4 5 2 2 2 9" xfId="17377" xr:uid="{72E0A5A9-03F6-4C08-B7FE-FABB570AE6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74D6CE46-3BCD-4E16-B62B-165DDB669747}"/>
    <cellStyle name="Normal 2 4 5 2 2 3 2 2 3" xfId="24152" xr:uid="{001A55DB-16C8-44AD-B651-FB38874C7460}"/>
    <cellStyle name="Normal 2 4 5 2 2 3 2 3" xfId="11487" xr:uid="{7C4BF3D7-34F6-4DB4-9CDF-DD90E5A65CAA}"/>
    <cellStyle name="Normal 2 4 5 2 2 3 2 4" xfId="19935" xr:uid="{D2D353B4-E020-4B77-A5CE-249CE1204319}"/>
    <cellStyle name="Normal 2 4 5 2 2 3 3" xfId="5110" xr:uid="{00000000-0005-0000-0000-00004F100000}"/>
    <cellStyle name="Normal 2 4 5 2 2 3 3 2" xfId="13560" xr:uid="{00B92DC3-E7A7-455F-91DD-7A796BAA3A42}"/>
    <cellStyle name="Normal 2 4 5 2 2 3 3 3" xfId="22007" xr:uid="{74A8606F-15DB-41E5-887F-58DD68D526FF}"/>
    <cellStyle name="Normal 2 4 5 2 2 3 4" xfId="9342" xr:uid="{EA320320-B14F-434F-804F-A38A482C9FAC}"/>
    <cellStyle name="Normal 2 4 5 2 2 3 5" xfId="17790" xr:uid="{DC54D527-364E-44EF-BD5B-7FE1836BDC2E}"/>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4EACF111-BC37-4BC2-BB74-12283EC92B2D}"/>
    <cellStyle name="Normal 2 4 5 2 2 4 2 2 3" xfId="24565" xr:uid="{6F07077E-6F78-4D89-B1AD-847846616943}"/>
    <cellStyle name="Normal 2 4 5 2 2 4 2 3" xfId="11900" xr:uid="{AC34F435-9C40-41AF-B69B-375B28C674A5}"/>
    <cellStyle name="Normal 2 4 5 2 2 4 2 4" xfId="20348" xr:uid="{04F1B208-0729-437B-A2C9-92D63F6DA017}"/>
    <cellStyle name="Normal 2 4 5 2 2 4 3" xfId="5523" xr:uid="{00000000-0005-0000-0000-000053100000}"/>
    <cellStyle name="Normal 2 4 5 2 2 4 3 2" xfId="13973" xr:uid="{9EE4EB61-F4F4-4947-992E-2C0D2B4BF8CA}"/>
    <cellStyle name="Normal 2 4 5 2 2 4 3 3" xfId="22420" xr:uid="{D8AE4067-4669-443B-8441-5E64439D6CBB}"/>
    <cellStyle name="Normal 2 4 5 2 2 4 4" xfId="9755" xr:uid="{2969B688-868E-407D-82B6-CA45C4EE6DA6}"/>
    <cellStyle name="Normal 2 4 5 2 2 4 5" xfId="18203" xr:uid="{373FC999-D1CA-49C4-8CB3-8F6C8524A21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065171CB-3018-4A56-AC4C-F3D860E0B291}"/>
    <cellStyle name="Normal 2 4 5 2 2 5 2 2 3" xfId="24978" xr:uid="{FC66CBEB-ED2E-4DEA-8DD8-39DDF95C043B}"/>
    <cellStyle name="Normal 2 4 5 2 2 5 2 3" xfId="12313" xr:uid="{F2E662D1-455E-4D32-A88D-83EB1F9D1BD7}"/>
    <cellStyle name="Normal 2 4 5 2 2 5 2 4" xfId="20761" xr:uid="{7A9B568B-9573-408A-8310-1AB04917E82D}"/>
    <cellStyle name="Normal 2 4 5 2 2 5 3" xfId="5936" xr:uid="{00000000-0005-0000-0000-000057100000}"/>
    <cellStyle name="Normal 2 4 5 2 2 5 3 2" xfId="14386" xr:uid="{5758F24D-B5AC-4DAF-A217-ABEAC3E34E67}"/>
    <cellStyle name="Normal 2 4 5 2 2 5 3 3" xfId="22833" xr:uid="{03FE9DAD-D6A0-488F-8BEE-52AC5B080161}"/>
    <cellStyle name="Normal 2 4 5 2 2 5 4" xfId="10168" xr:uid="{297A42DE-AB04-4ECB-BD11-F23C07960B66}"/>
    <cellStyle name="Normal 2 4 5 2 2 5 5" xfId="18616" xr:uid="{0A68B099-9AA0-4446-8A3E-20849D16AF7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D1395244-8459-427B-B3AC-8C0B39696A58}"/>
    <cellStyle name="Normal 2 4 5 2 2 6 2 2 3" xfId="25391" xr:uid="{B9C33ACD-1587-44C2-884F-7ED8176A9620}"/>
    <cellStyle name="Normal 2 4 5 2 2 6 2 3" xfId="12726" xr:uid="{5381AF8A-F469-477B-9900-A20C3AF007C6}"/>
    <cellStyle name="Normal 2 4 5 2 2 6 2 4" xfId="21174" xr:uid="{60F0FA40-86D2-4213-B0F8-E43E8F355698}"/>
    <cellStyle name="Normal 2 4 5 2 2 6 3" xfId="6349" xr:uid="{00000000-0005-0000-0000-00005B100000}"/>
    <cellStyle name="Normal 2 4 5 2 2 6 3 2" xfId="14799" xr:uid="{6B36630B-714A-432E-8079-27D280DA4E93}"/>
    <cellStyle name="Normal 2 4 5 2 2 6 3 3" xfId="23246" xr:uid="{FBAAAA88-11A1-41FD-B0D2-517583A91569}"/>
    <cellStyle name="Normal 2 4 5 2 2 6 4" xfId="10581" xr:uid="{9E2169E3-7E2E-4176-B888-BD285A5A06BE}"/>
    <cellStyle name="Normal 2 4 5 2 2 6 5" xfId="19029" xr:uid="{C89B8ADA-4519-4CB3-8D78-534FB053B084}"/>
    <cellStyle name="Normal 2 4 5 2 2 7" xfId="2479" xr:uid="{00000000-0005-0000-0000-00005C100000}"/>
    <cellStyle name="Normal 2 4 5 2 2 7 2" xfId="6762" xr:uid="{00000000-0005-0000-0000-00005D100000}"/>
    <cellStyle name="Normal 2 4 5 2 2 7 2 2" xfId="15212" xr:uid="{DE3E7D9E-0CFC-4E8C-85AB-BE5C2D1BB044}"/>
    <cellStyle name="Normal 2 4 5 2 2 7 2 3" xfId="23659" xr:uid="{9707EFA1-3525-4B00-BD31-B3575526FA36}"/>
    <cellStyle name="Normal 2 4 5 2 2 7 3" xfId="10994" xr:uid="{AC6B537A-9970-4DC8-BEB3-1EABAC26A2CC}"/>
    <cellStyle name="Normal 2 4 5 2 2 7 4" xfId="19442" xr:uid="{572D1EAB-0E8B-4514-83DA-BDEC26F65EEC}"/>
    <cellStyle name="Normal 2 4 5 2 2 8" xfId="4696" xr:uid="{00000000-0005-0000-0000-00005E100000}"/>
    <cellStyle name="Normal 2 4 5 2 2 8 2" xfId="13146" xr:uid="{41C57653-6673-4EBD-8470-CD77082474F2}"/>
    <cellStyle name="Normal 2 4 5 2 2 8 3" xfId="21593" xr:uid="{01189836-BC0A-4440-8DCA-6FC0F57DDC84}"/>
    <cellStyle name="Normal 2 4 5 2 2 9" xfId="8928" xr:uid="{9EB219D5-F599-435C-A150-0784A9A4E33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C679927D-0534-410F-868F-BBCC90E47950}"/>
    <cellStyle name="Normal 2 4 5 2 3 2 2 2 3" xfId="24154" xr:uid="{9F6B259F-DF3B-4907-BC7C-4A592DCB9B55}"/>
    <cellStyle name="Normal 2 4 5 2 3 2 2 3" xfId="11489" xr:uid="{55BDAC63-D799-445D-AA8F-CBE566E3D5CB}"/>
    <cellStyle name="Normal 2 4 5 2 3 2 2 4" xfId="19937" xr:uid="{B8EE6A7E-687C-4ED9-BDCE-BFFD03A1698E}"/>
    <cellStyle name="Normal 2 4 5 2 3 2 3" xfId="5112" xr:uid="{00000000-0005-0000-0000-000063100000}"/>
    <cellStyle name="Normal 2 4 5 2 3 2 3 2" xfId="13562" xr:uid="{E0A52ECF-4493-4CE7-9F57-088B252A2E24}"/>
    <cellStyle name="Normal 2 4 5 2 3 2 3 3" xfId="22009" xr:uid="{666A3C48-E84B-4116-A0B0-C48E9E4B4B80}"/>
    <cellStyle name="Normal 2 4 5 2 3 2 4" xfId="9344" xr:uid="{D30C1458-656C-477B-A392-EC50C44DFC9F}"/>
    <cellStyle name="Normal 2 4 5 2 3 2 5" xfId="17792" xr:uid="{9802766A-F3A1-4FE9-9501-A3643748106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73EFA863-2C61-47A7-922B-060DDB6D1E1B}"/>
    <cellStyle name="Normal 2 4 5 2 3 3 2 2 3" xfId="24567" xr:uid="{84B55E87-4950-4986-B60E-BBFEB09D758D}"/>
    <cellStyle name="Normal 2 4 5 2 3 3 2 3" xfId="11902" xr:uid="{DA7B1617-D471-4D7A-BD53-DD52304A60FB}"/>
    <cellStyle name="Normal 2 4 5 2 3 3 2 4" xfId="20350" xr:uid="{A14EF2C5-5403-4178-88A3-7F3C075BEBDE}"/>
    <cellStyle name="Normal 2 4 5 2 3 3 3" xfId="5525" xr:uid="{00000000-0005-0000-0000-000067100000}"/>
    <cellStyle name="Normal 2 4 5 2 3 3 3 2" xfId="13975" xr:uid="{C9F84AF3-25BD-41B7-8164-9719D5A7FABB}"/>
    <cellStyle name="Normal 2 4 5 2 3 3 3 3" xfId="22422" xr:uid="{7C799B2F-ADE4-410F-B6A1-2D5CF53A3D4D}"/>
    <cellStyle name="Normal 2 4 5 2 3 3 4" xfId="9757" xr:uid="{D5F4984A-B48D-45F6-8465-DD4C8D199338}"/>
    <cellStyle name="Normal 2 4 5 2 3 3 5" xfId="18205" xr:uid="{89B54708-8CA5-4546-9DB4-5E6342AFDAAB}"/>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8A2B60AB-897F-450A-AD4A-3C7DDEC0BE12}"/>
    <cellStyle name="Normal 2 4 5 2 3 4 2 2 3" xfId="24980" xr:uid="{37D3C805-AD35-466B-8CA1-560D8F7B33A9}"/>
    <cellStyle name="Normal 2 4 5 2 3 4 2 3" xfId="12315" xr:uid="{FEAE4F29-154F-4C4E-97AF-E6637B9D7429}"/>
    <cellStyle name="Normal 2 4 5 2 3 4 2 4" xfId="20763" xr:uid="{54649DB0-2C31-4128-8985-9560AD99C40B}"/>
    <cellStyle name="Normal 2 4 5 2 3 4 3" xfId="5938" xr:uid="{00000000-0005-0000-0000-00006B100000}"/>
    <cellStyle name="Normal 2 4 5 2 3 4 3 2" xfId="14388" xr:uid="{FC762C14-D1F4-4657-8CA8-61C87603B71C}"/>
    <cellStyle name="Normal 2 4 5 2 3 4 3 3" xfId="22835" xr:uid="{5A7C0B37-861D-4CF2-95E0-093A2BEFC1E3}"/>
    <cellStyle name="Normal 2 4 5 2 3 4 4" xfId="10170" xr:uid="{BE33BD2A-B7D7-4CB8-AFD7-22F1F713973F}"/>
    <cellStyle name="Normal 2 4 5 2 3 4 5" xfId="18618" xr:uid="{96055ACD-C29C-4737-AF52-DB25DE5CDE12}"/>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2355AC07-EE0E-4751-B4E9-5638FC846E1D}"/>
    <cellStyle name="Normal 2 4 5 2 3 5 2 2 3" xfId="25393" xr:uid="{F4DF6309-C91D-42E7-AAA4-7D3A160766D1}"/>
    <cellStyle name="Normal 2 4 5 2 3 5 2 3" xfId="12728" xr:uid="{3C54F314-D91F-4D5E-AD44-8DCD13A3BBA1}"/>
    <cellStyle name="Normal 2 4 5 2 3 5 2 4" xfId="21176" xr:uid="{0E390704-9CBD-4D8D-9949-C631EFB759AD}"/>
    <cellStyle name="Normal 2 4 5 2 3 5 3" xfId="6351" xr:uid="{00000000-0005-0000-0000-00006F100000}"/>
    <cellStyle name="Normal 2 4 5 2 3 5 3 2" xfId="14801" xr:uid="{9F548350-641E-4A86-8A99-EDAF3355E161}"/>
    <cellStyle name="Normal 2 4 5 2 3 5 3 3" xfId="23248" xr:uid="{4D2E98BF-B7E7-4766-9668-13DFAA9F4C3F}"/>
    <cellStyle name="Normal 2 4 5 2 3 5 4" xfId="10583" xr:uid="{AA13AF98-8E28-4BE1-A72B-FA094E16295C}"/>
    <cellStyle name="Normal 2 4 5 2 3 5 5" xfId="19031" xr:uid="{C2F52328-3D13-4F44-9615-ABEE5F61A1DE}"/>
    <cellStyle name="Normal 2 4 5 2 3 6" xfId="2481" xr:uid="{00000000-0005-0000-0000-000070100000}"/>
    <cellStyle name="Normal 2 4 5 2 3 6 2" xfId="6764" xr:uid="{00000000-0005-0000-0000-000071100000}"/>
    <cellStyle name="Normal 2 4 5 2 3 6 2 2" xfId="15214" xr:uid="{204649AC-3639-422B-8AFE-C2DED3E4F2A8}"/>
    <cellStyle name="Normal 2 4 5 2 3 6 2 3" xfId="23661" xr:uid="{48247270-DC79-472B-B422-EA87A53236E7}"/>
    <cellStyle name="Normal 2 4 5 2 3 6 3" xfId="10996" xr:uid="{5BAE18EB-623B-4DAB-BE97-95912C546662}"/>
    <cellStyle name="Normal 2 4 5 2 3 6 4" xfId="19444" xr:uid="{6C9D4D68-7B95-4422-8650-FD95AA1F5A36}"/>
    <cellStyle name="Normal 2 4 5 2 3 7" xfId="4698" xr:uid="{00000000-0005-0000-0000-000072100000}"/>
    <cellStyle name="Normal 2 4 5 2 3 7 2" xfId="13148" xr:uid="{7D3EBCAF-3C93-47A0-8BD4-C53003CA194F}"/>
    <cellStyle name="Normal 2 4 5 2 3 7 3" xfId="21595" xr:uid="{5EB7DAB7-8920-46C3-9F33-0B1AF90A1466}"/>
    <cellStyle name="Normal 2 4 5 2 3 8" xfId="8930" xr:uid="{BDA4112C-0803-4696-A66D-2B16CF2B55D2}"/>
    <cellStyle name="Normal 2 4 5 2 3 9" xfId="17378" xr:uid="{B1CBFE83-1E60-4B79-87D4-7C7853025B9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0CA77752-5194-4744-A821-8FBC057B6682}"/>
    <cellStyle name="Normal 2 4 5 2 4 2 2 3" xfId="24151" xr:uid="{5B010B52-B845-4E8B-AA26-E2C7ED9C1120}"/>
    <cellStyle name="Normal 2 4 5 2 4 2 3" xfId="11486" xr:uid="{3CAC1DFA-CBBA-4ECA-BBF1-0A9A8D13A572}"/>
    <cellStyle name="Normal 2 4 5 2 4 2 4" xfId="19934" xr:uid="{EF35E7DB-2C7C-4636-ADCB-5A7638DA5072}"/>
    <cellStyle name="Normal 2 4 5 2 4 3" xfId="5109" xr:uid="{00000000-0005-0000-0000-000076100000}"/>
    <cellStyle name="Normal 2 4 5 2 4 3 2" xfId="13559" xr:uid="{060C9DEA-230C-4DFD-9C8A-BFFDBE979D04}"/>
    <cellStyle name="Normal 2 4 5 2 4 3 3" xfId="22006" xr:uid="{F4CB05D6-93F1-495D-B36A-913B3AC7C693}"/>
    <cellStyle name="Normal 2 4 5 2 4 4" xfId="9341" xr:uid="{7ABBC8B5-13E8-41A7-95D8-398F9D37F3C7}"/>
    <cellStyle name="Normal 2 4 5 2 4 5" xfId="17789" xr:uid="{14EC9EE7-B2A2-4CFB-85C0-16AA0F00A789}"/>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E0E461B0-6244-493E-BFBE-6EEED238A041}"/>
    <cellStyle name="Normal 2 4 5 2 5 2 2 3" xfId="24564" xr:uid="{67D56B55-5A1D-4E23-86AE-AAED1488696C}"/>
    <cellStyle name="Normal 2 4 5 2 5 2 3" xfId="11899" xr:uid="{9AE474C5-92E7-4730-9E71-FB8028C37AC3}"/>
    <cellStyle name="Normal 2 4 5 2 5 2 4" xfId="20347" xr:uid="{73B16162-09E8-462C-88C3-06BA1104F84B}"/>
    <cellStyle name="Normal 2 4 5 2 5 3" xfId="5522" xr:uid="{00000000-0005-0000-0000-00007A100000}"/>
    <cellStyle name="Normal 2 4 5 2 5 3 2" xfId="13972" xr:uid="{B49803AA-EB57-460F-B6FA-831E60117C8E}"/>
    <cellStyle name="Normal 2 4 5 2 5 3 3" xfId="22419" xr:uid="{DE19B792-4FA1-462D-89B9-CAE1C529DE68}"/>
    <cellStyle name="Normal 2 4 5 2 5 4" xfId="9754" xr:uid="{A25B9D85-F2C2-42CD-A425-E2929CA8759A}"/>
    <cellStyle name="Normal 2 4 5 2 5 5" xfId="18202" xr:uid="{87B2B26A-42F4-48E9-BB66-5E5CF8EA3B9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DD16FDA7-1392-4890-888C-4C86C2BD2BA1}"/>
    <cellStyle name="Normal 2 4 5 2 6 2 2 3" xfId="24977" xr:uid="{7BB05B89-BB77-461F-80EB-3DBFCF18B0BE}"/>
    <cellStyle name="Normal 2 4 5 2 6 2 3" xfId="12312" xr:uid="{68DAFBD2-2215-49C4-8F0A-2D80567E4A1D}"/>
    <cellStyle name="Normal 2 4 5 2 6 2 4" xfId="20760" xr:uid="{33B0DE94-EA2B-4109-9482-B8109480CD96}"/>
    <cellStyle name="Normal 2 4 5 2 6 3" xfId="5935" xr:uid="{00000000-0005-0000-0000-00007E100000}"/>
    <cellStyle name="Normal 2 4 5 2 6 3 2" xfId="14385" xr:uid="{6057ADFF-B032-46E7-8374-F76E55E39B92}"/>
    <cellStyle name="Normal 2 4 5 2 6 3 3" xfId="22832" xr:uid="{0980D9F1-B3F6-42A9-AA2E-079904A3FEC9}"/>
    <cellStyle name="Normal 2 4 5 2 6 4" xfId="10167" xr:uid="{18A0379A-46B8-47E3-BDAA-EE0761FB8C65}"/>
    <cellStyle name="Normal 2 4 5 2 6 5" xfId="18615" xr:uid="{066FB0BA-0220-4280-924F-27C6295FF14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F6013064-F172-42AA-8F7A-1C2F5D489164}"/>
    <cellStyle name="Normal 2 4 5 2 7 2 2 3" xfId="25390" xr:uid="{1F67F4D8-DAA1-4A77-9526-93EEB71FF8A2}"/>
    <cellStyle name="Normal 2 4 5 2 7 2 3" xfId="12725" xr:uid="{8A7324A5-0553-4A9F-B0B1-2EC97D8F5A43}"/>
    <cellStyle name="Normal 2 4 5 2 7 2 4" xfId="21173" xr:uid="{2BF13897-9CAD-4C9E-86A5-D0D837FA7A5C}"/>
    <cellStyle name="Normal 2 4 5 2 7 3" xfId="6348" xr:uid="{00000000-0005-0000-0000-000082100000}"/>
    <cellStyle name="Normal 2 4 5 2 7 3 2" xfId="14798" xr:uid="{44BF909D-4065-4141-983A-55444E4BC409}"/>
    <cellStyle name="Normal 2 4 5 2 7 3 3" xfId="23245" xr:uid="{5548543F-A5E1-4DC3-9BFD-3709988F9769}"/>
    <cellStyle name="Normal 2 4 5 2 7 4" xfId="10580" xr:uid="{56FB9182-9EFC-44C9-841B-707F1C0AEE7E}"/>
    <cellStyle name="Normal 2 4 5 2 7 5" xfId="19028" xr:uid="{DF5C5779-74ED-4E7B-8B64-37640E332481}"/>
    <cellStyle name="Normal 2 4 5 2 8" xfId="2478" xr:uid="{00000000-0005-0000-0000-000083100000}"/>
    <cellStyle name="Normal 2 4 5 2 8 2" xfId="6761" xr:uid="{00000000-0005-0000-0000-000084100000}"/>
    <cellStyle name="Normal 2 4 5 2 8 2 2" xfId="15211" xr:uid="{474F62F6-BE81-4274-8555-E360FAA2F7D2}"/>
    <cellStyle name="Normal 2 4 5 2 8 2 3" xfId="23658" xr:uid="{0D9ABBAD-7DC1-4C47-B454-A4F96E536CFD}"/>
    <cellStyle name="Normal 2 4 5 2 8 3" xfId="10993" xr:uid="{3A849E6F-965D-4328-BB1F-20656294FB64}"/>
    <cellStyle name="Normal 2 4 5 2 8 4" xfId="19441" xr:uid="{FDBE63E7-DACE-425E-A42F-A96A6C23CDFB}"/>
    <cellStyle name="Normal 2 4 5 2 9" xfId="4695" xr:uid="{00000000-0005-0000-0000-000085100000}"/>
    <cellStyle name="Normal 2 4 5 2 9 2" xfId="13145" xr:uid="{A27D044C-4EB3-432F-BB45-F22F094C41CE}"/>
    <cellStyle name="Normal 2 4 5 2 9 3" xfId="21592" xr:uid="{EFD66072-EB23-4A8E-A0DE-16EAD61958CE}"/>
    <cellStyle name="Normal 2 4 5 3" xfId="308" xr:uid="{00000000-0005-0000-0000-000086100000}"/>
    <cellStyle name="Normal 2 4 5 3 10" xfId="17379" xr:uid="{23729E82-C0D3-426A-97C2-449FE9D63702}"/>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DBB59736-DF88-40E5-86FE-2BF974A6CF37}"/>
    <cellStyle name="Normal 2 4 5 3 2 2 2 2 3" xfId="24156" xr:uid="{ED494D14-3E72-48E1-BEC7-7746F6F2519F}"/>
    <cellStyle name="Normal 2 4 5 3 2 2 2 3" xfId="11491" xr:uid="{816ECF45-18AD-4E76-B0B9-A71371916658}"/>
    <cellStyle name="Normal 2 4 5 3 2 2 2 4" xfId="19939" xr:uid="{82B63181-C887-4EC7-9717-AEE373837BBB}"/>
    <cellStyle name="Normal 2 4 5 3 2 2 3" xfId="5114" xr:uid="{00000000-0005-0000-0000-00008B100000}"/>
    <cellStyle name="Normal 2 4 5 3 2 2 3 2" xfId="13564" xr:uid="{0773C8E2-0EED-4D72-AD1D-2507E5FAAA6E}"/>
    <cellStyle name="Normal 2 4 5 3 2 2 3 3" xfId="22011" xr:uid="{D15AB585-CEB5-4A4C-841D-F713603A21C8}"/>
    <cellStyle name="Normal 2 4 5 3 2 2 4" xfId="9346" xr:uid="{4B257686-E19B-4CD2-84DA-6DA21588EE1D}"/>
    <cellStyle name="Normal 2 4 5 3 2 2 5" xfId="17794" xr:uid="{7571F23E-A72D-4828-BF10-BAE4E259653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A2546C8E-2790-4E47-9A98-66E859F19E0A}"/>
    <cellStyle name="Normal 2 4 5 3 2 3 2 2 3" xfId="24569" xr:uid="{2D1EF98E-E5B6-4953-8EBA-2E56E67C70E8}"/>
    <cellStyle name="Normal 2 4 5 3 2 3 2 3" xfId="11904" xr:uid="{99CC89B4-73A1-4251-99A8-8B0683313D23}"/>
    <cellStyle name="Normal 2 4 5 3 2 3 2 4" xfId="20352" xr:uid="{F7C45D0B-0A35-4BFB-B4E3-2808E5B8648E}"/>
    <cellStyle name="Normal 2 4 5 3 2 3 3" xfId="5527" xr:uid="{00000000-0005-0000-0000-00008F100000}"/>
    <cellStyle name="Normal 2 4 5 3 2 3 3 2" xfId="13977" xr:uid="{C524797A-2989-42BE-BBEE-B8CA76467C37}"/>
    <cellStyle name="Normal 2 4 5 3 2 3 3 3" xfId="22424" xr:uid="{EF8C40C4-5C0A-45E5-9404-2714CA8E74AF}"/>
    <cellStyle name="Normal 2 4 5 3 2 3 4" xfId="9759" xr:uid="{6845D99F-8C59-4B3D-8119-77F9CD229A1B}"/>
    <cellStyle name="Normal 2 4 5 3 2 3 5" xfId="18207" xr:uid="{31F29770-BD79-4324-9B64-47226941CFAE}"/>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1F9B130A-94DF-40F2-927F-4767EF5D9104}"/>
    <cellStyle name="Normal 2 4 5 3 2 4 2 2 3" xfId="24982" xr:uid="{B94DADA0-7199-40FE-BA8D-5414C602036E}"/>
    <cellStyle name="Normal 2 4 5 3 2 4 2 3" xfId="12317" xr:uid="{0030BD11-8224-4495-A117-A26A19649DD9}"/>
    <cellStyle name="Normal 2 4 5 3 2 4 2 4" xfId="20765" xr:uid="{BA9851A8-B3AC-4FDE-B501-44A2EC0AA0BC}"/>
    <cellStyle name="Normal 2 4 5 3 2 4 3" xfId="5940" xr:uid="{00000000-0005-0000-0000-000093100000}"/>
    <cellStyle name="Normal 2 4 5 3 2 4 3 2" xfId="14390" xr:uid="{AE094F02-7C87-4ECE-8497-A7A361D58E08}"/>
    <cellStyle name="Normal 2 4 5 3 2 4 3 3" xfId="22837" xr:uid="{ABF1F6C4-43EF-44DC-98CE-6DF0E9F1FFF4}"/>
    <cellStyle name="Normal 2 4 5 3 2 4 4" xfId="10172" xr:uid="{91FBFC17-DE15-4908-848E-765782E89DDC}"/>
    <cellStyle name="Normal 2 4 5 3 2 4 5" xfId="18620" xr:uid="{D6C00635-D022-4961-8AEC-89C6F7E5F21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B453AE20-AB10-4FAE-AE46-44C016662742}"/>
    <cellStyle name="Normal 2 4 5 3 2 5 2 2 3" xfId="25395" xr:uid="{F2EFAF76-99FE-45FC-9FD9-90D68B5CC4EB}"/>
    <cellStyle name="Normal 2 4 5 3 2 5 2 3" xfId="12730" xr:uid="{267475EE-79F6-46D8-8E6F-E6B8229899F0}"/>
    <cellStyle name="Normal 2 4 5 3 2 5 2 4" xfId="21178" xr:uid="{C6C1F028-5B10-49E3-A606-58D2D7C97FF2}"/>
    <cellStyle name="Normal 2 4 5 3 2 5 3" xfId="6353" xr:uid="{00000000-0005-0000-0000-000097100000}"/>
    <cellStyle name="Normal 2 4 5 3 2 5 3 2" xfId="14803" xr:uid="{1497CAD0-37DF-4EAE-9569-CE2776600BBE}"/>
    <cellStyle name="Normal 2 4 5 3 2 5 3 3" xfId="23250" xr:uid="{0ABED7AF-2E44-4984-A4FA-8760655BF99D}"/>
    <cellStyle name="Normal 2 4 5 3 2 5 4" xfId="10585" xr:uid="{F5B3C73D-4A12-41CB-989D-B2C1E942BC2B}"/>
    <cellStyle name="Normal 2 4 5 3 2 5 5" xfId="19033" xr:uid="{DC138EFE-A3D7-4F06-9219-C941D17A856D}"/>
    <cellStyle name="Normal 2 4 5 3 2 6" xfId="2483" xr:uid="{00000000-0005-0000-0000-000098100000}"/>
    <cellStyle name="Normal 2 4 5 3 2 6 2" xfId="6766" xr:uid="{00000000-0005-0000-0000-000099100000}"/>
    <cellStyle name="Normal 2 4 5 3 2 6 2 2" xfId="15216" xr:uid="{14D2E3D5-711E-479B-B432-06FAC7D1AE79}"/>
    <cellStyle name="Normal 2 4 5 3 2 6 2 3" xfId="23663" xr:uid="{09549F92-848F-4C13-B021-4C052D9172F5}"/>
    <cellStyle name="Normal 2 4 5 3 2 6 3" xfId="10998" xr:uid="{F4AAC2C0-1FD6-48C9-B609-B532A7AAD44E}"/>
    <cellStyle name="Normal 2 4 5 3 2 6 4" xfId="19446" xr:uid="{4C19BF38-D3AB-45AF-80AB-DB3AAEE7408B}"/>
    <cellStyle name="Normal 2 4 5 3 2 7" xfId="4700" xr:uid="{00000000-0005-0000-0000-00009A100000}"/>
    <cellStyle name="Normal 2 4 5 3 2 7 2" xfId="13150" xr:uid="{71558C46-9A2C-4061-9116-7392CC3DB85C}"/>
    <cellStyle name="Normal 2 4 5 3 2 7 3" xfId="21597" xr:uid="{54896021-0444-40E2-99ED-A6BEA76AEDFE}"/>
    <cellStyle name="Normal 2 4 5 3 2 8" xfId="8932" xr:uid="{5C81DD9B-F688-47F1-B1B0-7981B9A434F6}"/>
    <cellStyle name="Normal 2 4 5 3 2 9" xfId="17380" xr:uid="{7F798E64-430E-476C-AE22-5DF5911563D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4AFD52A8-7F4C-403D-836D-A05DB6FF990C}"/>
    <cellStyle name="Normal 2 4 5 3 3 2 2 3" xfId="24155" xr:uid="{05A62B30-3B40-4139-B8B8-D36DD04DD88F}"/>
    <cellStyle name="Normal 2 4 5 3 3 2 3" xfId="11490" xr:uid="{7BBFC45A-A10E-48BD-8E57-BE9525993EA4}"/>
    <cellStyle name="Normal 2 4 5 3 3 2 4" xfId="19938" xr:uid="{878036E0-368D-4D98-8A2C-316E89DD6A63}"/>
    <cellStyle name="Normal 2 4 5 3 3 3" xfId="5113" xr:uid="{00000000-0005-0000-0000-00009E100000}"/>
    <cellStyle name="Normal 2 4 5 3 3 3 2" xfId="13563" xr:uid="{81D6E543-6B53-4658-9927-77F51EF959B5}"/>
    <cellStyle name="Normal 2 4 5 3 3 3 3" xfId="22010" xr:uid="{55B3B941-1C0C-41D3-9933-0C3E5F4E6019}"/>
    <cellStyle name="Normal 2 4 5 3 3 4" xfId="9345" xr:uid="{274EBC03-0191-4E75-8FB2-E71522C521CA}"/>
    <cellStyle name="Normal 2 4 5 3 3 5" xfId="17793" xr:uid="{476099C7-3527-4BDD-83FB-615F6E098F2B}"/>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8A532F58-BDDA-4AED-AAA2-818D5EFE71AB}"/>
    <cellStyle name="Normal 2 4 5 3 4 2 2 3" xfId="24568" xr:uid="{BD48C3E1-C0E9-42B8-A50E-2D3B09DB183D}"/>
    <cellStyle name="Normal 2 4 5 3 4 2 3" xfId="11903" xr:uid="{66028A88-D30A-4561-A8E7-A27B3E514CFD}"/>
    <cellStyle name="Normal 2 4 5 3 4 2 4" xfId="20351" xr:uid="{530062AA-C944-4449-83CD-816083D119FC}"/>
    <cellStyle name="Normal 2 4 5 3 4 3" xfId="5526" xr:uid="{00000000-0005-0000-0000-0000A2100000}"/>
    <cellStyle name="Normal 2 4 5 3 4 3 2" xfId="13976" xr:uid="{39997126-DA07-4CB5-A9C5-D756D88D3796}"/>
    <cellStyle name="Normal 2 4 5 3 4 3 3" xfId="22423" xr:uid="{C555B8C5-26DC-4B59-AE4B-7F87013BBD73}"/>
    <cellStyle name="Normal 2 4 5 3 4 4" xfId="9758" xr:uid="{E6BFFDB4-4750-4CF0-9EF0-5F2A6E25A087}"/>
    <cellStyle name="Normal 2 4 5 3 4 5" xfId="18206" xr:uid="{1ADBFF8F-F336-4A1A-806E-5BD6FCE879AD}"/>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3BF3F3C9-AC86-467B-AD73-CCDA26490C8C}"/>
    <cellStyle name="Normal 2 4 5 3 5 2 2 3" xfId="24981" xr:uid="{75EA56E7-5473-4084-B089-4B36CA43282D}"/>
    <cellStyle name="Normal 2 4 5 3 5 2 3" xfId="12316" xr:uid="{F3407A2A-9FDD-4F8C-B60A-EC4DDE7B4342}"/>
    <cellStyle name="Normal 2 4 5 3 5 2 4" xfId="20764" xr:uid="{41C0D81C-F852-458B-A708-C50B0A6E3FAF}"/>
    <cellStyle name="Normal 2 4 5 3 5 3" xfId="5939" xr:uid="{00000000-0005-0000-0000-0000A6100000}"/>
    <cellStyle name="Normal 2 4 5 3 5 3 2" xfId="14389" xr:uid="{FE868399-362B-42EF-8EB7-BC1368A126F8}"/>
    <cellStyle name="Normal 2 4 5 3 5 3 3" xfId="22836" xr:uid="{0E88C6FF-CE1C-47B5-9A80-8A71AED752B0}"/>
    <cellStyle name="Normal 2 4 5 3 5 4" xfId="10171" xr:uid="{487B64CF-A73D-46AE-9D8E-2963739CC1E3}"/>
    <cellStyle name="Normal 2 4 5 3 5 5" xfId="18619" xr:uid="{588C1502-3A5C-4D16-BCB8-58E200A88E67}"/>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BD76FB0A-94ED-4424-A7BD-20EF64E94C6B}"/>
    <cellStyle name="Normal 2 4 5 3 6 2 2 3" xfId="25394" xr:uid="{9DDDE2B4-C648-4EBD-8DB8-BE8C0A81D9CF}"/>
    <cellStyle name="Normal 2 4 5 3 6 2 3" xfId="12729" xr:uid="{28BCF7BC-91E6-4B6E-8BEA-22F78AC43AFA}"/>
    <cellStyle name="Normal 2 4 5 3 6 2 4" xfId="21177" xr:uid="{4FB3E98C-D3E4-47F6-8730-464AADDBAA1C}"/>
    <cellStyle name="Normal 2 4 5 3 6 3" xfId="6352" xr:uid="{00000000-0005-0000-0000-0000AA100000}"/>
    <cellStyle name="Normal 2 4 5 3 6 3 2" xfId="14802" xr:uid="{8820609A-7346-489F-AB22-68B73D05586E}"/>
    <cellStyle name="Normal 2 4 5 3 6 3 3" xfId="23249" xr:uid="{92335046-F092-41AF-AB35-D6F1FDBED45A}"/>
    <cellStyle name="Normal 2 4 5 3 6 4" xfId="10584" xr:uid="{1EE5F6BC-ED5E-4858-8329-562F4C81D5DA}"/>
    <cellStyle name="Normal 2 4 5 3 6 5" xfId="19032" xr:uid="{32B22922-2C41-4815-9F1C-39CF7013F48D}"/>
    <cellStyle name="Normal 2 4 5 3 7" xfId="2482" xr:uid="{00000000-0005-0000-0000-0000AB100000}"/>
    <cellStyle name="Normal 2 4 5 3 7 2" xfId="6765" xr:uid="{00000000-0005-0000-0000-0000AC100000}"/>
    <cellStyle name="Normal 2 4 5 3 7 2 2" xfId="15215" xr:uid="{DB0E78AE-806B-4E98-8810-AC23BDF32D50}"/>
    <cellStyle name="Normal 2 4 5 3 7 2 3" xfId="23662" xr:uid="{284C00FB-19C8-4F71-AC06-D7493B732690}"/>
    <cellStyle name="Normal 2 4 5 3 7 3" xfId="10997" xr:uid="{413BD240-1496-4AD4-B5FF-C7B2943CA715}"/>
    <cellStyle name="Normal 2 4 5 3 7 4" xfId="19445" xr:uid="{18FA0E02-98C2-454D-B469-4EAB1803E8DB}"/>
    <cellStyle name="Normal 2 4 5 3 8" xfId="4699" xr:uid="{00000000-0005-0000-0000-0000AD100000}"/>
    <cellStyle name="Normal 2 4 5 3 8 2" xfId="13149" xr:uid="{9BFEF795-DAC2-476B-A453-24A257233A19}"/>
    <cellStyle name="Normal 2 4 5 3 8 3" xfId="21596" xr:uid="{48793C73-31AC-49D1-9A21-29DDCBB63F40}"/>
    <cellStyle name="Normal 2 4 5 3 9" xfId="8931" xr:uid="{75C93247-AA46-4183-86DD-9790FE7C67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CE141AF9-1DE5-468C-B27A-21A6FBF2B3AD}"/>
    <cellStyle name="Normal 2 4 5 4 2 2 2 3" xfId="24157" xr:uid="{B5B83DB2-B6CF-4468-9C7A-B70337C4E41F}"/>
    <cellStyle name="Normal 2 4 5 4 2 2 3" xfId="11492" xr:uid="{2EC4B723-45D5-4894-9946-3F814334014A}"/>
    <cellStyle name="Normal 2 4 5 4 2 2 4" xfId="19940" xr:uid="{E0847C84-FF6C-497C-9BA9-9E57E8D5C9CF}"/>
    <cellStyle name="Normal 2 4 5 4 2 3" xfId="5115" xr:uid="{00000000-0005-0000-0000-0000B2100000}"/>
    <cellStyle name="Normal 2 4 5 4 2 3 2" xfId="13565" xr:uid="{DA312D55-FC6F-46E4-A79F-D0E06C723CCD}"/>
    <cellStyle name="Normal 2 4 5 4 2 3 3" xfId="22012" xr:uid="{FC285B30-CF34-4079-8E84-AC4748C54420}"/>
    <cellStyle name="Normal 2 4 5 4 2 4" xfId="9347" xr:uid="{F1BC6849-1DE2-4384-828B-57CEB08CA82C}"/>
    <cellStyle name="Normal 2 4 5 4 2 5" xfId="17795" xr:uid="{8F236F07-9AE5-4D3B-ACE1-E2FD8962BCBB}"/>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F39D057F-5121-4983-A887-1B14018C8DC3}"/>
    <cellStyle name="Normal 2 4 5 4 3 2 2 3" xfId="24570" xr:uid="{8C018384-339E-4F4A-B831-C9EED82798CB}"/>
    <cellStyle name="Normal 2 4 5 4 3 2 3" xfId="11905" xr:uid="{F6546E6C-3189-4FF4-BFFB-D9C792813860}"/>
    <cellStyle name="Normal 2 4 5 4 3 2 4" xfId="20353" xr:uid="{1FE5E027-651B-4478-B25B-2E0C85C64ABC}"/>
    <cellStyle name="Normal 2 4 5 4 3 3" xfId="5528" xr:uid="{00000000-0005-0000-0000-0000B6100000}"/>
    <cellStyle name="Normal 2 4 5 4 3 3 2" xfId="13978" xr:uid="{48C44169-13DD-4D62-91FD-744C13EB47DE}"/>
    <cellStyle name="Normal 2 4 5 4 3 3 3" xfId="22425" xr:uid="{3927B07E-CA1B-4883-8861-7DBA402C1062}"/>
    <cellStyle name="Normal 2 4 5 4 3 4" xfId="9760" xr:uid="{F9BF49FA-32E9-487A-B446-C89D2C01E18B}"/>
    <cellStyle name="Normal 2 4 5 4 3 5" xfId="18208" xr:uid="{8952F5DB-DBFF-4AA4-B629-7643C7DE667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B41E7629-64EF-4B7B-A10F-8E92E936E0C3}"/>
    <cellStyle name="Normal 2 4 5 4 4 2 2 3" xfId="24983" xr:uid="{E7D51F73-FD41-4DF5-9775-B58C3BE8A3A1}"/>
    <cellStyle name="Normal 2 4 5 4 4 2 3" xfId="12318" xr:uid="{7EE8770D-5494-4F55-BF5D-15A85203787B}"/>
    <cellStyle name="Normal 2 4 5 4 4 2 4" xfId="20766" xr:uid="{38DB5F69-C6CF-4001-943A-99E8C9152388}"/>
    <cellStyle name="Normal 2 4 5 4 4 3" xfId="5941" xr:uid="{00000000-0005-0000-0000-0000BA100000}"/>
    <cellStyle name="Normal 2 4 5 4 4 3 2" xfId="14391" xr:uid="{E54C28E0-E902-494D-B5F9-E0D0087006E4}"/>
    <cellStyle name="Normal 2 4 5 4 4 3 3" xfId="22838" xr:uid="{4119AD16-FA8A-4CB8-B7BC-50D8BD1A56D3}"/>
    <cellStyle name="Normal 2 4 5 4 4 4" xfId="10173" xr:uid="{2FF23488-AF43-4B3C-9754-85F68239A26E}"/>
    <cellStyle name="Normal 2 4 5 4 4 5" xfId="18621" xr:uid="{6F0AC2A4-0FFE-47BD-B809-7E7D95CF0165}"/>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BE34BD3B-3357-4A24-9115-20321A40C68F}"/>
    <cellStyle name="Normal 2 4 5 4 5 2 2 3" xfId="25396" xr:uid="{B96EB595-F3BA-4159-BFDB-D109513C13F3}"/>
    <cellStyle name="Normal 2 4 5 4 5 2 3" xfId="12731" xr:uid="{DB8E6242-F4A0-4394-A657-6E7D499E0589}"/>
    <cellStyle name="Normal 2 4 5 4 5 2 4" xfId="21179" xr:uid="{83C83BF4-E779-4F1E-84D5-26EF50134BA4}"/>
    <cellStyle name="Normal 2 4 5 4 5 3" xfId="6354" xr:uid="{00000000-0005-0000-0000-0000BE100000}"/>
    <cellStyle name="Normal 2 4 5 4 5 3 2" xfId="14804" xr:uid="{A433AC2B-5225-4746-9D69-4A2952AA6F25}"/>
    <cellStyle name="Normal 2 4 5 4 5 3 3" xfId="23251" xr:uid="{05F3DFE8-80E2-450B-982D-0F42C41D528C}"/>
    <cellStyle name="Normal 2 4 5 4 5 4" xfId="10586" xr:uid="{305CCE2E-7C5D-4587-978C-C3830575892E}"/>
    <cellStyle name="Normal 2 4 5 4 5 5" xfId="19034" xr:uid="{1AA8B29C-A1BA-4881-807A-2F6549D78F77}"/>
    <cellStyle name="Normal 2 4 5 4 6" xfId="2484" xr:uid="{00000000-0005-0000-0000-0000BF100000}"/>
    <cellStyle name="Normal 2 4 5 4 6 2" xfId="6767" xr:uid="{00000000-0005-0000-0000-0000C0100000}"/>
    <cellStyle name="Normal 2 4 5 4 6 2 2" xfId="15217" xr:uid="{8045068F-F116-4938-AFF6-0839EAB549A8}"/>
    <cellStyle name="Normal 2 4 5 4 6 2 3" xfId="23664" xr:uid="{4E8C2D5A-D95A-4DE7-A3C0-7DCDEC58EED9}"/>
    <cellStyle name="Normal 2 4 5 4 6 3" xfId="10999" xr:uid="{DF99C7D1-B13A-400F-A6D8-A5663F9EBACE}"/>
    <cellStyle name="Normal 2 4 5 4 6 4" xfId="19447" xr:uid="{72EA1DFF-3FDD-4AFD-94DD-B88C0FC6BC63}"/>
    <cellStyle name="Normal 2 4 5 4 7" xfId="4701" xr:uid="{00000000-0005-0000-0000-0000C1100000}"/>
    <cellStyle name="Normal 2 4 5 4 7 2" xfId="13151" xr:uid="{B290E737-C703-4DBE-B627-04FBA5D8E7C9}"/>
    <cellStyle name="Normal 2 4 5 4 7 3" xfId="21598" xr:uid="{E02D0E33-4F07-42A5-8BD4-AFD0C7F9BC74}"/>
    <cellStyle name="Normal 2 4 5 4 8" xfId="8933" xr:uid="{D56DE34D-0E93-4A4A-9836-17CC6D17600C}"/>
    <cellStyle name="Normal 2 4 5 4 9" xfId="17381" xr:uid="{E3EA586A-34EA-4E73-9C97-06A75920D6D4}"/>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2912E705-681E-4224-B5F6-4391597CCD83}"/>
    <cellStyle name="Normal 2 4 5 5 2 2 3" xfId="24150" xr:uid="{6A9EDC08-2647-4B6A-99B5-B8E6550CD689}"/>
    <cellStyle name="Normal 2 4 5 5 2 3" xfId="11485" xr:uid="{BA253E66-EA65-4A3B-847A-9F9D9A748D08}"/>
    <cellStyle name="Normal 2 4 5 5 2 4" xfId="19933" xr:uid="{059CCDDE-DAB9-48F2-8E4E-6ABFA62A6709}"/>
    <cellStyle name="Normal 2 4 5 5 3" xfId="5108" xr:uid="{00000000-0005-0000-0000-0000C5100000}"/>
    <cellStyle name="Normal 2 4 5 5 3 2" xfId="13558" xr:uid="{80301B07-F0F4-4ED3-B1D9-9D15F793F68B}"/>
    <cellStyle name="Normal 2 4 5 5 3 3" xfId="22005" xr:uid="{7E8BAF3D-0167-4721-AB7A-7210FC896BAC}"/>
    <cellStyle name="Normal 2 4 5 5 4" xfId="9340" xr:uid="{ADA2251E-F67F-4C8C-BC26-319E78D78264}"/>
    <cellStyle name="Normal 2 4 5 5 5" xfId="17788" xr:uid="{8303377E-D052-44FD-8D1B-769142910647}"/>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C1CA38B2-661A-47B6-A3C8-FECF24632687}"/>
    <cellStyle name="Normal 2 4 5 6 2 2 3" xfId="24563" xr:uid="{AEB78B46-DB93-4F2F-8058-24CEE63C8DC3}"/>
    <cellStyle name="Normal 2 4 5 6 2 3" xfId="11898" xr:uid="{EC15D12D-49F7-45DA-8FFD-8A2270D73265}"/>
    <cellStyle name="Normal 2 4 5 6 2 4" xfId="20346" xr:uid="{93C1E8A2-62EF-44B7-B0B3-247AE63A5541}"/>
    <cellStyle name="Normal 2 4 5 6 3" xfId="5521" xr:uid="{00000000-0005-0000-0000-0000C9100000}"/>
    <cellStyle name="Normal 2 4 5 6 3 2" xfId="13971" xr:uid="{6F3512A4-818D-4503-928A-F42C30BF5E7B}"/>
    <cellStyle name="Normal 2 4 5 6 3 3" xfId="22418" xr:uid="{450370CC-FC9E-40BF-9515-6E768A54C9E4}"/>
    <cellStyle name="Normal 2 4 5 6 4" xfId="9753" xr:uid="{27414133-4B94-4FAE-9B13-9C7EC66D3027}"/>
    <cellStyle name="Normal 2 4 5 6 5" xfId="18201" xr:uid="{37A581AA-1972-4596-9406-EDB7399B0E34}"/>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55463C45-BB36-4130-940D-573A17D46B5C}"/>
    <cellStyle name="Normal 2 4 5 7 2 2 3" xfId="24976" xr:uid="{298A25B2-8474-417F-9B51-F30105935CFB}"/>
    <cellStyle name="Normal 2 4 5 7 2 3" xfId="12311" xr:uid="{5119D07F-757B-409E-B602-3204EC410675}"/>
    <cellStyle name="Normal 2 4 5 7 2 4" xfId="20759" xr:uid="{F4B9FA25-4478-4ED6-BCD7-E3537BFADDB8}"/>
    <cellStyle name="Normal 2 4 5 7 3" xfId="5934" xr:uid="{00000000-0005-0000-0000-0000CD100000}"/>
    <cellStyle name="Normal 2 4 5 7 3 2" xfId="14384" xr:uid="{706FB3D5-A848-4E07-8436-CA2ED8505175}"/>
    <cellStyle name="Normal 2 4 5 7 3 3" xfId="22831" xr:uid="{A9F50849-91EA-4B0A-92F8-4A7443B92897}"/>
    <cellStyle name="Normal 2 4 5 7 4" xfId="10166" xr:uid="{0898B3D3-DF1E-4E7E-9966-99C08ACC9D74}"/>
    <cellStyle name="Normal 2 4 5 7 5" xfId="18614" xr:uid="{CE884757-CFC2-4897-A427-E2829B43CBB7}"/>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2D98D369-4522-4D4D-BD61-7A283C137EA3}"/>
    <cellStyle name="Normal 2 4 5 8 2 2 3" xfId="25389" xr:uid="{8AB435CC-5BD8-4CE7-BEF9-AA7646F54C71}"/>
    <cellStyle name="Normal 2 4 5 8 2 3" xfId="12724" xr:uid="{F71DCEB7-786B-4FC4-8561-CB65B7CAD4BC}"/>
    <cellStyle name="Normal 2 4 5 8 2 4" xfId="21172" xr:uid="{3FE1336C-095F-42EE-9527-7A7C7C805806}"/>
    <cellStyle name="Normal 2 4 5 8 3" xfId="6347" xr:uid="{00000000-0005-0000-0000-0000D1100000}"/>
    <cellStyle name="Normal 2 4 5 8 3 2" xfId="14797" xr:uid="{2449DA6B-2907-4417-8156-F4EC3E9053E5}"/>
    <cellStyle name="Normal 2 4 5 8 3 3" xfId="23244" xr:uid="{1FF9E6A7-5912-4BB0-AA70-A78892B02EEB}"/>
    <cellStyle name="Normal 2 4 5 8 4" xfId="10579" xr:uid="{054A2700-EEF9-4831-8F04-93A967C66735}"/>
    <cellStyle name="Normal 2 4 5 8 5" xfId="19027" xr:uid="{C3D5336B-0539-4287-ADFC-051FFE9C680D}"/>
    <cellStyle name="Normal 2 4 5 9" xfId="2477" xr:uid="{00000000-0005-0000-0000-0000D2100000}"/>
    <cellStyle name="Normal 2 4 5 9 2" xfId="6760" xr:uid="{00000000-0005-0000-0000-0000D3100000}"/>
    <cellStyle name="Normal 2 4 5 9 2 2" xfId="15210" xr:uid="{29150C1C-EFC1-4465-869F-22C078EE4C21}"/>
    <cellStyle name="Normal 2 4 5 9 2 3" xfId="23657" xr:uid="{AE969C6B-F520-4588-B58E-2ADE8A380A25}"/>
    <cellStyle name="Normal 2 4 5 9 3" xfId="10992" xr:uid="{A398011B-0689-4474-9F07-909F271D1EB8}"/>
    <cellStyle name="Normal 2 4 5 9 4" xfId="19440" xr:uid="{7C4A8563-8787-472B-8151-1141EC6A8EC1}"/>
    <cellStyle name="Normal 2 4 6" xfId="311" xr:uid="{00000000-0005-0000-0000-0000D4100000}"/>
    <cellStyle name="Normal 2 4 7" xfId="312" xr:uid="{00000000-0005-0000-0000-0000D5100000}"/>
    <cellStyle name="Normal 2 4 7 10" xfId="17382" xr:uid="{EC9C80FB-C232-4FBC-9B26-AA7D6755E2DF}"/>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64A8767B-0B35-46A6-ACEE-92F5CE673A3A}"/>
    <cellStyle name="Normal 2 4 7 2 2 2 2 3" xfId="24159" xr:uid="{9FEA3C1F-0EE3-4271-85D1-934CEC65B466}"/>
    <cellStyle name="Normal 2 4 7 2 2 2 3" xfId="11494" xr:uid="{CC77FD1E-F07C-4866-8C32-842E7A185650}"/>
    <cellStyle name="Normal 2 4 7 2 2 2 4" xfId="19942" xr:uid="{E8B71FE4-8958-4848-8555-7839CE75943D}"/>
    <cellStyle name="Normal 2 4 7 2 2 3" xfId="5117" xr:uid="{00000000-0005-0000-0000-0000DA100000}"/>
    <cellStyle name="Normal 2 4 7 2 2 3 2" xfId="13567" xr:uid="{87213390-7BF2-4189-82FF-2018164C58A6}"/>
    <cellStyle name="Normal 2 4 7 2 2 3 3" xfId="22014" xr:uid="{F8AB06B8-8A00-4E50-8400-F7BA8122667D}"/>
    <cellStyle name="Normal 2 4 7 2 2 4" xfId="9349" xr:uid="{1CA31972-8198-4E28-A18D-BB70B7E5E74B}"/>
    <cellStyle name="Normal 2 4 7 2 2 5" xfId="17797" xr:uid="{52B8B6AE-E55F-4FCA-BBF5-DD929DE741D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D37EDC1B-08B6-451C-9A3D-7822F2952D0C}"/>
    <cellStyle name="Normal 2 4 7 2 3 2 2 3" xfId="24572" xr:uid="{312ED0FA-69E4-473B-A577-9F3E032DD922}"/>
    <cellStyle name="Normal 2 4 7 2 3 2 3" xfId="11907" xr:uid="{8D40F61C-6EC9-4B33-A934-28BE5AC1CFE7}"/>
    <cellStyle name="Normal 2 4 7 2 3 2 4" xfId="20355" xr:uid="{1A12CBB6-C9E8-4676-9A73-2FECC37AC680}"/>
    <cellStyle name="Normal 2 4 7 2 3 3" xfId="5530" xr:uid="{00000000-0005-0000-0000-0000DE100000}"/>
    <cellStyle name="Normal 2 4 7 2 3 3 2" xfId="13980" xr:uid="{B2B59100-579C-49BC-A224-496D7CF537FA}"/>
    <cellStyle name="Normal 2 4 7 2 3 3 3" xfId="22427" xr:uid="{09542DFB-1EFA-40EF-B07A-E66036AA78C4}"/>
    <cellStyle name="Normal 2 4 7 2 3 4" xfId="9762" xr:uid="{9C5BD715-4ECA-4C60-8CB9-49CA203C0CB5}"/>
    <cellStyle name="Normal 2 4 7 2 3 5" xfId="18210" xr:uid="{ACF46293-8D4B-4A5F-9BD0-D01A7FB33FC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09446657-5A59-44FF-94B9-7C987BA7E7AF}"/>
    <cellStyle name="Normal 2 4 7 2 4 2 2 3" xfId="24985" xr:uid="{D5A1A8F8-E4A8-4C2A-8F55-B0013C463022}"/>
    <cellStyle name="Normal 2 4 7 2 4 2 3" xfId="12320" xr:uid="{9D4E1527-956D-40A8-BD86-273142BF85D3}"/>
    <cellStyle name="Normal 2 4 7 2 4 2 4" xfId="20768" xr:uid="{119BB7AA-E157-4F7A-9551-7CD4089C6F17}"/>
    <cellStyle name="Normal 2 4 7 2 4 3" xfId="5943" xr:uid="{00000000-0005-0000-0000-0000E2100000}"/>
    <cellStyle name="Normal 2 4 7 2 4 3 2" xfId="14393" xr:uid="{68FD3FC5-8A00-4B25-B7F6-3ECE1424FAB4}"/>
    <cellStyle name="Normal 2 4 7 2 4 3 3" xfId="22840" xr:uid="{66D52B83-F78C-4928-8974-26EC5C6A0881}"/>
    <cellStyle name="Normal 2 4 7 2 4 4" xfId="10175" xr:uid="{FFB211AF-1C3B-4AAF-B188-E6A28221BBE4}"/>
    <cellStyle name="Normal 2 4 7 2 4 5" xfId="18623" xr:uid="{3D17C2AD-939C-4ADF-85AB-4A02206613B1}"/>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710B9462-CFF8-4435-AD14-C28C914E2702}"/>
    <cellStyle name="Normal 2 4 7 2 5 2 2 3" xfId="25398" xr:uid="{33BF8F14-53BD-4230-8801-0CAAB5702A65}"/>
    <cellStyle name="Normal 2 4 7 2 5 2 3" xfId="12733" xr:uid="{C64E4B91-534C-48ED-8887-150A52C15D94}"/>
    <cellStyle name="Normal 2 4 7 2 5 2 4" xfId="21181" xr:uid="{0CD72E9B-8547-40D2-AD66-9D6BA0CCCCC2}"/>
    <cellStyle name="Normal 2 4 7 2 5 3" xfId="6356" xr:uid="{00000000-0005-0000-0000-0000E6100000}"/>
    <cellStyle name="Normal 2 4 7 2 5 3 2" xfId="14806" xr:uid="{3B4EAFDB-302A-401A-B660-50759520A19B}"/>
    <cellStyle name="Normal 2 4 7 2 5 3 3" xfId="23253" xr:uid="{9E23CBEB-5B85-4CD8-9AE7-477287519E1F}"/>
    <cellStyle name="Normal 2 4 7 2 5 4" xfId="10588" xr:uid="{ACD2206A-038C-48A6-9C83-AA850F1BFC20}"/>
    <cellStyle name="Normal 2 4 7 2 5 5" xfId="19036" xr:uid="{7F5106FE-B1B9-4F24-A48D-7167EAA23DA5}"/>
    <cellStyle name="Normal 2 4 7 2 6" xfId="2486" xr:uid="{00000000-0005-0000-0000-0000E7100000}"/>
    <cellStyle name="Normal 2 4 7 2 6 2" xfId="6769" xr:uid="{00000000-0005-0000-0000-0000E8100000}"/>
    <cellStyle name="Normal 2 4 7 2 6 2 2" xfId="15219" xr:uid="{67D03726-6ADA-4D3F-9F02-4EBD83AD8272}"/>
    <cellStyle name="Normal 2 4 7 2 6 2 3" xfId="23666" xr:uid="{F420BE03-59E8-4F31-B929-289A8C11C9B8}"/>
    <cellStyle name="Normal 2 4 7 2 6 3" xfId="11001" xr:uid="{3E1DB95D-DE94-40F8-8F72-714A264EB9C5}"/>
    <cellStyle name="Normal 2 4 7 2 6 4" xfId="19449" xr:uid="{922399E3-50FA-467D-BCEA-DDA7FF313445}"/>
    <cellStyle name="Normal 2 4 7 2 7" xfId="4703" xr:uid="{00000000-0005-0000-0000-0000E9100000}"/>
    <cellStyle name="Normal 2 4 7 2 7 2" xfId="13153" xr:uid="{CB170C38-E5E7-47D7-B4ED-F19196589F6E}"/>
    <cellStyle name="Normal 2 4 7 2 7 3" xfId="21600" xr:uid="{07BC1341-5C3F-4E1F-B05F-9A61F43B9445}"/>
    <cellStyle name="Normal 2 4 7 2 8" xfId="8935" xr:uid="{707F335F-2B2C-4CDB-A2CC-5B90389BD531}"/>
    <cellStyle name="Normal 2 4 7 2 9" xfId="17383" xr:uid="{A2512E3D-087B-4568-B4C0-6850B669DE71}"/>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E11D17D8-6FCF-444F-93F9-F37777B62481}"/>
    <cellStyle name="Normal 2 4 7 3 2 2 3" xfId="24158" xr:uid="{44E1A71D-7C03-4243-8629-C8C599616638}"/>
    <cellStyle name="Normal 2 4 7 3 2 3" xfId="11493" xr:uid="{CDDA4AFC-8A1F-40BF-9DEE-1B1D41EF0CB4}"/>
    <cellStyle name="Normal 2 4 7 3 2 4" xfId="19941" xr:uid="{16E3AF20-C476-41C2-9B48-AD936642B16C}"/>
    <cellStyle name="Normal 2 4 7 3 3" xfId="5116" xr:uid="{00000000-0005-0000-0000-0000ED100000}"/>
    <cellStyle name="Normal 2 4 7 3 3 2" xfId="13566" xr:uid="{5175CD3A-E7BF-40D0-B67A-1DEBD8EF55E3}"/>
    <cellStyle name="Normal 2 4 7 3 3 3" xfId="22013" xr:uid="{ED44EF5F-1F42-493A-A5DC-72D1CAAE654E}"/>
    <cellStyle name="Normal 2 4 7 3 4" xfId="9348" xr:uid="{D5354D4F-DC49-456B-9143-7D90CA79DB1B}"/>
    <cellStyle name="Normal 2 4 7 3 5" xfId="17796" xr:uid="{096BCCDA-D92D-43A9-8709-804921B9A26F}"/>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10C4C85-A6CF-4FB8-9DCD-26FF35C5F38F}"/>
    <cellStyle name="Normal 2 4 7 4 2 2 3" xfId="24571" xr:uid="{BA85AD5D-21F5-48F5-BEB2-EA7D6876B0B5}"/>
    <cellStyle name="Normal 2 4 7 4 2 3" xfId="11906" xr:uid="{C0CCE788-799A-4840-93B7-1F510B9B87E5}"/>
    <cellStyle name="Normal 2 4 7 4 2 4" xfId="20354" xr:uid="{20A6570F-2115-48EF-9392-A7AD4617C36E}"/>
    <cellStyle name="Normal 2 4 7 4 3" xfId="5529" xr:uid="{00000000-0005-0000-0000-0000F1100000}"/>
    <cellStyle name="Normal 2 4 7 4 3 2" xfId="13979" xr:uid="{4C20B357-6224-4D24-B912-0B5CA0B4AF36}"/>
    <cellStyle name="Normal 2 4 7 4 3 3" xfId="22426" xr:uid="{D4470C56-6929-40BB-A0C2-7B22F1F4D4FB}"/>
    <cellStyle name="Normal 2 4 7 4 4" xfId="9761" xr:uid="{A68DFE46-72F9-440B-A414-3C1AB8FBFAAA}"/>
    <cellStyle name="Normal 2 4 7 4 5" xfId="18209" xr:uid="{9216F709-2AD7-4543-A960-2A11231966FB}"/>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17EDD6D7-C23C-4538-9505-45BC49E3D937}"/>
    <cellStyle name="Normal 2 4 7 5 2 2 3" xfId="24984" xr:uid="{0D3FC855-0C51-4B85-946F-7593DDCFA4CF}"/>
    <cellStyle name="Normal 2 4 7 5 2 3" xfId="12319" xr:uid="{62F08593-0D04-436D-A2C9-4ED84F26513C}"/>
    <cellStyle name="Normal 2 4 7 5 2 4" xfId="20767" xr:uid="{5DEF59A0-A54C-4132-A905-26EF6C9196B8}"/>
    <cellStyle name="Normal 2 4 7 5 3" xfId="5942" xr:uid="{00000000-0005-0000-0000-0000F5100000}"/>
    <cellStyle name="Normal 2 4 7 5 3 2" xfId="14392" xr:uid="{248BA4CE-8BA5-45B9-A3BE-2198EC167BAF}"/>
    <cellStyle name="Normal 2 4 7 5 3 3" xfId="22839" xr:uid="{34579F73-5860-40D4-9DAA-4108294816BE}"/>
    <cellStyle name="Normal 2 4 7 5 4" xfId="10174" xr:uid="{27BE07A7-B07A-4710-ACAC-9C97C8B60B0C}"/>
    <cellStyle name="Normal 2 4 7 5 5" xfId="18622" xr:uid="{C464FED1-18B0-432A-9345-0BBE265EC48F}"/>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0E4501DF-334F-4581-92F0-343D47AD9853}"/>
    <cellStyle name="Normal 2 4 7 6 2 2 3" xfId="25397" xr:uid="{F9740E14-913F-4AA6-929E-6E6FFF7DD4C5}"/>
    <cellStyle name="Normal 2 4 7 6 2 3" xfId="12732" xr:uid="{C5678818-BEF2-484C-9DA3-591C6C1DA5E2}"/>
    <cellStyle name="Normal 2 4 7 6 2 4" xfId="21180" xr:uid="{C7446376-E9B6-41F3-BA93-B495BF5795E4}"/>
    <cellStyle name="Normal 2 4 7 6 3" xfId="6355" xr:uid="{00000000-0005-0000-0000-0000F9100000}"/>
    <cellStyle name="Normal 2 4 7 6 3 2" xfId="14805" xr:uid="{5842EBE2-AE85-4BF7-8B21-105C240CDCF1}"/>
    <cellStyle name="Normal 2 4 7 6 3 3" xfId="23252" xr:uid="{4F0865AC-09DF-40CD-BA87-A75B54A79653}"/>
    <cellStyle name="Normal 2 4 7 6 4" xfId="10587" xr:uid="{0717020A-CB61-49C6-8214-CF8BB55A1F55}"/>
    <cellStyle name="Normal 2 4 7 6 5" xfId="19035" xr:uid="{7E7F6C14-54DD-4040-9CB2-18E30ABEDDED}"/>
    <cellStyle name="Normal 2 4 7 7" xfId="2485" xr:uid="{00000000-0005-0000-0000-0000FA100000}"/>
    <cellStyle name="Normal 2 4 7 7 2" xfId="6768" xr:uid="{00000000-0005-0000-0000-0000FB100000}"/>
    <cellStyle name="Normal 2 4 7 7 2 2" xfId="15218" xr:uid="{35C83C16-30C9-4493-A919-C5C5B9859386}"/>
    <cellStyle name="Normal 2 4 7 7 2 3" xfId="23665" xr:uid="{A0633889-C00A-44A4-ACB1-ED469D4583D4}"/>
    <cellStyle name="Normal 2 4 7 7 3" xfId="11000" xr:uid="{0DB0DF95-A3AE-4B47-9A81-E11CE0FF58FA}"/>
    <cellStyle name="Normal 2 4 7 7 4" xfId="19448" xr:uid="{FBC43ECE-031B-4531-ACA7-94F8A2130737}"/>
    <cellStyle name="Normal 2 4 7 8" xfId="4702" xr:uid="{00000000-0005-0000-0000-0000FC100000}"/>
    <cellStyle name="Normal 2 4 7 8 2" xfId="13152" xr:uid="{F8141029-80A2-4E63-9C97-D82C68937F47}"/>
    <cellStyle name="Normal 2 4 7 8 3" xfId="21599" xr:uid="{F8BA19A4-20BE-453D-B47D-72BE87DFFC2D}"/>
    <cellStyle name="Normal 2 4 7 9" xfId="8934" xr:uid="{F80DD11B-210C-4A3A-AB84-F1F5D05199E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CD5F4AE8-A020-4AF5-B7CA-521D8622CB28}"/>
    <cellStyle name="Normal 2 4 8 2 2 2 3" xfId="24160" xr:uid="{4F8C134B-3C46-43BF-B07C-04F1E8637917}"/>
    <cellStyle name="Normal 2 4 8 2 2 3" xfId="11495" xr:uid="{2098008F-C0AA-46CF-98C4-9B4C74D44FC6}"/>
    <cellStyle name="Normal 2 4 8 2 2 4" xfId="19943" xr:uid="{80094969-4E86-40CB-AF94-AE15708D0FA4}"/>
    <cellStyle name="Normal 2 4 8 2 3" xfId="5118" xr:uid="{00000000-0005-0000-0000-000001110000}"/>
    <cellStyle name="Normal 2 4 8 2 3 2" xfId="13568" xr:uid="{01253F33-8293-4440-BEBD-1EE2B08A2D4A}"/>
    <cellStyle name="Normal 2 4 8 2 3 3" xfId="22015" xr:uid="{D76C48B8-426A-43F3-A785-479CF6F7BA35}"/>
    <cellStyle name="Normal 2 4 8 2 4" xfId="9350" xr:uid="{327854E6-D390-437E-AEDA-F564C56A5838}"/>
    <cellStyle name="Normal 2 4 8 2 5" xfId="17798" xr:uid="{A3D8CF3E-6EC4-45F5-A3DD-F66F82019EB6}"/>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64BE858B-B76D-4611-A873-AC20235608BB}"/>
    <cellStyle name="Normal 2 4 8 3 2 2 3" xfId="24573" xr:uid="{7D3118FB-E9FE-4E2D-8C03-ADABB0E8D17E}"/>
    <cellStyle name="Normal 2 4 8 3 2 3" xfId="11908" xr:uid="{75BD6F35-91FC-41BD-955B-4A15059FD484}"/>
    <cellStyle name="Normal 2 4 8 3 2 4" xfId="20356" xr:uid="{F38A6ED3-249D-4BFA-B50E-ABA22B458044}"/>
    <cellStyle name="Normal 2 4 8 3 3" xfId="5531" xr:uid="{00000000-0005-0000-0000-000005110000}"/>
    <cellStyle name="Normal 2 4 8 3 3 2" xfId="13981" xr:uid="{67D0B639-E02A-4BD9-BECB-202DAA0F3400}"/>
    <cellStyle name="Normal 2 4 8 3 3 3" xfId="22428" xr:uid="{BEECB1AA-79FC-4F2A-9D2F-17BF503BEE7B}"/>
    <cellStyle name="Normal 2 4 8 3 4" xfId="9763" xr:uid="{2BFF9082-8844-4A52-A503-2E3E81B56509}"/>
    <cellStyle name="Normal 2 4 8 3 5" xfId="18211" xr:uid="{438A3971-9DAC-42E2-9D42-64F11E5A83A4}"/>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8F1B9ED1-268C-496F-9B7C-58DB5F0EC732}"/>
    <cellStyle name="Normal 2 4 8 4 2 2 3" xfId="24986" xr:uid="{A7F9EF4C-08E3-4A92-A8E6-B7CCEEB4E79B}"/>
    <cellStyle name="Normal 2 4 8 4 2 3" xfId="12321" xr:uid="{24651CA6-DE39-4366-9F44-2E94189A3538}"/>
    <cellStyle name="Normal 2 4 8 4 2 4" xfId="20769" xr:uid="{8D9A3C6F-7CBD-4BCD-B1D2-CC7F97EF8A1D}"/>
    <cellStyle name="Normal 2 4 8 4 3" xfId="5944" xr:uid="{00000000-0005-0000-0000-000009110000}"/>
    <cellStyle name="Normal 2 4 8 4 3 2" xfId="14394" xr:uid="{7FA52B21-7512-47A2-BA6B-7241E0919E55}"/>
    <cellStyle name="Normal 2 4 8 4 3 3" xfId="22841" xr:uid="{C6C0B2F0-739D-45AB-A193-129AD7C046F9}"/>
    <cellStyle name="Normal 2 4 8 4 4" xfId="10176" xr:uid="{78F06736-02EB-449E-AE1F-954F2796E114}"/>
    <cellStyle name="Normal 2 4 8 4 5" xfId="18624" xr:uid="{95827793-0892-47C7-9AE9-F7FD3C4064BB}"/>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210F0C5B-AC1D-4B3C-9ABC-1BB41A53DAAC}"/>
    <cellStyle name="Normal 2 4 8 5 2 2 3" xfId="25399" xr:uid="{BEB5373A-E709-4CF8-AB5D-46508CDBC9ED}"/>
    <cellStyle name="Normal 2 4 8 5 2 3" xfId="12734" xr:uid="{C0E5918F-6073-42B7-B519-538A764D3C5C}"/>
    <cellStyle name="Normal 2 4 8 5 2 4" xfId="21182" xr:uid="{0EEC3E11-B0A3-405C-ADFA-76E2A8FF9B14}"/>
    <cellStyle name="Normal 2 4 8 5 3" xfId="6357" xr:uid="{00000000-0005-0000-0000-00000D110000}"/>
    <cellStyle name="Normal 2 4 8 5 3 2" xfId="14807" xr:uid="{966C9CB1-275E-4054-98F9-2A550642A44E}"/>
    <cellStyle name="Normal 2 4 8 5 3 3" xfId="23254" xr:uid="{193A81C1-6B34-4F46-9AF5-073A8DAD5BDE}"/>
    <cellStyle name="Normal 2 4 8 5 4" xfId="10589" xr:uid="{1A865E6C-0074-46B9-8A35-5D9FCD87FA6C}"/>
    <cellStyle name="Normal 2 4 8 5 5" xfId="19037" xr:uid="{74803FB4-E7A0-4B59-87C1-792EB61D22AE}"/>
    <cellStyle name="Normal 2 4 8 6" xfId="2487" xr:uid="{00000000-0005-0000-0000-00000E110000}"/>
    <cellStyle name="Normal 2 4 8 6 2" xfId="6770" xr:uid="{00000000-0005-0000-0000-00000F110000}"/>
    <cellStyle name="Normal 2 4 8 6 2 2" xfId="15220" xr:uid="{05898FD6-3D0D-4BF4-A530-221DE3EE5730}"/>
    <cellStyle name="Normal 2 4 8 6 2 3" xfId="23667" xr:uid="{086C6B57-D49E-4EB9-A84C-53CB29FA5666}"/>
    <cellStyle name="Normal 2 4 8 6 3" xfId="11002" xr:uid="{1FCE46A7-78C2-4735-924C-B854080FE047}"/>
    <cellStyle name="Normal 2 4 8 6 4" xfId="19450" xr:uid="{28994A29-7FB2-44D9-BF60-C50E6560119C}"/>
    <cellStyle name="Normal 2 4 8 7" xfId="4704" xr:uid="{00000000-0005-0000-0000-000010110000}"/>
    <cellStyle name="Normal 2 4 8 7 2" xfId="13154" xr:uid="{C1E8CEA2-3D32-4E5C-9C9C-EFEFE019B441}"/>
    <cellStyle name="Normal 2 4 8 7 3" xfId="21601" xr:uid="{BD18648C-98D0-4BB3-B739-BD4A3E7C93EC}"/>
    <cellStyle name="Normal 2 4 8 8" xfId="8936" xr:uid="{33C48E27-93A1-43F8-AD2C-844E59226141}"/>
    <cellStyle name="Normal 2 4 8 9" xfId="17384" xr:uid="{D033DA9B-CE36-40D9-A7DF-92FFFD34060C}"/>
    <cellStyle name="Normal 2 5" xfId="315" xr:uid="{00000000-0005-0000-0000-000011110000}"/>
    <cellStyle name="Normal 2 5 10" xfId="4705" xr:uid="{00000000-0005-0000-0000-000012110000}"/>
    <cellStyle name="Normal 2 5 10 2" xfId="13155" xr:uid="{6973DD35-5A95-46B5-943D-6FF6FB83FF22}"/>
    <cellStyle name="Normal 2 5 10 3" xfId="21602" xr:uid="{F68B8AC4-140A-4F7F-A69D-59898F53F1F9}"/>
    <cellStyle name="Normal 2 5 11" xfId="8937" xr:uid="{9A241D01-BAA7-4D25-8C90-F546B6270B5A}"/>
    <cellStyle name="Normal 2 5 12" xfId="17385" xr:uid="{88EC71B2-B8AE-4834-9D67-29C443426690}"/>
    <cellStyle name="Normal 2 5 2" xfId="316" xr:uid="{00000000-0005-0000-0000-000013110000}"/>
    <cellStyle name="Normal 2 5 3" xfId="317" xr:uid="{00000000-0005-0000-0000-000014110000}"/>
    <cellStyle name="Normal 2 5 4" xfId="318" xr:uid="{00000000-0005-0000-0000-000015110000}"/>
    <cellStyle name="Normal 2 5 4 10" xfId="8938" xr:uid="{832BA4D3-F0CD-4D1A-9E4E-989FFD56B455}"/>
    <cellStyle name="Normal 2 5 4 11" xfId="17386" xr:uid="{E59A9F6C-5D48-419C-983A-38C4DD9BE9BB}"/>
    <cellStyle name="Normal 2 5 4 2" xfId="319" xr:uid="{00000000-0005-0000-0000-000016110000}"/>
    <cellStyle name="Normal 2 5 4 2 10" xfId="17387" xr:uid="{FBA6A287-4B41-4B2C-A093-694D85BBEF29}"/>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8AF499C9-4CEC-4B50-A0B7-35B43402AA68}"/>
    <cellStyle name="Normal 2 5 4 2 2 2 2 2 3" xfId="24164" xr:uid="{C65B5DB4-79D9-4625-98B6-CCC749BE47DC}"/>
    <cellStyle name="Normal 2 5 4 2 2 2 2 3" xfId="11499" xr:uid="{EC6F1C64-6177-444F-9280-3225C3F7E5E7}"/>
    <cellStyle name="Normal 2 5 4 2 2 2 2 4" xfId="19947" xr:uid="{7D44ADEA-04E6-4C09-8499-CBA081EC8B1C}"/>
    <cellStyle name="Normal 2 5 4 2 2 2 3" xfId="5122" xr:uid="{00000000-0005-0000-0000-00001B110000}"/>
    <cellStyle name="Normal 2 5 4 2 2 2 3 2" xfId="13572" xr:uid="{8DB49B98-08B1-4E47-957F-4E165C3E12BE}"/>
    <cellStyle name="Normal 2 5 4 2 2 2 3 3" xfId="22019" xr:uid="{A8ADC186-9380-47DC-A878-E2F0AC0675C0}"/>
    <cellStyle name="Normal 2 5 4 2 2 2 4" xfId="9354" xr:uid="{2051B7AD-837B-4AC6-8E24-62A9F0048C44}"/>
    <cellStyle name="Normal 2 5 4 2 2 2 5" xfId="17802" xr:uid="{7AB841C9-2059-4FB2-A624-BDD430D74E5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B3B7C12D-99E8-4903-8F2A-35257259581E}"/>
    <cellStyle name="Normal 2 5 4 2 2 3 2 2 3" xfId="24577" xr:uid="{FE36B19F-6902-4F71-B760-29012B54342D}"/>
    <cellStyle name="Normal 2 5 4 2 2 3 2 3" xfId="11912" xr:uid="{001E411A-A421-4EAC-B1E1-A47922C81495}"/>
    <cellStyle name="Normal 2 5 4 2 2 3 2 4" xfId="20360" xr:uid="{AAFE6A75-38E6-4D86-921A-4093423430AA}"/>
    <cellStyle name="Normal 2 5 4 2 2 3 3" xfId="5535" xr:uid="{00000000-0005-0000-0000-00001F110000}"/>
    <cellStyle name="Normal 2 5 4 2 2 3 3 2" xfId="13985" xr:uid="{9C4FF258-A5CC-4A7E-A5DD-C8BF7214FE3D}"/>
    <cellStyle name="Normal 2 5 4 2 2 3 3 3" xfId="22432" xr:uid="{011E2407-C0C0-4A54-8EE8-2A4F15F77D36}"/>
    <cellStyle name="Normal 2 5 4 2 2 3 4" xfId="9767" xr:uid="{887290F0-97A6-4EA7-AB02-E36C8A3EEDC1}"/>
    <cellStyle name="Normal 2 5 4 2 2 3 5" xfId="18215" xr:uid="{FA1EA589-661E-4205-96B4-CF891EB30B82}"/>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860C42B0-F766-455F-8E7D-1ADB75F45B84}"/>
    <cellStyle name="Normal 2 5 4 2 2 4 2 2 3" xfId="24990" xr:uid="{82EEE5E4-89C7-4FB5-A46B-6E4D6FBE463A}"/>
    <cellStyle name="Normal 2 5 4 2 2 4 2 3" xfId="12325" xr:uid="{BEBC3819-014B-427E-8D68-19D2341927B2}"/>
    <cellStyle name="Normal 2 5 4 2 2 4 2 4" xfId="20773" xr:uid="{B111701C-8CAD-4566-96B3-6832F3397E20}"/>
    <cellStyle name="Normal 2 5 4 2 2 4 3" xfId="5948" xr:uid="{00000000-0005-0000-0000-000023110000}"/>
    <cellStyle name="Normal 2 5 4 2 2 4 3 2" xfId="14398" xr:uid="{842B4F65-CDA4-4846-BCF2-64109C58C634}"/>
    <cellStyle name="Normal 2 5 4 2 2 4 3 3" xfId="22845" xr:uid="{B5EF019A-25EA-4433-B9CF-C034F71F5284}"/>
    <cellStyle name="Normal 2 5 4 2 2 4 4" xfId="10180" xr:uid="{EBBDE82E-A696-4E6E-9F36-EC41F470E56A}"/>
    <cellStyle name="Normal 2 5 4 2 2 4 5" xfId="18628" xr:uid="{C5159701-6BDE-451A-9BE4-187879D13BEC}"/>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6747F27D-B703-4B59-8BC4-3DB732C7E989}"/>
    <cellStyle name="Normal 2 5 4 2 2 5 2 2 3" xfId="25403" xr:uid="{3938C60D-47EC-4F34-8831-DDDB829EB3CB}"/>
    <cellStyle name="Normal 2 5 4 2 2 5 2 3" xfId="12738" xr:uid="{C7084EB8-C17F-41C6-9806-96DB4F936775}"/>
    <cellStyle name="Normal 2 5 4 2 2 5 2 4" xfId="21186" xr:uid="{82E1DDFC-B775-4CD2-A6A8-D6FEFAF47816}"/>
    <cellStyle name="Normal 2 5 4 2 2 5 3" xfId="6361" xr:uid="{00000000-0005-0000-0000-000027110000}"/>
    <cellStyle name="Normal 2 5 4 2 2 5 3 2" xfId="14811" xr:uid="{470FFF47-47A7-4BC5-9CD6-F1A14E18F485}"/>
    <cellStyle name="Normal 2 5 4 2 2 5 3 3" xfId="23258" xr:uid="{E1FB380D-A967-4766-9F1B-631B790F7A1B}"/>
    <cellStyle name="Normal 2 5 4 2 2 5 4" xfId="10593" xr:uid="{24AC39D5-FD4D-4C4B-B1D3-8897BD9401B0}"/>
    <cellStyle name="Normal 2 5 4 2 2 5 5" xfId="19041" xr:uid="{6A597313-B2BB-4E07-A91B-BBB1CC05A0F9}"/>
    <cellStyle name="Normal 2 5 4 2 2 6" xfId="2491" xr:uid="{00000000-0005-0000-0000-000028110000}"/>
    <cellStyle name="Normal 2 5 4 2 2 6 2" xfId="6774" xr:uid="{00000000-0005-0000-0000-000029110000}"/>
    <cellStyle name="Normal 2 5 4 2 2 6 2 2" xfId="15224" xr:uid="{19D81FC4-10CC-47C3-B306-7CF10BB05D44}"/>
    <cellStyle name="Normal 2 5 4 2 2 6 2 3" xfId="23671" xr:uid="{6A8062E5-6E1D-40BA-8DA7-5B3BB3F218E7}"/>
    <cellStyle name="Normal 2 5 4 2 2 6 3" xfId="11006" xr:uid="{398B3E18-453E-43D4-8371-F7239F1C0994}"/>
    <cellStyle name="Normal 2 5 4 2 2 6 4" xfId="19454" xr:uid="{4DFFEDCC-2627-4717-A51B-B6A9043D6635}"/>
    <cellStyle name="Normal 2 5 4 2 2 7" xfId="4708" xr:uid="{00000000-0005-0000-0000-00002A110000}"/>
    <cellStyle name="Normal 2 5 4 2 2 7 2" xfId="13158" xr:uid="{F9E0CF0C-51D7-4F21-9659-742813AC012E}"/>
    <cellStyle name="Normal 2 5 4 2 2 7 3" xfId="21605" xr:uid="{48E09E23-6B6A-412D-AF63-189ED6E55260}"/>
    <cellStyle name="Normal 2 5 4 2 2 8" xfId="8940" xr:uid="{9278F0F1-D5B3-4288-BCBB-E8B6D7A4D11D}"/>
    <cellStyle name="Normal 2 5 4 2 2 9" xfId="17388" xr:uid="{FCB0AFC6-E1BE-486D-BBAC-339BA189457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A5142A00-43B1-49B3-B493-458A24AA8D98}"/>
    <cellStyle name="Normal 2 5 4 2 3 2 2 3" xfId="24163" xr:uid="{C7E5C5DA-EA83-48E6-9E7D-ED57FE4CB1BB}"/>
    <cellStyle name="Normal 2 5 4 2 3 2 3" xfId="11498" xr:uid="{8A64440F-48CE-4082-A22D-C80E07D2CAD8}"/>
    <cellStyle name="Normal 2 5 4 2 3 2 4" xfId="19946" xr:uid="{47713AF4-3FB3-4B38-A49E-43A608A9B275}"/>
    <cellStyle name="Normal 2 5 4 2 3 3" xfId="5121" xr:uid="{00000000-0005-0000-0000-00002E110000}"/>
    <cellStyle name="Normal 2 5 4 2 3 3 2" xfId="13571" xr:uid="{61823EF8-0E75-4E85-B632-79BFCDBF3B75}"/>
    <cellStyle name="Normal 2 5 4 2 3 3 3" xfId="22018" xr:uid="{D815E03B-2E90-485F-B598-2C59DEC5DC89}"/>
    <cellStyle name="Normal 2 5 4 2 3 4" xfId="9353" xr:uid="{3ADD11C3-5A2D-4419-91B0-D9F32B3E62ED}"/>
    <cellStyle name="Normal 2 5 4 2 3 5" xfId="17801" xr:uid="{16EFFAF0-0E47-47F6-BA86-A1DA3AC5B99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6CAB2730-DD40-4E69-B118-617B062BBCD4}"/>
    <cellStyle name="Normal 2 5 4 2 4 2 2 3" xfId="24576" xr:uid="{BF2534F4-C6C2-494A-8EE2-7EF85E767AC7}"/>
    <cellStyle name="Normal 2 5 4 2 4 2 3" xfId="11911" xr:uid="{D163B16D-2C2F-4974-A515-E0003893BE94}"/>
    <cellStyle name="Normal 2 5 4 2 4 2 4" xfId="20359" xr:uid="{683E22B0-F15D-45AE-8350-7A37D16ACCBA}"/>
    <cellStyle name="Normal 2 5 4 2 4 3" xfId="5534" xr:uid="{00000000-0005-0000-0000-000032110000}"/>
    <cellStyle name="Normal 2 5 4 2 4 3 2" xfId="13984" xr:uid="{FE6D3893-46E7-45DA-A3DE-27CD3238049E}"/>
    <cellStyle name="Normal 2 5 4 2 4 3 3" xfId="22431" xr:uid="{D01A516D-2E1C-4E27-A7CD-944C3F7A3AF0}"/>
    <cellStyle name="Normal 2 5 4 2 4 4" xfId="9766" xr:uid="{D99BFF08-FA69-47CC-8F9B-138BDB136B47}"/>
    <cellStyle name="Normal 2 5 4 2 4 5" xfId="18214" xr:uid="{C97487EE-447C-4273-B9D6-8FC3F2D0A824}"/>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59979AB0-D341-471A-8179-698D76531ACB}"/>
    <cellStyle name="Normal 2 5 4 2 5 2 2 3" xfId="24989" xr:uid="{D773AE35-0956-4C0B-B0C3-AD69514F9B1B}"/>
    <cellStyle name="Normal 2 5 4 2 5 2 3" xfId="12324" xr:uid="{6D2B4F94-EEFB-45CB-B1AA-AF2584B08B5F}"/>
    <cellStyle name="Normal 2 5 4 2 5 2 4" xfId="20772" xr:uid="{1F249ED7-9D6C-4CF1-8421-0872E6BE1B6C}"/>
    <cellStyle name="Normal 2 5 4 2 5 3" xfId="5947" xr:uid="{00000000-0005-0000-0000-000036110000}"/>
    <cellStyle name="Normal 2 5 4 2 5 3 2" xfId="14397" xr:uid="{B371B9EF-A094-4837-A840-BE84AEAE4D0A}"/>
    <cellStyle name="Normal 2 5 4 2 5 3 3" xfId="22844" xr:uid="{AA72D000-DD59-4470-91A8-FDC0C6B1632B}"/>
    <cellStyle name="Normal 2 5 4 2 5 4" xfId="10179" xr:uid="{5FFEEC07-80B6-43A0-95E4-2B3FCF1761C3}"/>
    <cellStyle name="Normal 2 5 4 2 5 5" xfId="18627" xr:uid="{20A99E12-AB7F-4BA5-91BD-938E255A5B8E}"/>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9E70FB1F-D38A-41AF-94CB-2F9CF7C1CE31}"/>
    <cellStyle name="Normal 2 5 4 2 6 2 2 3" xfId="25402" xr:uid="{C01EBB2F-C181-4C3F-934B-FB832A8D4BED}"/>
    <cellStyle name="Normal 2 5 4 2 6 2 3" xfId="12737" xr:uid="{C6B1267F-CA35-4BD5-8DF4-FCFC3F038673}"/>
    <cellStyle name="Normal 2 5 4 2 6 2 4" xfId="21185" xr:uid="{0B1E6C7E-0FBE-44D3-B47A-EA726BFE8093}"/>
    <cellStyle name="Normal 2 5 4 2 6 3" xfId="6360" xr:uid="{00000000-0005-0000-0000-00003A110000}"/>
    <cellStyle name="Normal 2 5 4 2 6 3 2" xfId="14810" xr:uid="{9B6685FC-96A8-4234-A50B-DC5DBEC60E35}"/>
    <cellStyle name="Normal 2 5 4 2 6 3 3" xfId="23257" xr:uid="{09DECD2B-53EA-4DCA-9DE9-342416FBAE0B}"/>
    <cellStyle name="Normal 2 5 4 2 6 4" xfId="10592" xr:uid="{9D1DDAF7-6474-444D-8DFA-AF245AE8E3C1}"/>
    <cellStyle name="Normal 2 5 4 2 6 5" xfId="19040" xr:uid="{06E71696-A3BD-49AF-A89B-C88FDC675E8A}"/>
    <cellStyle name="Normal 2 5 4 2 7" xfId="2490" xr:uid="{00000000-0005-0000-0000-00003B110000}"/>
    <cellStyle name="Normal 2 5 4 2 7 2" xfId="6773" xr:uid="{00000000-0005-0000-0000-00003C110000}"/>
    <cellStyle name="Normal 2 5 4 2 7 2 2" xfId="15223" xr:uid="{D10999AC-2AE8-4371-A606-9CEAB1998937}"/>
    <cellStyle name="Normal 2 5 4 2 7 2 3" xfId="23670" xr:uid="{D72D0CB6-632C-4295-A384-ADC224BBE9EC}"/>
    <cellStyle name="Normal 2 5 4 2 7 3" xfId="11005" xr:uid="{31EC7DE0-CA1A-485B-A4D2-615138C09350}"/>
    <cellStyle name="Normal 2 5 4 2 7 4" xfId="19453" xr:uid="{8A78176B-4B87-43FC-BB10-A0A0D3157A7D}"/>
    <cellStyle name="Normal 2 5 4 2 8" xfId="4707" xr:uid="{00000000-0005-0000-0000-00003D110000}"/>
    <cellStyle name="Normal 2 5 4 2 8 2" xfId="13157" xr:uid="{97700164-4CC0-4D55-99C7-207EDBA0A7EF}"/>
    <cellStyle name="Normal 2 5 4 2 8 3" xfId="21604" xr:uid="{3A39E905-B06B-40D8-A2CF-F579FD78DCD3}"/>
    <cellStyle name="Normal 2 5 4 2 9" xfId="8939" xr:uid="{59BC3C77-17B1-44E1-A39A-884627C6944C}"/>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C81E893C-1D32-467D-A0FA-91DA72175EE1}"/>
    <cellStyle name="Normal 2 5 4 3 2 2 2 3" xfId="24165" xr:uid="{94E4E004-2B6E-49F8-B570-80E822C1D5FE}"/>
    <cellStyle name="Normal 2 5 4 3 2 2 3" xfId="11500" xr:uid="{73E5B32D-452A-4B17-A9D3-934ACF9500FD}"/>
    <cellStyle name="Normal 2 5 4 3 2 2 4" xfId="19948" xr:uid="{9929B0F4-0B4B-4F45-872C-030236BF2A48}"/>
    <cellStyle name="Normal 2 5 4 3 2 3" xfId="5123" xr:uid="{00000000-0005-0000-0000-000042110000}"/>
    <cellStyle name="Normal 2 5 4 3 2 3 2" xfId="13573" xr:uid="{962552BE-E628-432D-B9FF-B61E5DB01C81}"/>
    <cellStyle name="Normal 2 5 4 3 2 3 3" xfId="22020" xr:uid="{68726930-5CCD-47E2-829F-CA81AE9FE13F}"/>
    <cellStyle name="Normal 2 5 4 3 2 4" xfId="9355" xr:uid="{AED0AB45-7DF8-4DE8-8FC1-F0611CEB44BE}"/>
    <cellStyle name="Normal 2 5 4 3 2 5" xfId="17803" xr:uid="{E433D3E5-BC12-4D80-B76A-56CFD95CC79F}"/>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99BEF8BA-C0F0-4123-89D7-158B11C211A0}"/>
    <cellStyle name="Normal 2 5 4 3 3 2 2 3" xfId="24578" xr:uid="{3272BAAD-55A4-4577-AE59-55DF79462497}"/>
    <cellStyle name="Normal 2 5 4 3 3 2 3" xfId="11913" xr:uid="{706DB450-646E-43E0-A703-4AD4FC8254C3}"/>
    <cellStyle name="Normal 2 5 4 3 3 2 4" xfId="20361" xr:uid="{C97B3AC3-B151-4C28-8313-B25AC3F813AD}"/>
    <cellStyle name="Normal 2 5 4 3 3 3" xfId="5536" xr:uid="{00000000-0005-0000-0000-000046110000}"/>
    <cellStyle name="Normal 2 5 4 3 3 3 2" xfId="13986" xr:uid="{88EA59DD-71E7-48DE-96AD-7B5AC4BCF87B}"/>
    <cellStyle name="Normal 2 5 4 3 3 3 3" xfId="22433" xr:uid="{C72FA514-0151-4306-8B76-15F96FAEA131}"/>
    <cellStyle name="Normal 2 5 4 3 3 4" xfId="9768" xr:uid="{05D6DCC6-7BBD-49F4-823A-FE484EDE5775}"/>
    <cellStyle name="Normal 2 5 4 3 3 5" xfId="18216" xr:uid="{4730D89A-D0BE-4BDB-A2EC-CEE5FE3CB827}"/>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316E6918-F91A-4546-94D2-91DDAE416853}"/>
    <cellStyle name="Normal 2 5 4 3 4 2 2 3" xfId="24991" xr:uid="{1917B7B1-DFE1-4C01-82D8-11ECDCA7E7CF}"/>
    <cellStyle name="Normal 2 5 4 3 4 2 3" xfId="12326" xr:uid="{D36DED0F-38D3-47A7-9DF1-435376AB7B28}"/>
    <cellStyle name="Normal 2 5 4 3 4 2 4" xfId="20774" xr:uid="{15805C8E-D416-4023-9B6F-81D7CBE0F0AF}"/>
    <cellStyle name="Normal 2 5 4 3 4 3" xfId="5949" xr:uid="{00000000-0005-0000-0000-00004A110000}"/>
    <cellStyle name="Normal 2 5 4 3 4 3 2" xfId="14399" xr:uid="{2E7E3F74-6D88-465C-971B-D70873CD7570}"/>
    <cellStyle name="Normal 2 5 4 3 4 3 3" xfId="22846" xr:uid="{E74EB10D-AC21-46E5-B151-9DDBF70F1B1E}"/>
    <cellStyle name="Normal 2 5 4 3 4 4" xfId="10181" xr:uid="{5C66035E-4187-4F6A-917B-C882A507BF05}"/>
    <cellStyle name="Normal 2 5 4 3 4 5" xfId="18629" xr:uid="{56BA4305-73BB-47C7-9542-8F8746590CCC}"/>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AD250CEA-AEEA-4B5C-AD8E-C590628339AD}"/>
    <cellStyle name="Normal 2 5 4 3 5 2 2 3" xfId="25404" xr:uid="{D75CED91-376A-4F9F-AE7E-92561E877D7E}"/>
    <cellStyle name="Normal 2 5 4 3 5 2 3" xfId="12739" xr:uid="{8C99CD20-BAC4-4C29-8E92-6B00F5EE8E58}"/>
    <cellStyle name="Normal 2 5 4 3 5 2 4" xfId="21187" xr:uid="{DA2A028D-1673-4DF0-A37E-C892527C4722}"/>
    <cellStyle name="Normal 2 5 4 3 5 3" xfId="6362" xr:uid="{00000000-0005-0000-0000-00004E110000}"/>
    <cellStyle name="Normal 2 5 4 3 5 3 2" xfId="14812" xr:uid="{AC7D0DDC-CE63-4DEF-907F-C05027CE1AB7}"/>
    <cellStyle name="Normal 2 5 4 3 5 3 3" xfId="23259" xr:uid="{9C26F683-DA1C-4D27-A448-3BE4A8535DE4}"/>
    <cellStyle name="Normal 2 5 4 3 5 4" xfId="10594" xr:uid="{6A5CA18B-9282-4763-A0BB-0F865599E5A4}"/>
    <cellStyle name="Normal 2 5 4 3 5 5" xfId="19042" xr:uid="{DDF27190-C064-4AE4-8F70-ADFE2DA6C977}"/>
    <cellStyle name="Normal 2 5 4 3 6" xfId="2492" xr:uid="{00000000-0005-0000-0000-00004F110000}"/>
    <cellStyle name="Normal 2 5 4 3 6 2" xfId="6775" xr:uid="{00000000-0005-0000-0000-000050110000}"/>
    <cellStyle name="Normal 2 5 4 3 6 2 2" xfId="15225" xr:uid="{4D71D1ED-7C0E-47C0-9941-18CA23C25D61}"/>
    <cellStyle name="Normal 2 5 4 3 6 2 3" xfId="23672" xr:uid="{E0FE3B62-345D-4B3B-A352-637B2980B8F6}"/>
    <cellStyle name="Normal 2 5 4 3 6 3" xfId="11007" xr:uid="{68221F51-600E-48CA-923D-63CC49EE7168}"/>
    <cellStyle name="Normal 2 5 4 3 6 4" xfId="19455" xr:uid="{68F2176E-FA51-4597-BC06-5623A4F7F912}"/>
    <cellStyle name="Normal 2 5 4 3 7" xfId="4709" xr:uid="{00000000-0005-0000-0000-000051110000}"/>
    <cellStyle name="Normal 2 5 4 3 7 2" xfId="13159" xr:uid="{4052C905-4A1E-495B-8EA3-5732E4668BAC}"/>
    <cellStyle name="Normal 2 5 4 3 7 3" xfId="21606" xr:uid="{4AE00CA5-CB43-4625-B0AF-5A7F27724DBD}"/>
    <cellStyle name="Normal 2 5 4 3 8" xfId="8941" xr:uid="{90C9635B-9D99-420E-AFF7-52CCED5F12F0}"/>
    <cellStyle name="Normal 2 5 4 3 9" xfId="17389" xr:uid="{7735319D-B6DC-47A6-A91B-C68788041AFA}"/>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47E9C675-58A9-4C08-A499-0ACF43F71160}"/>
    <cellStyle name="Normal 2 5 4 4 2 2 3" xfId="24162" xr:uid="{9AE69203-4228-42C0-B576-2BD4A818E935}"/>
    <cellStyle name="Normal 2 5 4 4 2 3" xfId="11497" xr:uid="{C955DB24-E322-4136-8C45-81338E658F11}"/>
    <cellStyle name="Normal 2 5 4 4 2 4" xfId="19945" xr:uid="{898C239C-B158-4680-9788-EE134E33EBFE}"/>
    <cellStyle name="Normal 2 5 4 4 3" xfId="5120" xr:uid="{00000000-0005-0000-0000-000055110000}"/>
    <cellStyle name="Normal 2 5 4 4 3 2" xfId="13570" xr:uid="{26B36B4C-A5E1-4C3A-A048-60388F00C3F4}"/>
    <cellStyle name="Normal 2 5 4 4 3 3" xfId="22017" xr:uid="{1C142F64-F5B0-4133-87C7-8C46DA4FC501}"/>
    <cellStyle name="Normal 2 5 4 4 4" xfId="9352" xr:uid="{177F35EF-3E7F-419C-9238-7BC36BF6B2FB}"/>
    <cellStyle name="Normal 2 5 4 4 5" xfId="17800" xr:uid="{09A6D789-29BD-49D7-AD2F-892CAED269BB}"/>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0644F53F-BD9A-416F-9041-BD5D19376A92}"/>
    <cellStyle name="Normal 2 5 4 5 2 2 3" xfId="24575" xr:uid="{B307FF67-F8EA-4CC6-B587-88F94BFE05DC}"/>
    <cellStyle name="Normal 2 5 4 5 2 3" xfId="11910" xr:uid="{95EBF597-92C4-40DE-8002-A8F91677E903}"/>
    <cellStyle name="Normal 2 5 4 5 2 4" xfId="20358" xr:uid="{9CED9D37-F1C3-4735-AF27-D3F183BF61C0}"/>
    <cellStyle name="Normal 2 5 4 5 3" xfId="5533" xr:uid="{00000000-0005-0000-0000-000059110000}"/>
    <cellStyle name="Normal 2 5 4 5 3 2" xfId="13983" xr:uid="{4DB58A7E-C998-49DB-A466-1F5056E00C2B}"/>
    <cellStyle name="Normal 2 5 4 5 3 3" xfId="22430" xr:uid="{4776A66A-E5B9-4BBF-9B67-4799376EAD30}"/>
    <cellStyle name="Normal 2 5 4 5 4" xfId="9765" xr:uid="{C9A0FBBA-D6E1-42A0-B7FC-DA0A05438E64}"/>
    <cellStyle name="Normal 2 5 4 5 5" xfId="18213" xr:uid="{90ED978A-3FE0-4509-91C8-8FEF48F56B5C}"/>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7B817A7F-A99A-48D9-8EEA-115A7865D4A1}"/>
    <cellStyle name="Normal 2 5 4 6 2 2 3" xfId="24988" xr:uid="{55E4346F-0DB1-4C7B-9AAC-D4CABE2CCF7F}"/>
    <cellStyle name="Normal 2 5 4 6 2 3" xfId="12323" xr:uid="{4BA773EA-D628-43F1-9360-9D8759B6E159}"/>
    <cellStyle name="Normal 2 5 4 6 2 4" xfId="20771" xr:uid="{60456EEF-718E-4B73-9874-0038B7365267}"/>
    <cellStyle name="Normal 2 5 4 6 3" xfId="5946" xr:uid="{00000000-0005-0000-0000-00005D110000}"/>
    <cellStyle name="Normal 2 5 4 6 3 2" xfId="14396" xr:uid="{B2A5876C-7B4B-4C2B-B0C1-DC0D41A8A1CC}"/>
    <cellStyle name="Normal 2 5 4 6 3 3" xfId="22843" xr:uid="{9EEA0682-F02B-4FA2-966A-D44C9EEF83C3}"/>
    <cellStyle name="Normal 2 5 4 6 4" xfId="10178" xr:uid="{F511023E-4B96-4E93-9CB8-6563E8FC84CA}"/>
    <cellStyle name="Normal 2 5 4 6 5" xfId="18626" xr:uid="{AA7E1A6A-8B73-4423-9C6C-6D89E6F7B5F6}"/>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19E327E7-D140-4289-A991-010C558CE5D2}"/>
    <cellStyle name="Normal 2 5 4 7 2 2 3" xfId="25401" xr:uid="{1D2FADFF-C199-4DE1-BB96-E826980082F5}"/>
    <cellStyle name="Normal 2 5 4 7 2 3" xfId="12736" xr:uid="{532117EE-1B31-4D63-B5DC-FA5FC4043B8C}"/>
    <cellStyle name="Normal 2 5 4 7 2 4" xfId="21184" xr:uid="{E9C1ECE9-4815-40AE-96FF-DA8E3236D44F}"/>
    <cellStyle name="Normal 2 5 4 7 3" xfId="6359" xr:uid="{00000000-0005-0000-0000-000061110000}"/>
    <cellStyle name="Normal 2 5 4 7 3 2" xfId="14809" xr:uid="{66F2608B-D4C1-4C90-9FAD-D6A1DB95AC1C}"/>
    <cellStyle name="Normal 2 5 4 7 3 3" xfId="23256" xr:uid="{107B6621-659C-46D9-980C-651F151887BB}"/>
    <cellStyle name="Normal 2 5 4 7 4" xfId="10591" xr:uid="{53AA94DB-79D6-462E-9CD9-3B55A6A457F7}"/>
    <cellStyle name="Normal 2 5 4 7 5" xfId="19039" xr:uid="{F0D5A3D5-D543-4A2C-936C-05602F59C1E9}"/>
    <cellStyle name="Normal 2 5 4 8" xfId="2489" xr:uid="{00000000-0005-0000-0000-000062110000}"/>
    <cellStyle name="Normal 2 5 4 8 2" xfId="6772" xr:uid="{00000000-0005-0000-0000-000063110000}"/>
    <cellStyle name="Normal 2 5 4 8 2 2" xfId="15222" xr:uid="{5684BA02-AA4A-4598-83FF-4568620CC1CB}"/>
    <cellStyle name="Normal 2 5 4 8 2 3" xfId="23669" xr:uid="{00C3C437-8D16-4F4C-97B0-1B68C56523A8}"/>
    <cellStyle name="Normal 2 5 4 8 3" xfId="11004" xr:uid="{0E64631F-E0E7-45E0-B67D-CBF01594A0F2}"/>
    <cellStyle name="Normal 2 5 4 8 4" xfId="19452" xr:uid="{2B7AEDA0-86D2-4A98-B33A-998FC5D751FC}"/>
    <cellStyle name="Normal 2 5 4 9" xfId="4706" xr:uid="{00000000-0005-0000-0000-000064110000}"/>
    <cellStyle name="Normal 2 5 4 9 2" xfId="13156" xr:uid="{529278C2-E647-465C-B06C-7AB28BDB5A1F}"/>
    <cellStyle name="Normal 2 5 4 9 3" xfId="21603" xr:uid="{815FA827-CF21-4AF0-AD25-8D49D6A90405}"/>
    <cellStyle name="Normal 2 5 5" xfId="803" xr:uid="{00000000-0005-0000-0000-000065110000}"/>
    <cellStyle name="Normal 2 5 5 2" xfId="3042" xr:uid="{00000000-0005-0000-0000-000066110000}"/>
    <cellStyle name="Normal 2 5 5 2 2" xfId="7264" xr:uid="{00000000-0005-0000-0000-000067110000}"/>
    <cellStyle name="Normal 2 5 5 2 2 2" xfId="15714" xr:uid="{B47BA3A6-2990-4CDE-B64E-54701AC26C52}"/>
    <cellStyle name="Normal 2 5 5 2 2 3" xfId="24161" xr:uid="{C1421F05-E625-48AF-9F53-417B01C1431B}"/>
    <cellStyle name="Normal 2 5 5 2 3" xfId="11496" xr:uid="{8DC119AE-BD3E-4647-8F08-9AED23725163}"/>
    <cellStyle name="Normal 2 5 5 2 4" xfId="19944" xr:uid="{6B233B5D-FE9A-4B45-8FD3-050F43AC67A6}"/>
    <cellStyle name="Normal 2 5 5 3" xfId="5119" xr:uid="{00000000-0005-0000-0000-000068110000}"/>
    <cellStyle name="Normal 2 5 5 3 2" xfId="13569" xr:uid="{4533C342-BF0C-4053-9F51-1A810478ACAF}"/>
    <cellStyle name="Normal 2 5 5 3 3" xfId="22016" xr:uid="{4E38F19C-62F4-48DF-A1D6-530D4E9CD580}"/>
    <cellStyle name="Normal 2 5 5 4" xfId="9351" xr:uid="{291D0F79-C81B-4428-929B-9F94A45F813A}"/>
    <cellStyle name="Normal 2 5 5 5" xfId="17799" xr:uid="{5D5D90E4-5961-4A50-81FE-3B991809D9BD}"/>
    <cellStyle name="Normal 2 5 6" xfId="1225" xr:uid="{00000000-0005-0000-0000-000069110000}"/>
    <cellStyle name="Normal 2 5 6 2" xfId="3455" xr:uid="{00000000-0005-0000-0000-00006A110000}"/>
    <cellStyle name="Normal 2 5 6 2 2" xfId="7677" xr:uid="{00000000-0005-0000-0000-00006B110000}"/>
    <cellStyle name="Normal 2 5 6 2 2 2" xfId="16127" xr:uid="{D53E4D90-319F-4163-90DF-8FFD9A3BB8D9}"/>
    <cellStyle name="Normal 2 5 6 2 2 3" xfId="24574" xr:uid="{B2CFD920-7BC4-4974-9BFA-B5978EE6A725}"/>
    <cellStyle name="Normal 2 5 6 2 3" xfId="11909" xr:uid="{7945EADB-84EA-4E1D-8C41-8A4A2287A53C}"/>
    <cellStyle name="Normal 2 5 6 2 4" xfId="20357" xr:uid="{789680AB-5924-400F-B317-7DE4D7802800}"/>
    <cellStyle name="Normal 2 5 6 3" xfId="5532" xr:uid="{00000000-0005-0000-0000-00006C110000}"/>
    <cellStyle name="Normal 2 5 6 3 2" xfId="13982" xr:uid="{09F0DE3F-A0EC-42EC-9050-8A3A636C5FF6}"/>
    <cellStyle name="Normal 2 5 6 3 3" xfId="22429" xr:uid="{AEBE5196-AA1B-4415-8E34-BC0A7EC8A11B}"/>
    <cellStyle name="Normal 2 5 6 4" xfId="9764" xr:uid="{5CC79327-3D0E-4525-ACB6-BA0550C9D4AA}"/>
    <cellStyle name="Normal 2 5 6 5" xfId="18212" xr:uid="{D1534471-D0B8-4BF9-8C6B-92B621A5A674}"/>
    <cellStyle name="Normal 2 5 7" xfId="1638" xr:uid="{00000000-0005-0000-0000-00006D110000}"/>
    <cellStyle name="Normal 2 5 7 2" xfId="3868" xr:uid="{00000000-0005-0000-0000-00006E110000}"/>
    <cellStyle name="Normal 2 5 7 2 2" xfId="8090" xr:uid="{00000000-0005-0000-0000-00006F110000}"/>
    <cellStyle name="Normal 2 5 7 2 2 2" xfId="16540" xr:uid="{B9AB39AD-995F-4051-BB8D-6EBF46C1F56C}"/>
    <cellStyle name="Normal 2 5 7 2 2 3" xfId="24987" xr:uid="{84255F95-2737-40C8-8E98-516B5E1CC56D}"/>
    <cellStyle name="Normal 2 5 7 2 3" xfId="12322" xr:uid="{05D99576-9A2B-4BDD-A4C6-47B692F882DF}"/>
    <cellStyle name="Normal 2 5 7 2 4" xfId="20770" xr:uid="{5FCE3AB1-3142-476C-9DA7-F56F887285E3}"/>
    <cellStyle name="Normal 2 5 7 3" xfId="5945" xr:uid="{00000000-0005-0000-0000-000070110000}"/>
    <cellStyle name="Normal 2 5 7 3 2" xfId="14395" xr:uid="{3229FF0C-3CDE-448A-B213-AD4FF7E8E952}"/>
    <cellStyle name="Normal 2 5 7 3 3" xfId="22842" xr:uid="{812AE635-B0B6-4C51-B634-6ACC39E41D71}"/>
    <cellStyle name="Normal 2 5 7 4" xfId="10177" xr:uid="{AAF0BFB1-A1A5-43B3-9E76-120CE03419AA}"/>
    <cellStyle name="Normal 2 5 7 5" xfId="18625" xr:uid="{B0A52EF7-FB46-4EF0-BE07-D36C30B8E2E3}"/>
    <cellStyle name="Normal 2 5 8" xfId="2052" xr:uid="{00000000-0005-0000-0000-000071110000}"/>
    <cellStyle name="Normal 2 5 8 2" xfId="4281" xr:uid="{00000000-0005-0000-0000-000072110000}"/>
    <cellStyle name="Normal 2 5 8 2 2" xfId="8503" xr:uid="{00000000-0005-0000-0000-000073110000}"/>
    <cellStyle name="Normal 2 5 8 2 2 2" xfId="16953" xr:uid="{4170EB28-1004-462C-A59E-96885F5809A6}"/>
    <cellStyle name="Normal 2 5 8 2 2 3" xfId="25400" xr:uid="{E3491536-E312-4551-8B97-AB4D8722CA14}"/>
    <cellStyle name="Normal 2 5 8 2 3" xfId="12735" xr:uid="{8D0EE38B-D536-4A24-9E34-4D1A665A260B}"/>
    <cellStyle name="Normal 2 5 8 2 4" xfId="21183" xr:uid="{A853CBF4-2C2C-4B1F-BFB7-DC49D559F7DB}"/>
    <cellStyle name="Normal 2 5 8 3" xfId="6358" xr:uid="{00000000-0005-0000-0000-000074110000}"/>
    <cellStyle name="Normal 2 5 8 3 2" xfId="14808" xr:uid="{30DE3A8C-3F2C-4BB7-BA1F-9AD57DF7A8D3}"/>
    <cellStyle name="Normal 2 5 8 3 3" xfId="23255" xr:uid="{C2533C45-4396-4FD9-A313-FC4DFF2544FA}"/>
    <cellStyle name="Normal 2 5 8 4" xfId="10590" xr:uid="{32EEF513-08A6-4883-AA9A-6942CFD3C665}"/>
    <cellStyle name="Normal 2 5 8 5" xfId="19038" xr:uid="{5E5AEF18-A58D-4DEF-A1BC-3ECF161BA40B}"/>
    <cellStyle name="Normal 2 5 9" xfId="2488" xr:uid="{00000000-0005-0000-0000-000075110000}"/>
    <cellStyle name="Normal 2 5 9 2" xfId="6771" xr:uid="{00000000-0005-0000-0000-000076110000}"/>
    <cellStyle name="Normal 2 5 9 2 2" xfId="15221" xr:uid="{A27290A5-1D05-41CC-953C-6AF63513E255}"/>
    <cellStyle name="Normal 2 5 9 2 3" xfId="23668" xr:uid="{1AB29D8F-AE90-40AD-AE16-E9E620F7B8C2}"/>
    <cellStyle name="Normal 2 5 9 3" xfId="11003" xr:uid="{F8AC6EF8-5D2A-4C32-94B3-B186D23F0F2F}"/>
    <cellStyle name="Normal 2 5 9 4" xfId="19451" xr:uid="{95FF52C5-39F6-4044-9FEF-8A3DDE31A5AC}"/>
    <cellStyle name="Normal 2 6" xfId="322" xr:uid="{00000000-0005-0000-0000-000077110000}"/>
    <cellStyle name="Normal 2 7" xfId="769" xr:uid="{00000000-0005-0000-0000-000078110000}"/>
    <cellStyle name="Normal 2 8" xfId="4495" xr:uid="{00000000-0005-0000-0000-000079110000}"/>
    <cellStyle name="Normal 2 8 2" xfId="12947" xr:uid="{A7F8DA54-9E70-4DA3-A610-542C80CA4BDB}"/>
    <cellStyle name="Normal 3" xfId="323" xr:uid="{00000000-0005-0000-0000-00007A110000}"/>
    <cellStyle name="Normal 3 2" xfId="324" xr:uid="{00000000-0005-0000-0000-00007B110000}"/>
    <cellStyle name="Normal 3 2 10" xfId="8942" xr:uid="{10285D3A-5E3A-4381-995F-56E110EC4EB2}"/>
    <cellStyle name="Normal 3 2 11" xfId="17390" xr:uid="{41ADDD15-0048-4F53-8905-E7D05D1B637D}"/>
    <cellStyle name="Normal 3 2 2" xfId="325" xr:uid="{00000000-0005-0000-0000-00007C110000}"/>
    <cellStyle name="Normal 3 2 2 2" xfId="810" xr:uid="{00000000-0005-0000-0000-00007D110000}"/>
    <cellStyle name="Normal 3 2 3" xfId="326" xr:uid="{00000000-0005-0000-0000-00007E110000}"/>
    <cellStyle name="Normal 3 2 3 10" xfId="8943" xr:uid="{32C7ACB8-613D-4BD4-9E9E-BE848562B50D}"/>
    <cellStyle name="Normal 3 2 3 11" xfId="17391" xr:uid="{CD05CF52-BD91-4ABD-9093-291C64DA1E4F}"/>
    <cellStyle name="Normal 3 2 3 2" xfId="327" xr:uid="{00000000-0005-0000-0000-00007F110000}"/>
    <cellStyle name="Normal 3 2 3 2 10" xfId="17392" xr:uid="{33CF9EEF-DB0F-4812-BE15-D26B45F20F1C}"/>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171777EA-2AED-4668-93EC-5F0A7A24CF03}"/>
    <cellStyle name="Normal 3 2 3 2 2 2 2 2 3" xfId="24169" xr:uid="{3B2BE15C-E38E-4B38-A204-9F02296D919E}"/>
    <cellStyle name="Normal 3 2 3 2 2 2 2 3" xfId="11504" xr:uid="{1F521DA0-F2A1-44F3-B442-8C1BECF8271F}"/>
    <cellStyle name="Normal 3 2 3 2 2 2 2 4" xfId="19952" xr:uid="{2F54F017-AEFF-4413-B892-418B6428E66B}"/>
    <cellStyle name="Normal 3 2 3 2 2 2 3" xfId="5127" xr:uid="{00000000-0005-0000-0000-000084110000}"/>
    <cellStyle name="Normal 3 2 3 2 2 2 3 2" xfId="13577" xr:uid="{3E79FEB5-C0A8-4F95-95BB-5E9F1892EDC5}"/>
    <cellStyle name="Normal 3 2 3 2 2 2 3 3" xfId="22024" xr:uid="{EE47B189-F46F-428D-A7FF-B96CE3B9EE2C}"/>
    <cellStyle name="Normal 3 2 3 2 2 2 4" xfId="9359" xr:uid="{24B54091-399B-4BEE-9A79-012201A6E979}"/>
    <cellStyle name="Normal 3 2 3 2 2 2 5" xfId="17807" xr:uid="{CCCD1581-B560-49AB-9DBC-187F989E4DE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7F10C78A-3DCE-4B4E-8D3C-E738E773B58A}"/>
    <cellStyle name="Normal 3 2 3 2 2 3 2 2 3" xfId="24582" xr:uid="{3D3A85C9-6944-4C34-B9E5-C2B43D2AF01E}"/>
    <cellStyle name="Normal 3 2 3 2 2 3 2 3" xfId="11917" xr:uid="{EBA525FE-784D-43EE-944D-F0B928450147}"/>
    <cellStyle name="Normal 3 2 3 2 2 3 2 4" xfId="20365" xr:uid="{4E7D7C8B-D32D-45F5-B988-A9E5D8E7FCF5}"/>
    <cellStyle name="Normal 3 2 3 2 2 3 3" xfId="5540" xr:uid="{00000000-0005-0000-0000-000088110000}"/>
    <cellStyle name="Normal 3 2 3 2 2 3 3 2" xfId="13990" xr:uid="{3AF8C68A-2B84-4211-BCB6-5C8414806034}"/>
    <cellStyle name="Normal 3 2 3 2 2 3 3 3" xfId="22437" xr:uid="{45C59036-0D1C-4F4F-9162-AA79492C567C}"/>
    <cellStyle name="Normal 3 2 3 2 2 3 4" xfId="9772" xr:uid="{A455CD24-694D-4C7D-8801-5EBBD31D8903}"/>
    <cellStyle name="Normal 3 2 3 2 2 3 5" xfId="18220" xr:uid="{BAFE808D-9385-4FF6-A0A9-977948624805}"/>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13AE5C34-009C-4ED6-9551-7FA12CB89B81}"/>
    <cellStyle name="Normal 3 2 3 2 2 4 2 2 3" xfId="24995" xr:uid="{5A98D80C-41F8-4102-9140-4834A7614646}"/>
    <cellStyle name="Normal 3 2 3 2 2 4 2 3" xfId="12330" xr:uid="{8AC3CE4A-4400-4376-9F6F-79BB5EBCB905}"/>
    <cellStyle name="Normal 3 2 3 2 2 4 2 4" xfId="20778" xr:uid="{9D5A751A-D902-46A4-A4D6-4DBF2E8EE1FD}"/>
    <cellStyle name="Normal 3 2 3 2 2 4 3" xfId="5953" xr:uid="{00000000-0005-0000-0000-00008C110000}"/>
    <cellStyle name="Normal 3 2 3 2 2 4 3 2" xfId="14403" xr:uid="{DAB25DFA-3CE6-47DD-9735-A0D0E2F33235}"/>
    <cellStyle name="Normal 3 2 3 2 2 4 3 3" xfId="22850" xr:uid="{34720F78-95B5-4F51-AC4A-DE500EE14182}"/>
    <cellStyle name="Normal 3 2 3 2 2 4 4" xfId="10185" xr:uid="{970E9BCA-0106-4364-A577-F0762EC5793B}"/>
    <cellStyle name="Normal 3 2 3 2 2 4 5" xfId="18633" xr:uid="{D9BA0668-1477-43C5-BAD1-1B6DA2F4E1F6}"/>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58E5257C-BF52-4222-981D-AB64B86EA363}"/>
    <cellStyle name="Normal 3 2 3 2 2 5 2 2 3" xfId="25408" xr:uid="{D564E4E0-7DBB-4581-9B42-2CFA9E9CB1A8}"/>
    <cellStyle name="Normal 3 2 3 2 2 5 2 3" xfId="12743" xr:uid="{9D95092D-8513-439D-AC88-9E93728C084B}"/>
    <cellStyle name="Normal 3 2 3 2 2 5 2 4" xfId="21191" xr:uid="{88597F0C-0AF8-4402-B107-59A99594D36B}"/>
    <cellStyle name="Normal 3 2 3 2 2 5 3" xfId="6366" xr:uid="{00000000-0005-0000-0000-000090110000}"/>
    <cellStyle name="Normal 3 2 3 2 2 5 3 2" xfId="14816" xr:uid="{CA5723E3-494A-4836-A85A-1CE4CCFE4D2D}"/>
    <cellStyle name="Normal 3 2 3 2 2 5 3 3" xfId="23263" xr:uid="{20107F10-23FC-4783-96A5-1AFF99AD5712}"/>
    <cellStyle name="Normal 3 2 3 2 2 5 4" xfId="10598" xr:uid="{3BE3498B-F29C-4AAE-9046-9EFAEA68DD99}"/>
    <cellStyle name="Normal 3 2 3 2 2 5 5" xfId="19046" xr:uid="{6ED31217-FEC9-4F6F-9FC6-45129672DB05}"/>
    <cellStyle name="Normal 3 2 3 2 2 6" xfId="2496" xr:uid="{00000000-0005-0000-0000-000091110000}"/>
    <cellStyle name="Normal 3 2 3 2 2 6 2" xfId="6779" xr:uid="{00000000-0005-0000-0000-000092110000}"/>
    <cellStyle name="Normal 3 2 3 2 2 6 2 2" xfId="15229" xr:uid="{A540F3C7-8EBE-45B2-A460-0D1E4A29043E}"/>
    <cellStyle name="Normal 3 2 3 2 2 6 2 3" xfId="23676" xr:uid="{07DA5A22-30C4-4A2F-B67C-AD965554B58E}"/>
    <cellStyle name="Normal 3 2 3 2 2 6 3" xfId="11011" xr:uid="{8AE781E1-3714-4EF5-A8F6-A93D2DF00BDD}"/>
    <cellStyle name="Normal 3 2 3 2 2 6 4" xfId="19459" xr:uid="{5B42340C-B9AE-4D09-A8A5-F7B7D8D969E4}"/>
    <cellStyle name="Normal 3 2 3 2 2 7" xfId="4713" xr:uid="{00000000-0005-0000-0000-000093110000}"/>
    <cellStyle name="Normal 3 2 3 2 2 7 2" xfId="13163" xr:uid="{79EDAAC7-2B4E-4FF4-A3E2-522D073C777C}"/>
    <cellStyle name="Normal 3 2 3 2 2 7 3" xfId="21610" xr:uid="{E958406B-5CA6-4F0E-B3A1-B1F069D894E1}"/>
    <cellStyle name="Normal 3 2 3 2 2 8" xfId="8945" xr:uid="{4A43742E-5ADA-4D9A-B50A-BA7A45F7E2F2}"/>
    <cellStyle name="Normal 3 2 3 2 2 9" xfId="17393" xr:uid="{F2A200C1-4936-42D7-AB71-183D11276E2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DE336A50-D21E-4361-B90B-53E8613FC6F2}"/>
    <cellStyle name="Normal 3 2 3 2 3 2 2 3" xfId="24168" xr:uid="{37AD85A8-6831-4439-A067-684B84ACF294}"/>
    <cellStyle name="Normal 3 2 3 2 3 2 3" xfId="11503" xr:uid="{BC4FAA7F-8B91-439C-9BE6-5BD4C6624FC1}"/>
    <cellStyle name="Normal 3 2 3 2 3 2 4" xfId="19951" xr:uid="{1D2C6DE4-63B0-4887-B505-D08FAAE9E8A3}"/>
    <cellStyle name="Normal 3 2 3 2 3 3" xfId="5126" xr:uid="{00000000-0005-0000-0000-000097110000}"/>
    <cellStyle name="Normal 3 2 3 2 3 3 2" xfId="13576" xr:uid="{B8135334-4BCA-413C-9BE3-2FAC1C6F2655}"/>
    <cellStyle name="Normal 3 2 3 2 3 3 3" xfId="22023" xr:uid="{34B215F1-B67C-4F0D-BB2D-77A456BFB563}"/>
    <cellStyle name="Normal 3 2 3 2 3 4" xfId="9358" xr:uid="{C774599D-9B9F-4C28-8FED-38EB828D037D}"/>
    <cellStyle name="Normal 3 2 3 2 3 5" xfId="17806" xr:uid="{C7607722-63D4-4D84-B4B9-A705DCA5427F}"/>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AAE1041E-17C1-4826-8601-3CC6F556DE8B}"/>
    <cellStyle name="Normal 3 2 3 2 4 2 2 3" xfId="24581" xr:uid="{839F6041-22DE-4D2B-A921-EF3620E95C54}"/>
    <cellStyle name="Normal 3 2 3 2 4 2 3" xfId="11916" xr:uid="{8C258151-3F5E-4680-99DC-7089D95BD344}"/>
    <cellStyle name="Normal 3 2 3 2 4 2 4" xfId="20364" xr:uid="{C21222D8-9161-46A7-B6BA-56E24007E0F2}"/>
    <cellStyle name="Normal 3 2 3 2 4 3" xfId="5539" xr:uid="{00000000-0005-0000-0000-00009B110000}"/>
    <cellStyle name="Normal 3 2 3 2 4 3 2" xfId="13989" xr:uid="{2FC65955-6010-4BA4-9699-DF93475A7DD6}"/>
    <cellStyle name="Normal 3 2 3 2 4 3 3" xfId="22436" xr:uid="{A0CF56DB-4266-4800-8A44-7F2664C14D1D}"/>
    <cellStyle name="Normal 3 2 3 2 4 4" xfId="9771" xr:uid="{C240A6F1-EFF4-4CBD-AC6A-5DD93A8E90C2}"/>
    <cellStyle name="Normal 3 2 3 2 4 5" xfId="18219" xr:uid="{AFB9F522-1E22-48C7-B21A-BE69DB471E90}"/>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7741ECD4-E82C-40EC-939F-FFB81E19A719}"/>
    <cellStyle name="Normal 3 2 3 2 5 2 2 3" xfId="24994" xr:uid="{53E030F1-76FB-4431-B9B0-3CA860AEA06B}"/>
    <cellStyle name="Normal 3 2 3 2 5 2 3" xfId="12329" xr:uid="{4AF2E8DD-CAF2-4941-87D4-58E42B70D01C}"/>
    <cellStyle name="Normal 3 2 3 2 5 2 4" xfId="20777" xr:uid="{1F7A1331-534E-4045-BA32-0E55542329E3}"/>
    <cellStyle name="Normal 3 2 3 2 5 3" xfId="5952" xr:uid="{00000000-0005-0000-0000-00009F110000}"/>
    <cellStyle name="Normal 3 2 3 2 5 3 2" xfId="14402" xr:uid="{F240824F-8074-46A0-9FB5-663FDC4F1B10}"/>
    <cellStyle name="Normal 3 2 3 2 5 3 3" xfId="22849" xr:uid="{102F16B9-D9CF-4C29-8CFC-A2128CBB5116}"/>
    <cellStyle name="Normal 3 2 3 2 5 4" xfId="10184" xr:uid="{ECD61433-C904-4671-B013-086D29C80AE1}"/>
    <cellStyle name="Normal 3 2 3 2 5 5" xfId="18632" xr:uid="{B6B25A8B-4424-41D0-AB0B-F6996EC7D167}"/>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537C418A-02C5-4345-A790-2AC7F3EB944E}"/>
    <cellStyle name="Normal 3 2 3 2 6 2 2 3" xfId="25407" xr:uid="{5F88D1DF-6358-45A1-AA9B-4BFA5BC577D4}"/>
    <cellStyle name="Normal 3 2 3 2 6 2 3" xfId="12742" xr:uid="{994E01B2-BD60-43EF-8AB4-7E359C91D001}"/>
    <cellStyle name="Normal 3 2 3 2 6 2 4" xfId="21190" xr:uid="{432D0BE8-A102-42D8-9124-ADC0E68188E4}"/>
    <cellStyle name="Normal 3 2 3 2 6 3" xfId="6365" xr:uid="{00000000-0005-0000-0000-0000A3110000}"/>
    <cellStyle name="Normal 3 2 3 2 6 3 2" xfId="14815" xr:uid="{50406FB6-B606-462B-8C3F-EEA120056772}"/>
    <cellStyle name="Normal 3 2 3 2 6 3 3" xfId="23262" xr:uid="{BD8CE6B7-A134-4C3F-AEA9-D5BDB01E97A5}"/>
    <cellStyle name="Normal 3 2 3 2 6 4" xfId="10597" xr:uid="{CCB3C9E8-AA35-4ABA-9599-8CCA6F70F717}"/>
    <cellStyle name="Normal 3 2 3 2 6 5" xfId="19045" xr:uid="{F12023A7-2B27-4A22-9BFD-09AD5735FFEE}"/>
    <cellStyle name="Normal 3 2 3 2 7" xfId="2495" xr:uid="{00000000-0005-0000-0000-0000A4110000}"/>
    <cellStyle name="Normal 3 2 3 2 7 2" xfId="6778" xr:uid="{00000000-0005-0000-0000-0000A5110000}"/>
    <cellStyle name="Normal 3 2 3 2 7 2 2" xfId="15228" xr:uid="{136D2131-CBEE-4B3A-8224-007E23108EF4}"/>
    <cellStyle name="Normal 3 2 3 2 7 2 3" xfId="23675" xr:uid="{BFEAEC34-4B70-4B55-9D6C-77A764BD59D7}"/>
    <cellStyle name="Normal 3 2 3 2 7 3" xfId="11010" xr:uid="{9ED74376-8C9C-49EC-AA96-22FE7E34CF2D}"/>
    <cellStyle name="Normal 3 2 3 2 7 4" xfId="19458" xr:uid="{A9E04381-440C-45CC-B905-454EB2C470E5}"/>
    <cellStyle name="Normal 3 2 3 2 8" xfId="4712" xr:uid="{00000000-0005-0000-0000-0000A6110000}"/>
    <cellStyle name="Normal 3 2 3 2 8 2" xfId="13162" xr:uid="{32BD4E13-E322-42C1-BEF4-B442CB11D793}"/>
    <cellStyle name="Normal 3 2 3 2 8 3" xfId="21609" xr:uid="{01DC688A-AC4A-460B-8A42-DE75F8F32EFD}"/>
    <cellStyle name="Normal 3 2 3 2 9" xfId="8944" xr:uid="{DFDF85F8-023D-4407-A1B6-52C0C7CEEFEA}"/>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B51796EC-B95B-4B59-A2A9-59ED092A4024}"/>
    <cellStyle name="Normal 3 2 3 3 2 2 2 3" xfId="24170" xr:uid="{26D7C1A6-A874-4C3B-803F-F8945D3C1876}"/>
    <cellStyle name="Normal 3 2 3 3 2 2 3" xfId="11505" xr:uid="{2C1A93A1-63FD-4018-A460-BE0C2D381EB4}"/>
    <cellStyle name="Normal 3 2 3 3 2 2 4" xfId="19953" xr:uid="{4276A524-7FC9-4B43-9E2B-6552B0C380B4}"/>
    <cellStyle name="Normal 3 2 3 3 2 3" xfId="5128" xr:uid="{00000000-0005-0000-0000-0000AB110000}"/>
    <cellStyle name="Normal 3 2 3 3 2 3 2" xfId="13578" xr:uid="{57E18273-8691-4B40-8A7E-F14C8D21ED53}"/>
    <cellStyle name="Normal 3 2 3 3 2 3 3" xfId="22025" xr:uid="{43E384A3-ECEC-420A-BC3D-478DFD468216}"/>
    <cellStyle name="Normal 3 2 3 3 2 4" xfId="9360" xr:uid="{18C3E4DA-2075-4875-8463-9503D556F2E8}"/>
    <cellStyle name="Normal 3 2 3 3 2 5" xfId="17808" xr:uid="{5ED70709-F17D-4D61-862D-C5DD8F3E40E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80DFA94F-6372-4D7A-85A2-8167A7DF68B1}"/>
    <cellStyle name="Normal 3 2 3 3 3 2 2 3" xfId="24583" xr:uid="{FE46210D-386F-40B9-87F0-CA4E060064EA}"/>
    <cellStyle name="Normal 3 2 3 3 3 2 3" xfId="11918" xr:uid="{123FF0F3-DF3A-4C65-B2C1-01026ADD5B9B}"/>
    <cellStyle name="Normal 3 2 3 3 3 2 4" xfId="20366" xr:uid="{9C162D62-9C66-476E-A2A2-324D51B2B408}"/>
    <cellStyle name="Normal 3 2 3 3 3 3" xfId="5541" xr:uid="{00000000-0005-0000-0000-0000AF110000}"/>
    <cellStyle name="Normal 3 2 3 3 3 3 2" xfId="13991" xr:uid="{75A3984E-9B77-4557-AEB6-5956538FDE2C}"/>
    <cellStyle name="Normal 3 2 3 3 3 3 3" xfId="22438" xr:uid="{59A90AD7-46FF-47D7-B458-D580B47E0B48}"/>
    <cellStyle name="Normal 3 2 3 3 3 4" xfId="9773" xr:uid="{064ACC48-B35A-4EE0-A894-ABF33AEA13D7}"/>
    <cellStyle name="Normal 3 2 3 3 3 5" xfId="18221" xr:uid="{4E95FA0F-1DEB-4222-8FBA-C5AF26695F4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45212A42-DAF6-44E4-A3D4-D5D7A3F5A62F}"/>
    <cellStyle name="Normal 3 2 3 3 4 2 2 3" xfId="24996" xr:uid="{012C633A-1AF6-4C03-8EB8-1483EDA18074}"/>
    <cellStyle name="Normal 3 2 3 3 4 2 3" xfId="12331" xr:uid="{EF6736D9-2591-480D-B4E5-41F62428C9CE}"/>
    <cellStyle name="Normal 3 2 3 3 4 2 4" xfId="20779" xr:uid="{93F45E9D-B6E4-4CCD-B244-6E9A8D69BC1D}"/>
    <cellStyle name="Normal 3 2 3 3 4 3" xfId="5954" xr:uid="{00000000-0005-0000-0000-0000B3110000}"/>
    <cellStyle name="Normal 3 2 3 3 4 3 2" xfId="14404" xr:uid="{9B8D3C16-9DB2-4E85-BDAA-F35A5783734C}"/>
    <cellStyle name="Normal 3 2 3 3 4 3 3" xfId="22851" xr:uid="{70AD1AEC-A624-4343-87A7-35B444D898FC}"/>
    <cellStyle name="Normal 3 2 3 3 4 4" xfId="10186" xr:uid="{068ADDA2-0FB4-4500-AFC1-B44278AB5166}"/>
    <cellStyle name="Normal 3 2 3 3 4 5" xfId="18634" xr:uid="{69DE961E-A228-4CEA-AF0C-38789B2A921D}"/>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A71749A0-3F11-410D-A192-7A96449AF501}"/>
    <cellStyle name="Normal 3 2 3 3 5 2 2 3" xfId="25409" xr:uid="{B5ED0AAA-B261-4862-B83D-FA2F46F9156A}"/>
    <cellStyle name="Normal 3 2 3 3 5 2 3" xfId="12744" xr:uid="{7DE9338D-24C3-4C71-B6D8-DE145032843E}"/>
    <cellStyle name="Normal 3 2 3 3 5 2 4" xfId="21192" xr:uid="{5880CADD-9357-4409-98F2-0173FD9A9623}"/>
    <cellStyle name="Normal 3 2 3 3 5 3" xfId="6367" xr:uid="{00000000-0005-0000-0000-0000B7110000}"/>
    <cellStyle name="Normal 3 2 3 3 5 3 2" xfId="14817" xr:uid="{D94F704A-1674-432A-BDE1-05BBB39E3967}"/>
    <cellStyle name="Normal 3 2 3 3 5 3 3" xfId="23264" xr:uid="{F0F1222A-D6E9-4B48-913D-0DB4809F1D05}"/>
    <cellStyle name="Normal 3 2 3 3 5 4" xfId="10599" xr:uid="{C65952BA-87B6-4036-8E69-AE797B677F4F}"/>
    <cellStyle name="Normal 3 2 3 3 5 5" xfId="19047" xr:uid="{709F707F-BEB4-45C7-AF75-273335ACB9EC}"/>
    <cellStyle name="Normal 3 2 3 3 6" xfId="2497" xr:uid="{00000000-0005-0000-0000-0000B8110000}"/>
    <cellStyle name="Normal 3 2 3 3 6 2" xfId="6780" xr:uid="{00000000-0005-0000-0000-0000B9110000}"/>
    <cellStyle name="Normal 3 2 3 3 6 2 2" xfId="15230" xr:uid="{078BE938-C249-41FC-81AA-E81F7367DBDA}"/>
    <cellStyle name="Normal 3 2 3 3 6 2 3" xfId="23677" xr:uid="{61DEA5DF-58A9-492D-A0AE-99B0E1917C17}"/>
    <cellStyle name="Normal 3 2 3 3 6 3" xfId="11012" xr:uid="{18371454-6CDF-41E5-9580-4370564C1AB7}"/>
    <cellStyle name="Normal 3 2 3 3 6 4" xfId="19460" xr:uid="{D66C3CBF-6C29-49DE-99A7-31F9800D0B3B}"/>
    <cellStyle name="Normal 3 2 3 3 7" xfId="4714" xr:uid="{00000000-0005-0000-0000-0000BA110000}"/>
    <cellStyle name="Normal 3 2 3 3 7 2" xfId="13164" xr:uid="{7F923ACA-C7A9-4743-ADC3-E7962F26F371}"/>
    <cellStyle name="Normal 3 2 3 3 7 3" xfId="21611" xr:uid="{83184A89-3EBF-4B69-B166-26723B3D34C8}"/>
    <cellStyle name="Normal 3 2 3 3 8" xfId="8946" xr:uid="{4E7F83D7-6852-40DC-8802-8AE5C31F4332}"/>
    <cellStyle name="Normal 3 2 3 3 9" xfId="17394" xr:uid="{4D2F123C-FD75-46B7-9749-B5D7F52ACAEA}"/>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03AC72F9-EAE0-42D3-82E7-2D355F81E950}"/>
    <cellStyle name="Normal 3 2 3 4 2 2 3" xfId="24167" xr:uid="{8454651F-9A72-4319-A024-AC916461BB36}"/>
    <cellStyle name="Normal 3 2 3 4 2 3" xfId="11502" xr:uid="{2BA50D7A-FBA1-44B5-9556-FCD6A77B93D2}"/>
    <cellStyle name="Normal 3 2 3 4 2 4" xfId="19950" xr:uid="{31B642D8-4082-45A3-9A50-72CC47A66FB2}"/>
    <cellStyle name="Normal 3 2 3 4 3" xfId="5125" xr:uid="{00000000-0005-0000-0000-0000BE110000}"/>
    <cellStyle name="Normal 3 2 3 4 3 2" xfId="13575" xr:uid="{0B08745B-5950-41E4-BC8F-1F3AB71E1D44}"/>
    <cellStyle name="Normal 3 2 3 4 3 3" xfId="22022" xr:uid="{64D304B5-AE5E-4E01-81CF-14761EBF0CB3}"/>
    <cellStyle name="Normal 3 2 3 4 4" xfId="9357" xr:uid="{629A78B1-76E9-4000-A93A-8FF9E93B12F2}"/>
    <cellStyle name="Normal 3 2 3 4 5" xfId="17805" xr:uid="{18727650-C4F1-45EA-A51A-2A231C919937}"/>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7EB2CFB4-8466-4756-ACC3-A8FDA57D57E9}"/>
    <cellStyle name="Normal 3 2 3 5 2 2 3" xfId="24580" xr:uid="{5A39848D-6AD3-417A-9D37-C8BFF8D870EA}"/>
    <cellStyle name="Normal 3 2 3 5 2 3" xfId="11915" xr:uid="{8EC7100C-B975-4DBF-B482-0F5D82BADE8C}"/>
    <cellStyle name="Normal 3 2 3 5 2 4" xfId="20363" xr:uid="{12A7B614-FC05-4548-85A2-0AF993405A7C}"/>
    <cellStyle name="Normal 3 2 3 5 3" xfId="5538" xr:uid="{00000000-0005-0000-0000-0000C2110000}"/>
    <cellStyle name="Normal 3 2 3 5 3 2" xfId="13988" xr:uid="{9079F451-DEE7-4B27-AE65-7CE32A25E05E}"/>
    <cellStyle name="Normal 3 2 3 5 3 3" xfId="22435" xr:uid="{66C66F2A-354E-4561-A397-AA8B18D2FA9E}"/>
    <cellStyle name="Normal 3 2 3 5 4" xfId="9770" xr:uid="{9B64350D-AD6B-4E1F-9193-D42DB2DA9B05}"/>
    <cellStyle name="Normal 3 2 3 5 5" xfId="18218" xr:uid="{F391256D-CB4E-433D-AB96-6F9D589CB098}"/>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BA923552-382B-483F-8A00-1191541747B8}"/>
    <cellStyle name="Normal 3 2 3 6 2 2 3" xfId="24993" xr:uid="{F85F2FFB-4197-4066-9E3C-AB8274B3D9C9}"/>
    <cellStyle name="Normal 3 2 3 6 2 3" xfId="12328" xr:uid="{B4472203-F9CE-41F3-82BD-DAD8DFBDD909}"/>
    <cellStyle name="Normal 3 2 3 6 2 4" xfId="20776" xr:uid="{F80F44BE-5315-4EFF-BCCC-EDCEC86F4AFD}"/>
    <cellStyle name="Normal 3 2 3 6 3" xfId="5951" xr:uid="{00000000-0005-0000-0000-0000C6110000}"/>
    <cellStyle name="Normal 3 2 3 6 3 2" xfId="14401" xr:uid="{CE60251D-C68B-45B0-9F0C-BB07B4A35B50}"/>
    <cellStyle name="Normal 3 2 3 6 3 3" xfId="22848" xr:uid="{DCDC3D85-08D3-4B11-984D-5E3AF486FEC6}"/>
    <cellStyle name="Normal 3 2 3 6 4" xfId="10183" xr:uid="{6FDA5B8C-4BA2-4792-8802-6AE119416BD7}"/>
    <cellStyle name="Normal 3 2 3 6 5" xfId="18631" xr:uid="{D4C3ADFB-0118-49D8-B837-74A4A0C015C4}"/>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4C7495A4-D883-424F-B9F9-53D557A5E007}"/>
    <cellStyle name="Normal 3 2 3 7 2 2 3" xfId="25406" xr:uid="{041B2A8E-77B9-4347-A8FF-EC20335FC338}"/>
    <cellStyle name="Normal 3 2 3 7 2 3" xfId="12741" xr:uid="{0133489D-DC64-487E-951B-825C027B496A}"/>
    <cellStyle name="Normal 3 2 3 7 2 4" xfId="21189" xr:uid="{2C734218-A9BA-4A45-9888-1A80A2D7F331}"/>
    <cellStyle name="Normal 3 2 3 7 3" xfId="6364" xr:uid="{00000000-0005-0000-0000-0000CA110000}"/>
    <cellStyle name="Normal 3 2 3 7 3 2" xfId="14814" xr:uid="{61F48214-7BC9-4FC4-9773-AC8DC2F26CBE}"/>
    <cellStyle name="Normal 3 2 3 7 3 3" xfId="23261" xr:uid="{5AE2B5FF-48C4-4C77-BF58-E9C99D941E36}"/>
    <cellStyle name="Normal 3 2 3 7 4" xfId="10596" xr:uid="{FBCD370F-DA8D-4493-8A77-9A667294579E}"/>
    <cellStyle name="Normal 3 2 3 7 5" xfId="19044" xr:uid="{F1D35783-F41B-4483-B54B-B8F65B6D9B9C}"/>
    <cellStyle name="Normal 3 2 3 8" xfId="2494" xr:uid="{00000000-0005-0000-0000-0000CB110000}"/>
    <cellStyle name="Normal 3 2 3 8 2" xfId="6777" xr:uid="{00000000-0005-0000-0000-0000CC110000}"/>
    <cellStyle name="Normal 3 2 3 8 2 2" xfId="15227" xr:uid="{F92F9C16-55AE-4C09-AE7C-76EEB7EB93B1}"/>
    <cellStyle name="Normal 3 2 3 8 2 3" xfId="23674" xr:uid="{7DC84168-E399-4E1B-9911-F246695C2FB6}"/>
    <cellStyle name="Normal 3 2 3 8 3" xfId="11009" xr:uid="{0FB49099-D670-4CFB-AA16-768D09F2BE98}"/>
    <cellStyle name="Normal 3 2 3 8 4" xfId="19457" xr:uid="{048A780F-9AE4-4A8F-BFC8-F9C800EDAAEA}"/>
    <cellStyle name="Normal 3 2 3 9" xfId="4711" xr:uid="{00000000-0005-0000-0000-0000CD110000}"/>
    <cellStyle name="Normal 3 2 3 9 2" xfId="13161" xr:uid="{2E84EA0E-90ED-4B67-8CA3-BC01DF8A12F6}"/>
    <cellStyle name="Normal 3 2 3 9 3" xfId="21608" xr:uid="{107C0780-D593-43F4-851D-8BCB0B629A4D}"/>
    <cellStyle name="Normal 3 2 4" xfId="809" xr:uid="{00000000-0005-0000-0000-0000CE110000}"/>
    <cellStyle name="Normal 3 2 4 2" xfId="3047" xr:uid="{00000000-0005-0000-0000-0000CF110000}"/>
    <cellStyle name="Normal 3 2 4 2 2" xfId="7269" xr:uid="{00000000-0005-0000-0000-0000D0110000}"/>
    <cellStyle name="Normal 3 2 4 2 2 2" xfId="15719" xr:uid="{17E7A9ED-562E-4D84-99FB-335702D7C6D3}"/>
    <cellStyle name="Normal 3 2 4 2 2 3" xfId="24166" xr:uid="{4B8781B9-01C1-471B-8C70-67ADB2EE729E}"/>
    <cellStyle name="Normal 3 2 4 2 3" xfId="11501" xr:uid="{75E657F5-17F9-4F0D-BFFD-8C24CA3915E3}"/>
    <cellStyle name="Normal 3 2 4 2 4" xfId="19949" xr:uid="{98AD88F9-AEAF-4FFA-AF52-F6B04F339EA4}"/>
    <cellStyle name="Normal 3 2 4 3" xfId="5124" xr:uid="{00000000-0005-0000-0000-0000D1110000}"/>
    <cellStyle name="Normal 3 2 4 3 2" xfId="13574" xr:uid="{0E883DD2-12D2-4EB7-B7A5-70C7BBB2F437}"/>
    <cellStyle name="Normal 3 2 4 3 3" xfId="22021" xr:uid="{DC8C309B-86EB-4E93-9E45-2F5D253C77A8}"/>
    <cellStyle name="Normal 3 2 4 4" xfId="9356" xr:uid="{97F10E7E-1B02-4F76-BBC5-E79182593EDE}"/>
    <cellStyle name="Normal 3 2 4 5" xfId="17804" xr:uid="{1E96B726-C072-498D-84F0-69AC6C42E2CE}"/>
    <cellStyle name="Normal 3 2 5" xfId="1230" xr:uid="{00000000-0005-0000-0000-0000D2110000}"/>
    <cellStyle name="Normal 3 2 5 2" xfId="3460" xr:uid="{00000000-0005-0000-0000-0000D3110000}"/>
    <cellStyle name="Normal 3 2 5 2 2" xfId="7682" xr:uid="{00000000-0005-0000-0000-0000D4110000}"/>
    <cellStyle name="Normal 3 2 5 2 2 2" xfId="16132" xr:uid="{941847F0-DFE4-4364-89BA-1DF7338A1AF0}"/>
    <cellStyle name="Normal 3 2 5 2 2 3" xfId="24579" xr:uid="{750F52EC-F59F-4846-B4C1-6C779A8ED689}"/>
    <cellStyle name="Normal 3 2 5 2 3" xfId="11914" xr:uid="{EA50C0AA-2788-4ECD-8312-5AF4B2371401}"/>
    <cellStyle name="Normal 3 2 5 2 4" xfId="20362" xr:uid="{A719F6E8-5624-4A19-A1E7-E81F9A5AED23}"/>
    <cellStyle name="Normal 3 2 5 3" xfId="5537" xr:uid="{00000000-0005-0000-0000-0000D5110000}"/>
    <cellStyle name="Normal 3 2 5 3 2" xfId="13987" xr:uid="{1F845973-A170-4D2A-B3A0-D9304E09F1D4}"/>
    <cellStyle name="Normal 3 2 5 3 3" xfId="22434" xr:uid="{71956F58-5245-429E-9483-C504D7A1065F}"/>
    <cellStyle name="Normal 3 2 5 4" xfId="9769" xr:uid="{6FC6A4CF-E4A6-4FB2-8E58-5F7BBF040CFC}"/>
    <cellStyle name="Normal 3 2 5 5" xfId="18217" xr:uid="{31F4CD0A-5772-4ED8-A8E3-E7B6576D18E5}"/>
    <cellStyle name="Normal 3 2 6" xfId="1643" xr:uid="{00000000-0005-0000-0000-0000D6110000}"/>
    <cellStyle name="Normal 3 2 6 2" xfId="3873" xr:uid="{00000000-0005-0000-0000-0000D7110000}"/>
    <cellStyle name="Normal 3 2 6 2 2" xfId="8095" xr:uid="{00000000-0005-0000-0000-0000D8110000}"/>
    <cellStyle name="Normal 3 2 6 2 2 2" xfId="16545" xr:uid="{F090D4EE-C245-4BEA-AC39-4147AC2E941B}"/>
    <cellStyle name="Normal 3 2 6 2 2 3" xfId="24992" xr:uid="{E7DB7FD0-7C92-44D5-BB94-6CBA9C60D84B}"/>
    <cellStyle name="Normal 3 2 6 2 3" xfId="12327" xr:uid="{2DC0F91E-9D70-47AB-BC67-F00016C24121}"/>
    <cellStyle name="Normal 3 2 6 2 4" xfId="20775" xr:uid="{81773B16-219E-4989-B50B-B3339A384EE3}"/>
    <cellStyle name="Normal 3 2 6 3" xfId="5950" xr:uid="{00000000-0005-0000-0000-0000D9110000}"/>
    <cellStyle name="Normal 3 2 6 3 2" xfId="14400" xr:uid="{A3109CB1-4FD8-43CE-B7E4-B3CD4A922BEE}"/>
    <cellStyle name="Normal 3 2 6 3 3" xfId="22847" xr:uid="{6D78F4B2-15F6-4B2A-8B52-C1A587975F8E}"/>
    <cellStyle name="Normal 3 2 6 4" xfId="10182" xr:uid="{32DD18DF-CD05-41C8-83B3-2EF3A306E457}"/>
    <cellStyle name="Normal 3 2 6 5" xfId="18630" xr:uid="{5299294C-E7CD-44A1-B032-B189B49BBC2C}"/>
    <cellStyle name="Normal 3 2 7" xfId="2057" xr:uid="{00000000-0005-0000-0000-0000DA110000}"/>
    <cellStyle name="Normal 3 2 7 2" xfId="4286" xr:uid="{00000000-0005-0000-0000-0000DB110000}"/>
    <cellStyle name="Normal 3 2 7 2 2" xfId="8508" xr:uid="{00000000-0005-0000-0000-0000DC110000}"/>
    <cellStyle name="Normal 3 2 7 2 2 2" xfId="16958" xr:uid="{C1A52AEA-8781-4793-AFD9-E542C3A6965D}"/>
    <cellStyle name="Normal 3 2 7 2 2 3" xfId="25405" xr:uid="{7C1905F3-F08D-4EB5-BB6E-6F589C85FB7B}"/>
    <cellStyle name="Normal 3 2 7 2 3" xfId="12740" xr:uid="{090AFE86-5EC3-46F0-9F1A-2DA1D9446E6D}"/>
    <cellStyle name="Normal 3 2 7 2 4" xfId="21188" xr:uid="{A10D4E01-493A-4BC9-8CE6-9B1B3E5D3861}"/>
    <cellStyle name="Normal 3 2 7 3" xfId="6363" xr:uid="{00000000-0005-0000-0000-0000DD110000}"/>
    <cellStyle name="Normal 3 2 7 3 2" xfId="14813" xr:uid="{C1CF0019-5FC7-48AF-9C2D-2451015548A0}"/>
    <cellStyle name="Normal 3 2 7 3 3" xfId="23260" xr:uid="{5579D3B8-1D92-459C-8E57-4B529317F9BB}"/>
    <cellStyle name="Normal 3 2 7 4" xfId="10595" xr:uid="{0837309D-9D71-4B2D-8A0D-D23BC2CD0C8A}"/>
    <cellStyle name="Normal 3 2 7 5" xfId="19043" xr:uid="{8AA47FD0-A7A6-416A-8672-BB789C98D9B6}"/>
    <cellStyle name="Normal 3 2 8" xfId="2493" xr:uid="{00000000-0005-0000-0000-0000DE110000}"/>
    <cellStyle name="Normal 3 2 8 2" xfId="6776" xr:uid="{00000000-0005-0000-0000-0000DF110000}"/>
    <cellStyle name="Normal 3 2 8 2 2" xfId="15226" xr:uid="{7166F6FE-69C0-4991-B909-DEDBED5BD790}"/>
    <cellStyle name="Normal 3 2 8 2 3" xfId="23673" xr:uid="{85DEB25E-8AA7-4388-9D3D-955E9ECD3510}"/>
    <cellStyle name="Normal 3 2 8 3" xfId="11008" xr:uid="{D585F1FD-4E18-490D-AADE-9FB17AA27DF8}"/>
    <cellStyle name="Normal 3 2 8 4" xfId="19456" xr:uid="{923C3C4C-ACD4-45F6-B7F0-6E49F6F27590}"/>
    <cellStyle name="Normal 3 2 9" xfId="4710" xr:uid="{00000000-0005-0000-0000-0000E0110000}"/>
    <cellStyle name="Normal 3 2 9 2" xfId="13160" xr:uid="{01BFFBC2-470D-450C-B2B1-C35AFC086BC4}"/>
    <cellStyle name="Normal 3 2 9 3" xfId="21607" xr:uid="{8D69C77A-9486-43E7-9F34-001167818E1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D096B7E1-140A-4141-B415-224784CCECBE}"/>
    <cellStyle name="Normal 4 11" xfId="17395" xr:uid="{D27757EE-5E89-4F74-9111-B90BABA58D7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CDA8B3C3-0F4E-4018-87A2-ED0D1C93E8E5}"/>
    <cellStyle name="Normal 4 2 2 10 2 2 3" xfId="25410" xr:uid="{A9B7DA93-1661-4AEB-83E1-1A86261495A8}"/>
    <cellStyle name="Normal 4 2 2 10 2 3" xfId="12745" xr:uid="{F51359BF-3F23-466E-88BF-E90594EB0865}"/>
    <cellStyle name="Normal 4 2 2 10 2 4" xfId="21193" xr:uid="{8DD2CC82-3CC2-4DE4-BCB3-3E4612997EBF}"/>
    <cellStyle name="Normal 4 2 2 10 3" xfId="6368" xr:uid="{00000000-0005-0000-0000-0000ED110000}"/>
    <cellStyle name="Normal 4 2 2 10 3 2" xfId="14818" xr:uid="{C442B466-D2C1-44F5-89E7-D94F3BBE0790}"/>
    <cellStyle name="Normal 4 2 2 10 3 3" xfId="23265" xr:uid="{BA7633F9-3055-4997-85CE-55EB1270C063}"/>
    <cellStyle name="Normal 4 2 2 10 4" xfId="10600" xr:uid="{D7F2E5E1-953D-40D6-8693-9ED0305C431F}"/>
    <cellStyle name="Normal 4 2 2 10 5" xfId="19048" xr:uid="{D20D9F5E-F05C-4D48-8B26-1FDC0971E0AA}"/>
    <cellStyle name="Normal 4 2 2 11" xfId="2498" xr:uid="{00000000-0005-0000-0000-0000EE110000}"/>
    <cellStyle name="Normal 4 2 2 11 2" xfId="6781" xr:uid="{00000000-0005-0000-0000-0000EF110000}"/>
    <cellStyle name="Normal 4 2 2 11 2 2" xfId="15231" xr:uid="{D3F91724-5E23-43B3-A8AD-74EF6DD1B6D1}"/>
    <cellStyle name="Normal 4 2 2 11 2 3" xfId="23678" xr:uid="{35DE65BA-2EB3-46E6-97FD-7EBDC30B8467}"/>
    <cellStyle name="Normal 4 2 2 11 3" xfId="11013" xr:uid="{3BDAA4F3-D4A1-44B6-B309-04DFD07936D4}"/>
    <cellStyle name="Normal 4 2 2 11 4" xfId="19461" xr:uid="{C7DF2E25-F989-4233-B10A-17DCF42ABA81}"/>
    <cellStyle name="Normal 4 2 2 12" xfId="4716" xr:uid="{00000000-0005-0000-0000-0000F0110000}"/>
    <cellStyle name="Normal 4 2 2 12 2" xfId="13166" xr:uid="{350551F3-F130-4C65-A7E8-61A41AE9970F}"/>
    <cellStyle name="Normal 4 2 2 12 3" xfId="21613" xr:uid="{8AA570D2-0F29-4A73-87E6-38FBBC15AAF5}"/>
    <cellStyle name="Normal 4 2 2 13" xfId="8948" xr:uid="{16C054D2-E76C-41C3-8F17-86D08DBDA002}"/>
    <cellStyle name="Normal 4 2 2 14" xfId="17396" xr:uid="{B2B63A3A-A826-4AA5-B092-A05EE95721D6}"/>
    <cellStyle name="Normal 4 2 2 2" xfId="338" xr:uid="{00000000-0005-0000-0000-0000F1110000}"/>
    <cellStyle name="Normal 4 2 2 3" xfId="339" xr:uid="{00000000-0005-0000-0000-0000F2110000}"/>
    <cellStyle name="Normal 4 2 2 3 10" xfId="4717" xr:uid="{00000000-0005-0000-0000-0000F3110000}"/>
    <cellStyle name="Normal 4 2 2 3 10 2" xfId="13167" xr:uid="{D3EA3437-742F-4AFE-B258-421F23417F1E}"/>
    <cellStyle name="Normal 4 2 2 3 10 3" xfId="21614" xr:uid="{B064E63D-76D7-415C-8569-F71B591D15B8}"/>
    <cellStyle name="Normal 4 2 2 3 11" xfId="8949" xr:uid="{CB741F61-AA1C-4B1F-B967-B3CEF84C0DE6}"/>
    <cellStyle name="Normal 4 2 2 3 12" xfId="17397" xr:uid="{BB720F8B-B5AA-4D24-8B0B-5F15A70F5118}"/>
    <cellStyle name="Normal 4 2 2 3 2" xfId="340" xr:uid="{00000000-0005-0000-0000-0000F4110000}"/>
    <cellStyle name="Normal 4 2 2 3 2 10" xfId="8950" xr:uid="{64274B80-3E49-4F79-B69E-9AA94F8E4A3E}"/>
    <cellStyle name="Normal 4 2 2 3 2 11" xfId="17398" xr:uid="{593E6E36-BE5C-41E7-BD55-B6E148E90946}"/>
    <cellStyle name="Normal 4 2 2 3 2 2" xfId="341" xr:uid="{00000000-0005-0000-0000-0000F5110000}"/>
    <cellStyle name="Normal 4 2 2 3 2 2 10" xfId="17399" xr:uid="{075AB39B-F62E-47B9-94CC-49772F41AD06}"/>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4EDCEE81-44A7-48EE-A7DC-835BA08B1E7B}"/>
    <cellStyle name="Normal 4 2 2 3 2 2 2 2 2 2 3" xfId="24175" xr:uid="{DDC27402-24B5-4F42-9000-D2A650822026}"/>
    <cellStyle name="Normal 4 2 2 3 2 2 2 2 2 3" xfId="11510" xr:uid="{3F4452CD-9889-4743-8327-F9724DC2C63A}"/>
    <cellStyle name="Normal 4 2 2 3 2 2 2 2 2 4" xfId="19958" xr:uid="{4641FCC9-F228-42B8-9162-56FD5C9A886B}"/>
    <cellStyle name="Normal 4 2 2 3 2 2 2 2 3" xfId="5133" xr:uid="{00000000-0005-0000-0000-0000FA110000}"/>
    <cellStyle name="Normal 4 2 2 3 2 2 2 2 3 2" xfId="13583" xr:uid="{0711BBB4-9841-4FE2-BC93-42902DCF9765}"/>
    <cellStyle name="Normal 4 2 2 3 2 2 2 2 3 3" xfId="22030" xr:uid="{8B1E0576-FFEE-4DB1-A82A-085C4E428F57}"/>
    <cellStyle name="Normal 4 2 2 3 2 2 2 2 4" xfId="9365" xr:uid="{D4B0827E-8CB5-47DD-A228-9FC865AFEAD1}"/>
    <cellStyle name="Normal 4 2 2 3 2 2 2 2 5" xfId="17813" xr:uid="{A65B7A74-A179-46DF-95ED-142ECDDBA7B6}"/>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1B314C37-F2EB-463F-B000-FEE93C3E1689}"/>
    <cellStyle name="Normal 4 2 2 3 2 2 2 3 2 2 3" xfId="24588" xr:uid="{AAD2AC27-6F25-4577-961F-85161E04A15F}"/>
    <cellStyle name="Normal 4 2 2 3 2 2 2 3 2 3" xfId="11923" xr:uid="{CFCCD1CD-2097-4332-AE39-2DF2D38CF937}"/>
    <cellStyle name="Normal 4 2 2 3 2 2 2 3 2 4" xfId="20371" xr:uid="{B7A28D2C-C70B-461E-81A8-CEF27093FA96}"/>
    <cellStyle name="Normal 4 2 2 3 2 2 2 3 3" xfId="5546" xr:uid="{00000000-0005-0000-0000-0000FE110000}"/>
    <cellStyle name="Normal 4 2 2 3 2 2 2 3 3 2" xfId="13996" xr:uid="{643CEB3A-A31E-46AE-AAF1-4439A72D75D4}"/>
    <cellStyle name="Normal 4 2 2 3 2 2 2 3 3 3" xfId="22443" xr:uid="{9CF44AEC-F056-4F4C-8642-6D2E9D77211B}"/>
    <cellStyle name="Normal 4 2 2 3 2 2 2 3 4" xfId="9778" xr:uid="{3EFD9040-80EF-408D-9EBB-CEC4C50E1124}"/>
    <cellStyle name="Normal 4 2 2 3 2 2 2 3 5" xfId="18226" xr:uid="{F1F85F89-5EDD-4ABD-B809-5F6A5AD2C8AA}"/>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8D789745-E951-4656-9B2E-7AA77521685B}"/>
    <cellStyle name="Normal 4 2 2 3 2 2 2 4 2 2 3" xfId="25001" xr:uid="{002C1746-9798-4D3B-A0D0-90879E0B77FA}"/>
    <cellStyle name="Normal 4 2 2 3 2 2 2 4 2 3" xfId="12336" xr:uid="{CEE21170-C79E-4F45-A063-4E5DF1AAC17E}"/>
    <cellStyle name="Normal 4 2 2 3 2 2 2 4 2 4" xfId="20784" xr:uid="{12BF4817-5751-49D9-86D9-E7AE74042DFD}"/>
    <cellStyle name="Normal 4 2 2 3 2 2 2 4 3" xfId="5959" xr:uid="{00000000-0005-0000-0000-000002120000}"/>
    <cellStyle name="Normal 4 2 2 3 2 2 2 4 3 2" xfId="14409" xr:uid="{B91D1704-F3ED-404D-9556-D50BF949A396}"/>
    <cellStyle name="Normal 4 2 2 3 2 2 2 4 3 3" xfId="22856" xr:uid="{247129E0-A833-4E05-B20D-ECA7E794F6C5}"/>
    <cellStyle name="Normal 4 2 2 3 2 2 2 4 4" xfId="10191" xr:uid="{241A7C96-695F-4835-9B1D-6421AFBA1DAE}"/>
    <cellStyle name="Normal 4 2 2 3 2 2 2 4 5" xfId="18639" xr:uid="{0B7CDC5A-87B2-44D0-9244-E001845750C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CA2C3154-992B-46D8-968C-DF77F4AC6B9E}"/>
    <cellStyle name="Normal 4 2 2 3 2 2 2 5 2 2 3" xfId="25414" xr:uid="{EC5383C1-4B44-4E9F-93F6-04E7223FF240}"/>
    <cellStyle name="Normal 4 2 2 3 2 2 2 5 2 3" xfId="12749" xr:uid="{1C1F9575-3BC8-4F70-8DE1-9F74C06669EF}"/>
    <cellStyle name="Normal 4 2 2 3 2 2 2 5 2 4" xfId="21197" xr:uid="{01CF7997-2513-4DC0-875E-2E6C8F83389E}"/>
    <cellStyle name="Normal 4 2 2 3 2 2 2 5 3" xfId="6372" xr:uid="{00000000-0005-0000-0000-000006120000}"/>
    <cellStyle name="Normal 4 2 2 3 2 2 2 5 3 2" xfId="14822" xr:uid="{A27F0E13-6879-4E47-B3B2-AF0F67AFE25A}"/>
    <cellStyle name="Normal 4 2 2 3 2 2 2 5 3 3" xfId="23269" xr:uid="{7FC380F2-05C1-4DC9-A8AF-14C837585F53}"/>
    <cellStyle name="Normal 4 2 2 3 2 2 2 5 4" xfId="10604" xr:uid="{358062EB-ABBE-4661-90D6-1EC54B5DCEDC}"/>
    <cellStyle name="Normal 4 2 2 3 2 2 2 5 5" xfId="19052" xr:uid="{B826568C-6DB8-4963-8BAF-1813F4429EC6}"/>
    <cellStyle name="Normal 4 2 2 3 2 2 2 6" xfId="2502" xr:uid="{00000000-0005-0000-0000-000007120000}"/>
    <cellStyle name="Normal 4 2 2 3 2 2 2 6 2" xfId="6785" xr:uid="{00000000-0005-0000-0000-000008120000}"/>
    <cellStyle name="Normal 4 2 2 3 2 2 2 6 2 2" xfId="15235" xr:uid="{4C2F080F-75E6-4BCE-A7F6-CD8D67F870BF}"/>
    <cellStyle name="Normal 4 2 2 3 2 2 2 6 2 3" xfId="23682" xr:uid="{1C41C7E2-9355-4671-BCFB-4668266A8F60}"/>
    <cellStyle name="Normal 4 2 2 3 2 2 2 6 3" xfId="11017" xr:uid="{1C9AE843-2314-4003-BFCB-4729FDCC6423}"/>
    <cellStyle name="Normal 4 2 2 3 2 2 2 6 4" xfId="19465" xr:uid="{2074BFC6-1CE1-4763-9C45-36374E0375D7}"/>
    <cellStyle name="Normal 4 2 2 3 2 2 2 7" xfId="4720" xr:uid="{00000000-0005-0000-0000-000009120000}"/>
    <cellStyle name="Normal 4 2 2 3 2 2 2 7 2" xfId="13170" xr:uid="{9B7D0E6E-7AF8-4165-9898-EF276B575637}"/>
    <cellStyle name="Normal 4 2 2 3 2 2 2 7 3" xfId="21617" xr:uid="{EE28A623-F248-4944-A3CA-4ABB0A1CF2FF}"/>
    <cellStyle name="Normal 4 2 2 3 2 2 2 8" xfId="8952" xr:uid="{A46B651C-0F83-4548-BA05-F3ABE90870CD}"/>
    <cellStyle name="Normal 4 2 2 3 2 2 2 9" xfId="17400" xr:uid="{68B440E8-B29A-4D20-9715-83FD2AF7890F}"/>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AEF68C4E-9860-4ADC-BD2A-CAFD00553439}"/>
    <cellStyle name="Normal 4 2 2 3 2 2 3 2 2 3" xfId="24174" xr:uid="{B2A1E5AB-0D7D-448E-BCD1-013F1D84ED73}"/>
    <cellStyle name="Normal 4 2 2 3 2 2 3 2 3" xfId="11509" xr:uid="{1012FAAC-9A6D-4990-B865-80109D8C9F42}"/>
    <cellStyle name="Normal 4 2 2 3 2 2 3 2 4" xfId="19957" xr:uid="{AE55DD08-1520-4CDF-A3BD-493A8607133D}"/>
    <cellStyle name="Normal 4 2 2 3 2 2 3 3" xfId="5132" xr:uid="{00000000-0005-0000-0000-00000D120000}"/>
    <cellStyle name="Normal 4 2 2 3 2 2 3 3 2" xfId="13582" xr:uid="{28EA9152-837A-40BE-8C5B-3659616FB79B}"/>
    <cellStyle name="Normal 4 2 2 3 2 2 3 3 3" xfId="22029" xr:uid="{601E79FB-34BB-49F5-9CBB-A2419A3B9037}"/>
    <cellStyle name="Normal 4 2 2 3 2 2 3 4" xfId="9364" xr:uid="{9B8AF875-8FFD-4B09-B4F7-F6C319466EDB}"/>
    <cellStyle name="Normal 4 2 2 3 2 2 3 5" xfId="17812" xr:uid="{1EDC8B7E-F0FC-452C-A309-9DFEE7873BE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EC25DCE3-D734-4755-A591-CDE0F88BAB19}"/>
    <cellStyle name="Normal 4 2 2 3 2 2 4 2 2 3" xfId="24587" xr:uid="{67517F81-A989-475A-928E-73BCB8A36687}"/>
    <cellStyle name="Normal 4 2 2 3 2 2 4 2 3" xfId="11922" xr:uid="{86306585-827F-48AF-AD2F-BDFB2790DC53}"/>
    <cellStyle name="Normal 4 2 2 3 2 2 4 2 4" xfId="20370" xr:uid="{52F7D0A3-0A6A-47F9-B4AA-F55E470DDBC7}"/>
    <cellStyle name="Normal 4 2 2 3 2 2 4 3" xfId="5545" xr:uid="{00000000-0005-0000-0000-000011120000}"/>
    <cellStyle name="Normal 4 2 2 3 2 2 4 3 2" xfId="13995" xr:uid="{87CAA563-5D97-4137-B473-E985824EBAA4}"/>
    <cellStyle name="Normal 4 2 2 3 2 2 4 3 3" xfId="22442" xr:uid="{CB8DEEAF-F47B-4A1F-8448-C8EB3C229F68}"/>
    <cellStyle name="Normal 4 2 2 3 2 2 4 4" xfId="9777" xr:uid="{87EDA664-2A8A-477E-906C-C5109D1A7BFF}"/>
    <cellStyle name="Normal 4 2 2 3 2 2 4 5" xfId="18225" xr:uid="{FB9CF30D-53F5-4202-88E4-F36D292BF922}"/>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CEBD34B3-A783-475E-95DC-7137C2017668}"/>
    <cellStyle name="Normal 4 2 2 3 2 2 5 2 2 3" xfId="25000" xr:uid="{63ADC6B5-CE57-4DDB-80F0-A5A4C64E092E}"/>
    <cellStyle name="Normal 4 2 2 3 2 2 5 2 3" xfId="12335" xr:uid="{1B214C66-22D0-4C9D-B24B-F7817554BF98}"/>
    <cellStyle name="Normal 4 2 2 3 2 2 5 2 4" xfId="20783" xr:uid="{C3B497F3-07CB-4957-8AD6-EC0A6BF6A3ED}"/>
    <cellStyle name="Normal 4 2 2 3 2 2 5 3" xfId="5958" xr:uid="{00000000-0005-0000-0000-000015120000}"/>
    <cellStyle name="Normal 4 2 2 3 2 2 5 3 2" xfId="14408" xr:uid="{1F035EFC-5264-4646-B242-88FB02992582}"/>
    <cellStyle name="Normal 4 2 2 3 2 2 5 3 3" xfId="22855" xr:uid="{88E3DF24-1B32-4C20-8404-81E026EF4030}"/>
    <cellStyle name="Normal 4 2 2 3 2 2 5 4" xfId="10190" xr:uid="{6112CDFE-4154-4A75-912E-ABB07E2D1589}"/>
    <cellStyle name="Normal 4 2 2 3 2 2 5 5" xfId="18638" xr:uid="{A9BB5534-F116-43BD-85D0-F444FF12750E}"/>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E4387AF0-9ED8-49FD-90E2-9FF2DC5C276F}"/>
    <cellStyle name="Normal 4 2 2 3 2 2 6 2 2 3" xfId="25413" xr:uid="{4F1D6885-D7CC-4943-9D60-5454E659EF77}"/>
    <cellStyle name="Normal 4 2 2 3 2 2 6 2 3" xfId="12748" xr:uid="{6B0AC7A3-1B4E-4510-A9FB-5A1951BC6BFB}"/>
    <cellStyle name="Normal 4 2 2 3 2 2 6 2 4" xfId="21196" xr:uid="{137C0FFB-BB0E-4D58-8E61-493D6B953A42}"/>
    <cellStyle name="Normal 4 2 2 3 2 2 6 3" xfId="6371" xr:uid="{00000000-0005-0000-0000-000019120000}"/>
    <cellStyle name="Normal 4 2 2 3 2 2 6 3 2" xfId="14821" xr:uid="{B228ECB5-4854-4EEC-A860-5BBF4A5C750E}"/>
    <cellStyle name="Normal 4 2 2 3 2 2 6 3 3" xfId="23268" xr:uid="{3AB38055-E1FF-4F3F-AF0E-59B0D56309BF}"/>
    <cellStyle name="Normal 4 2 2 3 2 2 6 4" xfId="10603" xr:uid="{F76E9BD9-4E33-4977-A0BD-D924154FC8B5}"/>
    <cellStyle name="Normal 4 2 2 3 2 2 6 5" xfId="19051" xr:uid="{AF437DE6-C3DF-4705-8198-E79BE9235D5A}"/>
    <cellStyle name="Normal 4 2 2 3 2 2 7" xfId="2501" xr:uid="{00000000-0005-0000-0000-00001A120000}"/>
    <cellStyle name="Normal 4 2 2 3 2 2 7 2" xfId="6784" xr:uid="{00000000-0005-0000-0000-00001B120000}"/>
    <cellStyle name="Normal 4 2 2 3 2 2 7 2 2" xfId="15234" xr:uid="{6DBFD45E-BEE8-4F79-9C54-3536BB36C17F}"/>
    <cellStyle name="Normal 4 2 2 3 2 2 7 2 3" xfId="23681" xr:uid="{482DF6CE-BD81-4CCB-9AE6-C46D6AF90E13}"/>
    <cellStyle name="Normal 4 2 2 3 2 2 7 3" xfId="11016" xr:uid="{8E887B0F-7198-4F03-9787-77C37D3E1D3B}"/>
    <cellStyle name="Normal 4 2 2 3 2 2 7 4" xfId="19464" xr:uid="{FE932376-9332-4E09-9D1F-A7A5D9CACE07}"/>
    <cellStyle name="Normal 4 2 2 3 2 2 8" xfId="4719" xr:uid="{00000000-0005-0000-0000-00001C120000}"/>
    <cellStyle name="Normal 4 2 2 3 2 2 8 2" xfId="13169" xr:uid="{AFF395D1-6DB5-43F7-925D-58B2C7328A34}"/>
    <cellStyle name="Normal 4 2 2 3 2 2 8 3" xfId="21616" xr:uid="{13C7FF7D-8478-437C-AA16-A068115A679A}"/>
    <cellStyle name="Normal 4 2 2 3 2 2 9" xfId="8951" xr:uid="{CCDDE97C-31EF-4888-9E40-75544A1933B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7FAE7E99-2CB9-4BC2-844C-8775A88FF24D}"/>
    <cellStyle name="Normal 4 2 2 3 2 3 2 2 2 3" xfId="24176" xr:uid="{3EF6C17C-37DB-4BA6-BD43-015EF2662F19}"/>
    <cellStyle name="Normal 4 2 2 3 2 3 2 2 3" xfId="11511" xr:uid="{53B708E0-8C9B-4A5A-9E50-7C1639100829}"/>
    <cellStyle name="Normal 4 2 2 3 2 3 2 2 4" xfId="19959" xr:uid="{A2CB75FE-7D7B-4183-A8CF-FCD230041E98}"/>
    <cellStyle name="Normal 4 2 2 3 2 3 2 3" xfId="5134" xr:uid="{00000000-0005-0000-0000-000021120000}"/>
    <cellStyle name="Normal 4 2 2 3 2 3 2 3 2" xfId="13584" xr:uid="{965174F8-E490-41F9-94A3-170967FC5C86}"/>
    <cellStyle name="Normal 4 2 2 3 2 3 2 3 3" xfId="22031" xr:uid="{FB2660B8-C38B-4B26-B2C0-589FA58FA6C3}"/>
    <cellStyle name="Normal 4 2 2 3 2 3 2 4" xfId="9366" xr:uid="{14832DC9-8C78-4E4E-A5F7-51910D45BC18}"/>
    <cellStyle name="Normal 4 2 2 3 2 3 2 5" xfId="17814" xr:uid="{A8E01FBC-DA91-411E-8F98-135766BCF1AD}"/>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0530B982-7218-4BE3-A7DF-29D6BE7CBFB1}"/>
    <cellStyle name="Normal 4 2 2 3 2 3 3 2 2 3" xfId="24589" xr:uid="{8358C0D4-45EC-499A-8174-D55654C6544D}"/>
    <cellStyle name="Normal 4 2 2 3 2 3 3 2 3" xfId="11924" xr:uid="{90EB024F-ADC0-4E7E-8EE5-905523B16A64}"/>
    <cellStyle name="Normal 4 2 2 3 2 3 3 2 4" xfId="20372" xr:uid="{3D3CAE3C-5003-4BAE-9779-249724302E90}"/>
    <cellStyle name="Normal 4 2 2 3 2 3 3 3" xfId="5547" xr:uid="{00000000-0005-0000-0000-000025120000}"/>
    <cellStyle name="Normal 4 2 2 3 2 3 3 3 2" xfId="13997" xr:uid="{587FF6EA-28F4-4565-8856-C9BD188AF638}"/>
    <cellStyle name="Normal 4 2 2 3 2 3 3 3 3" xfId="22444" xr:uid="{5983FE95-FC05-4BCD-A7F2-BBE2F63093FE}"/>
    <cellStyle name="Normal 4 2 2 3 2 3 3 4" xfId="9779" xr:uid="{5101D13A-FBA9-4D12-B04F-A43CD2D92D32}"/>
    <cellStyle name="Normal 4 2 2 3 2 3 3 5" xfId="18227" xr:uid="{B49D57FC-3840-41F4-9EE6-88F584CD36EC}"/>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6D9D72B6-F42E-4731-8C4D-4DCACB0FF2B3}"/>
    <cellStyle name="Normal 4 2 2 3 2 3 4 2 2 3" xfId="25002" xr:uid="{BBA97611-BB7D-43CB-AF9C-6B1E37030709}"/>
    <cellStyle name="Normal 4 2 2 3 2 3 4 2 3" xfId="12337" xr:uid="{7D436A64-E0DA-4F8F-AB0A-EEDEDF0F7877}"/>
    <cellStyle name="Normal 4 2 2 3 2 3 4 2 4" xfId="20785" xr:uid="{3A2DD11F-C0D8-4211-A5B5-28E1A0DC0B39}"/>
    <cellStyle name="Normal 4 2 2 3 2 3 4 3" xfId="5960" xr:uid="{00000000-0005-0000-0000-000029120000}"/>
    <cellStyle name="Normal 4 2 2 3 2 3 4 3 2" xfId="14410" xr:uid="{7EBC2EDD-7CEC-423D-8275-0E1EB6CDE1CF}"/>
    <cellStyle name="Normal 4 2 2 3 2 3 4 3 3" xfId="22857" xr:uid="{A2AE83C5-5F6D-4EF1-8385-8115509664CF}"/>
    <cellStyle name="Normal 4 2 2 3 2 3 4 4" xfId="10192" xr:uid="{FFCA0EB5-6FC8-4290-A204-5D5F21A826E6}"/>
    <cellStyle name="Normal 4 2 2 3 2 3 4 5" xfId="18640" xr:uid="{99977E69-CC10-404E-9773-07081E7A7B8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36E7E3CE-508C-4B34-9481-F699DA867CA1}"/>
    <cellStyle name="Normal 4 2 2 3 2 3 5 2 2 3" xfId="25415" xr:uid="{AB7AC5C7-5452-45B0-9FAF-05BB10CBE3C5}"/>
    <cellStyle name="Normal 4 2 2 3 2 3 5 2 3" xfId="12750" xr:uid="{9AD7C38B-973C-4693-9C06-D5A07E1FD65A}"/>
    <cellStyle name="Normal 4 2 2 3 2 3 5 2 4" xfId="21198" xr:uid="{F6A0CF05-EAF4-4A90-9C00-A81036F31F40}"/>
    <cellStyle name="Normal 4 2 2 3 2 3 5 3" xfId="6373" xr:uid="{00000000-0005-0000-0000-00002D120000}"/>
    <cellStyle name="Normal 4 2 2 3 2 3 5 3 2" xfId="14823" xr:uid="{15459285-A487-47C2-901D-AEF0496314A5}"/>
    <cellStyle name="Normal 4 2 2 3 2 3 5 3 3" xfId="23270" xr:uid="{83C222D9-18BC-42EC-A3E2-8D1C36F860DE}"/>
    <cellStyle name="Normal 4 2 2 3 2 3 5 4" xfId="10605" xr:uid="{BA485FF8-EF1E-45E9-9BBA-09B88EFDCCA0}"/>
    <cellStyle name="Normal 4 2 2 3 2 3 5 5" xfId="19053" xr:uid="{045C1E70-0B6A-46EA-A239-B10A34DFC399}"/>
    <cellStyle name="Normal 4 2 2 3 2 3 6" xfId="2503" xr:uid="{00000000-0005-0000-0000-00002E120000}"/>
    <cellStyle name="Normal 4 2 2 3 2 3 6 2" xfId="6786" xr:uid="{00000000-0005-0000-0000-00002F120000}"/>
    <cellStyle name="Normal 4 2 2 3 2 3 6 2 2" xfId="15236" xr:uid="{9FEBB50F-59A8-45D5-89F4-83C4C262605C}"/>
    <cellStyle name="Normal 4 2 2 3 2 3 6 2 3" xfId="23683" xr:uid="{DFA186E0-F4DC-4440-A72C-7547CD8D5222}"/>
    <cellStyle name="Normal 4 2 2 3 2 3 6 3" xfId="11018" xr:uid="{15EE13DE-065F-4645-B12D-BC475FBE0CC6}"/>
    <cellStyle name="Normal 4 2 2 3 2 3 6 4" xfId="19466" xr:uid="{0D4EFCA9-E7E4-4713-8E26-C23B962E7425}"/>
    <cellStyle name="Normal 4 2 2 3 2 3 7" xfId="4721" xr:uid="{00000000-0005-0000-0000-000030120000}"/>
    <cellStyle name="Normal 4 2 2 3 2 3 7 2" xfId="13171" xr:uid="{9B986F5A-C227-43CB-9ED4-0CF4E09FD9E7}"/>
    <cellStyle name="Normal 4 2 2 3 2 3 7 3" xfId="21618" xr:uid="{EAA5A036-DF62-4DF3-A6EC-611A2028AEEF}"/>
    <cellStyle name="Normal 4 2 2 3 2 3 8" xfId="8953" xr:uid="{A2CD5D28-FA42-412F-9864-85BBC0F59C88}"/>
    <cellStyle name="Normal 4 2 2 3 2 3 9" xfId="17401" xr:uid="{F5AE1C68-5DF0-4602-92A7-E612D265D74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E731E803-0A7E-4B6A-8D65-D07D31405DD8}"/>
    <cellStyle name="Normal 4 2 2 3 2 4 2 2 3" xfId="24173" xr:uid="{6AB4BCC6-DCD4-4E98-8483-9C2C3A1A7E6C}"/>
    <cellStyle name="Normal 4 2 2 3 2 4 2 3" xfId="11508" xr:uid="{463C0491-3606-494C-846F-6F0650D4D9E5}"/>
    <cellStyle name="Normal 4 2 2 3 2 4 2 4" xfId="19956" xr:uid="{4D6ACCCE-46F3-4A9A-86FE-017A2D602515}"/>
    <cellStyle name="Normal 4 2 2 3 2 4 3" xfId="5131" xr:uid="{00000000-0005-0000-0000-000034120000}"/>
    <cellStyle name="Normal 4 2 2 3 2 4 3 2" xfId="13581" xr:uid="{2CFE807D-9449-4180-B294-BAF6EACA70FB}"/>
    <cellStyle name="Normal 4 2 2 3 2 4 3 3" xfId="22028" xr:uid="{E8DBEE96-CE3C-4C7F-9DED-9B8885D0BBCF}"/>
    <cellStyle name="Normal 4 2 2 3 2 4 4" xfId="9363" xr:uid="{75971CCD-CF09-4FB4-BDBB-E4DF1E3C573B}"/>
    <cellStyle name="Normal 4 2 2 3 2 4 5" xfId="17811" xr:uid="{9FEFBC0D-8439-4869-A766-203EB2A8C41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D7C3866-F3B5-4F05-8FEC-25EFCF7FD1C9}"/>
    <cellStyle name="Normal 4 2 2 3 2 5 2 2 3" xfId="24586" xr:uid="{33B674A4-21DD-47B4-84C9-21A265CB75DE}"/>
    <cellStyle name="Normal 4 2 2 3 2 5 2 3" xfId="11921" xr:uid="{B5A17434-9615-4592-9905-9AFB0F8FEABC}"/>
    <cellStyle name="Normal 4 2 2 3 2 5 2 4" xfId="20369" xr:uid="{0C74A663-BDE2-46ED-8752-77984961C10F}"/>
    <cellStyle name="Normal 4 2 2 3 2 5 3" xfId="5544" xr:uid="{00000000-0005-0000-0000-000038120000}"/>
    <cellStyle name="Normal 4 2 2 3 2 5 3 2" xfId="13994" xr:uid="{C8B785E5-D117-4DCB-A5BC-BC2583E55624}"/>
    <cellStyle name="Normal 4 2 2 3 2 5 3 3" xfId="22441" xr:uid="{B715C9AD-C8EA-4F57-8E69-FB7A58E08735}"/>
    <cellStyle name="Normal 4 2 2 3 2 5 4" xfId="9776" xr:uid="{CD850EC9-982A-4ACA-A08E-0610C8A52D87}"/>
    <cellStyle name="Normal 4 2 2 3 2 5 5" xfId="18224" xr:uid="{6F20D0F5-47C7-4365-B023-642DBCE0714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C4EFED51-3F80-4A96-AECC-CA756EFC7A36}"/>
    <cellStyle name="Normal 4 2 2 3 2 6 2 2 3" xfId="24999" xr:uid="{BD92AF61-4228-42A0-832E-319667137734}"/>
    <cellStyle name="Normal 4 2 2 3 2 6 2 3" xfId="12334" xr:uid="{988C9976-7C8D-4981-AB98-3A9B75FA9779}"/>
    <cellStyle name="Normal 4 2 2 3 2 6 2 4" xfId="20782" xr:uid="{5EB58AB0-8B07-47B2-ACFB-C4EE06BFB225}"/>
    <cellStyle name="Normal 4 2 2 3 2 6 3" xfId="5957" xr:uid="{00000000-0005-0000-0000-00003C120000}"/>
    <cellStyle name="Normal 4 2 2 3 2 6 3 2" xfId="14407" xr:uid="{6237300C-1558-40B6-8673-500EB9270ADB}"/>
    <cellStyle name="Normal 4 2 2 3 2 6 3 3" xfId="22854" xr:uid="{DC7B55A2-9426-42AB-ACB8-B8C675D6B609}"/>
    <cellStyle name="Normal 4 2 2 3 2 6 4" xfId="10189" xr:uid="{99420D01-4AB5-4551-9AE1-9F208ABD12EC}"/>
    <cellStyle name="Normal 4 2 2 3 2 6 5" xfId="18637" xr:uid="{AA4BF5C4-901A-4768-82C3-9CA336E76042}"/>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6C0CE9F3-C1F4-4F0E-80B9-77BC357F990E}"/>
    <cellStyle name="Normal 4 2 2 3 2 7 2 2 3" xfId="25412" xr:uid="{FBE87ADD-4604-4464-8752-1EA6FF53BD4F}"/>
    <cellStyle name="Normal 4 2 2 3 2 7 2 3" xfId="12747" xr:uid="{390E34CD-7494-4D42-B4F8-4050F6269844}"/>
    <cellStyle name="Normal 4 2 2 3 2 7 2 4" xfId="21195" xr:uid="{0A71300D-6B19-4B3C-A5CD-4D29B7BF78F7}"/>
    <cellStyle name="Normal 4 2 2 3 2 7 3" xfId="6370" xr:uid="{00000000-0005-0000-0000-000040120000}"/>
    <cellStyle name="Normal 4 2 2 3 2 7 3 2" xfId="14820" xr:uid="{4CDD4D1F-14AF-4536-9C39-01E8830285ED}"/>
    <cellStyle name="Normal 4 2 2 3 2 7 3 3" xfId="23267" xr:uid="{9A42B916-3A4A-43AF-B52E-9F1B593D22C3}"/>
    <cellStyle name="Normal 4 2 2 3 2 7 4" xfId="10602" xr:uid="{5B2593BE-CBCA-45E9-A30F-84EBA38DAB49}"/>
    <cellStyle name="Normal 4 2 2 3 2 7 5" xfId="19050" xr:uid="{325A069B-A445-475B-BA14-F76D3F5B7968}"/>
    <cellStyle name="Normal 4 2 2 3 2 8" xfId="2500" xr:uid="{00000000-0005-0000-0000-000041120000}"/>
    <cellStyle name="Normal 4 2 2 3 2 8 2" xfId="6783" xr:uid="{00000000-0005-0000-0000-000042120000}"/>
    <cellStyle name="Normal 4 2 2 3 2 8 2 2" xfId="15233" xr:uid="{771F390C-BC5F-48F7-B851-8A160A85A989}"/>
    <cellStyle name="Normal 4 2 2 3 2 8 2 3" xfId="23680" xr:uid="{D6B22C40-A0E0-4389-8D2D-D744B64DCCC7}"/>
    <cellStyle name="Normal 4 2 2 3 2 8 3" xfId="11015" xr:uid="{503FD660-3C5F-48A7-B9E1-2F6EAAB7CEAF}"/>
    <cellStyle name="Normal 4 2 2 3 2 8 4" xfId="19463" xr:uid="{2B022CC6-9178-49F3-A3B0-E2073882584B}"/>
    <cellStyle name="Normal 4 2 2 3 2 9" xfId="4718" xr:uid="{00000000-0005-0000-0000-000043120000}"/>
    <cellStyle name="Normal 4 2 2 3 2 9 2" xfId="13168" xr:uid="{765EF8D8-95F3-48E6-BD80-CEDF75F8CAF0}"/>
    <cellStyle name="Normal 4 2 2 3 2 9 3" xfId="21615" xr:uid="{62B93B25-E643-4AEB-B9F6-B7D8C4DFD1C4}"/>
    <cellStyle name="Normal 4 2 2 3 3" xfId="344" xr:uid="{00000000-0005-0000-0000-000044120000}"/>
    <cellStyle name="Normal 4 2 2 3 3 10" xfId="17402" xr:uid="{97F5280A-BB63-4B48-986A-D134ABDDA2B2}"/>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E166D19F-FB05-4716-846A-DE6DA5F8AD62}"/>
    <cellStyle name="Normal 4 2 2 3 3 2 2 2 2 3" xfId="24178" xr:uid="{C3C4A7FF-006C-4269-AD52-3D41950B44F6}"/>
    <cellStyle name="Normal 4 2 2 3 3 2 2 2 3" xfId="11513" xr:uid="{03479541-423C-4500-AAB2-B7C42E7FC8D7}"/>
    <cellStyle name="Normal 4 2 2 3 3 2 2 2 4" xfId="19961" xr:uid="{1A1C4B1C-8EF0-4C5B-A6B5-8A38511E8766}"/>
    <cellStyle name="Normal 4 2 2 3 3 2 2 3" xfId="5136" xr:uid="{00000000-0005-0000-0000-000049120000}"/>
    <cellStyle name="Normal 4 2 2 3 3 2 2 3 2" xfId="13586" xr:uid="{87C3874B-E95A-4B51-84D0-CCCCEB3F9B75}"/>
    <cellStyle name="Normal 4 2 2 3 3 2 2 3 3" xfId="22033" xr:uid="{3B784216-1341-49A5-8EF7-B2A5E48F83E6}"/>
    <cellStyle name="Normal 4 2 2 3 3 2 2 4" xfId="9368" xr:uid="{FF1F86D7-C241-4314-8F59-993CCCEA722B}"/>
    <cellStyle name="Normal 4 2 2 3 3 2 2 5" xfId="17816" xr:uid="{461AD481-2848-49A9-B819-3C0E558CBC4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728A7A9B-F376-4A6C-BA53-11046A7EC7FF}"/>
    <cellStyle name="Normal 4 2 2 3 3 2 3 2 2 3" xfId="24591" xr:uid="{A7957486-0D77-48CC-8CE3-05C6A95C3D8E}"/>
    <cellStyle name="Normal 4 2 2 3 3 2 3 2 3" xfId="11926" xr:uid="{C814A791-8B8C-42E3-8DA6-7DB28F87079B}"/>
    <cellStyle name="Normal 4 2 2 3 3 2 3 2 4" xfId="20374" xr:uid="{24AAD421-CC0E-4746-9587-772FF451415B}"/>
    <cellStyle name="Normal 4 2 2 3 3 2 3 3" xfId="5549" xr:uid="{00000000-0005-0000-0000-00004D120000}"/>
    <cellStyle name="Normal 4 2 2 3 3 2 3 3 2" xfId="13999" xr:uid="{FC85BE4E-AAB9-4018-A730-C9BBB4D97980}"/>
    <cellStyle name="Normal 4 2 2 3 3 2 3 3 3" xfId="22446" xr:uid="{602B0001-6C4D-49DA-AD62-A2F34D57817F}"/>
    <cellStyle name="Normal 4 2 2 3 3 2 3 4" xfId="9781" xr:uid="{6A739AD3-BAF3-481D-859A-A1AED488CCB6}"/>
    <cellStyle name="Normal 4 2 2 3 3 2 3 5" xfId="18229" xr:uid="{F6A87760-876A-4674-A804-9E9395498AE2}"/>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1F48A229-4DF3-45DF-8175-B186D3F3C9D1}"/>
    <cellStyle name="Normal 4 2 2 3 3 2 4 2 2 3" xfId="25004" xr:uid="{C45C2D88-3253-4B1B-800D-D07DF19EC87E}"/>
    <cellStyle name="Normal 4 2 2 3 3 2 4 2 3" xfId="12339" xr:uid="{9D8265D7-0D1F-4824-A317-2C03C7E18ADF}"/>
    <cellStyle name="Normal 4 2 2 3 3 2 4 2 4" xfId="20787" xr:uid="{697DB09A-D853-452D-9DF1-F12A9F3D2217}"/>
    <cellStyle name="Normal 4 2 2 3 3 2 4 3" xfId="5962" xr:uid="{00000000-0005-0000-0000-000051120000}"/>
    <cellStyle name="Normal 4 2 2 3 3 2 4 3 2" xfId="14412" xr:uid="{BF4F82EE-2F18-46C7-BDC6-AAE80761EFDE}"/>
    <cellStyle name="Normal 4 2 2 3 3 2 4 3 3" xfId="22859" xr:uid="{DA8B697A-E7FB-4F63-A532-4C81A73DB0B6}"/>
    <cellStyle name="Normal 4 2 2 3 3 2 4 4" xfId="10194" xr:uid="{62D20D77-91AC-4D0A-84E5-972BEE2007DE}"/>
    <cellStyle name="Normal 4 2 2 3 3 2 4 5" xfId="18642" xr:uid="{1F42E82D-A004-4702-A727-48786A89FB5E}"/>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36DE6AF6-A65F-44BE-A517-38F180E7E9B5}"/>
    <cellStyle name="Normal 4 2 2 3 3 2 5 2 2 3" xfId="25417" xr:uid="{58CF9526-51CF-4225-819C-498BBDE18FB5}"/>
    <cellStyle name="Normal 4 2 2 3 3 2 5 2 3" xfId="12752" xr:uid="{E096413C-5D3A-4E97-A284-7A6F27D56654}"/>
    <cellStyle name="Normal 4 2 2 3 3 2 5 2 4" xfId="21200" xr:uid="{10EF0191-B003-49E0-B99D-CC5D46D6E965}"/>
    <cellStyle name="Normal 4 2 2 3 3 2 5 3" xfId="6375" xr:uid="{00000000-0005-0000-0000-000055120000}"/>
    <cellStyle name="Normal 4 2 2 3 3 2 5 3 2" xfId="14825" xr:uid="{222A3F12-CAC6-488A-8A33-E8812F8E7C01}"/>
    <cellStyle name="Normal 4 2 2 3 3 2 5 3 3" xfId="23272" xr:uid="{D4AA83E2-DF6A-4654-8164-B6648FAA83A9}"/>
    <cellStyle name="Normal 4 2 2 3 3 2 5 4" xfId="10607" xr:uid="{60861C0D-F9B4-4E6E-BD2C-AE574C313A8C}"/>
    <cellStyle name="Normal 4 2 2 3 3 2 5 5" xfId="19055" xr:uid="{9DFBC4E5-6BB5-498F-8B19-E0E1AA081906}"/>
    <cellStyle name="Normal 4 2 2 3 3 2 6" xfId="2505" xr:uid="{00000000-0005-0000-0000-000056120000}"/>
    <cellStyle name="Normal 4 2 2 3 3 2 6 2" xfId="6788" xr:uid="{00000000-0005-0000-0000-000057120000}"/>
    <cellStyle name="Normal 4 2 2 3 3 2 6 2 2" xfId="15238" xr:uid="{04E06734-FE0F-4E96-8CCA-EBBA774E1337}"/>
    <cellStyle name="Normal 4 2 2 3 3 2 6 2 3" xfId="23685" xr:uid="{7EF67B76-FB72-4C73-B239-10BAB5BAC3A6}"/>
    <cellStyle name="Normal 4 2 2 3 3 2 6 3" xfId="11020" xr:uid="{C63B0782-2BF1-4FCE-8D25-03B7B7CB6415}"/>
    <cellStyle name="Normal 4 2 2 3 3 2 6 4" xfId="19468" xr:uid="{17C95FEC-419E-4965-A99F-51ADC0889C7A}"/>
    <cellStyle name="Normal 4 2 2 3 3 2 7" xfId="4723" xr:uid="{00000000-0005-0000-0000-000058120000}"/>
    <cellStyle name="Normal 4 2 2 3 3 2 7 2" xfId="13173" xr:uid="{6DA76B05-4D47-46FE-8F57-F56ECF5FC6E7}"/>
    <cellStyle name="Normal 4 2 2 3 3 2 7 3" xfId="21620" xr:uid="{F33755C4-65C6-4C86-A52E-81D4A13869D1}"/>
    <cellStyle name="Normal 4 2 2 3 3 2 8" xfId="8955" xr:uid="{D2E9829B-2370-456D-8D1E-EB0C05A44945}"/>
    <cellStyle name="Normal 4 2 2 3 3 2 9" xfId="17403" xr:uid="{36A5BA02-458B-463C-8753-8D435AFE3CA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67C0908B-64A5-4579-A9C1-B72238EB47E4}"/>
    <cellStyle name="Normal 4 2 2 3 3 3 2 2 3" xfId="24177" xr:uid="{4068223E-65F1-47CA-B5D7-4A734B5BB8AB}"/>
    <cellStyle name="Normal 4 2 2 3 3 3 2 3" xfId="11512" xr:uid="{2A6328F3-2D21-43ED-9D19-6AC49D1C6F1C}"/>
    <cellStyle name="Normal 4 2 2 3 3 3 2 4" xfId="19960" xr:uid="{774F8113-7B47-44AB-9BCF-92F1557E4844}"/>
    <cellStyle name="Normal 4 2 2 3 3 3 3" xfId="5135" xr:uid="{00000000-0005-0000-0000-00005C120000}"/>
    <cellStyle name="Normal 4 2 2 3 3 3 3 2" xfId="13585" xr:uid="{899144F6-EEEC-4279-894A-0A4C923B8995}"/>
    <cellStyle name="Normal 4 2 2 3 3 3 3 3" xfId="22032" xr:uid="{4B62CF65-2D81-41FB-BC29-73673AC122D1}"/>
    <cellStyle name="Normal 4 2 2 3 3 3 4" xfId="9367" xr:uid="{EF98D091-58A0-4EE4-8B6D-0677730D282E}"/>
    <cellStyle name="Normal 4 2 2 3 3 3 5" xfId="17815" xr:uid="{A14B86F8-435D-4508-9F7F-5CE9E78E6FB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16DF6B6E-1F03-4324-A5FC-65E878920CCC}"/>
    <cellStyle name="Normal 4 2 2 3 3 4 2 2 3" xfId="24590" xr:uid="{3C40512F-B997-4C36-AC9C-0C4CA01112F2}"/>
    <cellStyle name="Normal 4 2 2 3 3 4 2 3" xfId="11925" xr:uid="{E9B00A35-D709-42DE-96A1-BA1075A8402D}"/>
    <cellStyle name="Normal 4 2 2 3 3 4 2 4" xfId="20373" xr:uid="{12E878E0-DB9C-4021-9AF3-8B424551E17D}"/>
    <cellStyle name="Normal 4 2 2 3 3 4 3" xfId="5548" xr:uid="{00000000-0005-0000-0000-000060120000}"/>
    <cellStyle name="Normal 4 2 2 3 3 4 3 2" xfId="13998" xr:uid="{F122E917-85C9-4D52-BBA6-989F2A737714}"/>
    <cellStyle name="Normal 4 2 2 3 3 4 3 3" xfId="22445" xr:uid="{7F979B9E-9F47-4940-8954-67AF549E56F4}"/>
    <cellStyle name="Normal 4 2 2 3 3 4 4" xfId="9780" xr:uid="{D8BEB0BD-32DC-4DD6-A8E0-31A4A5005CAF}"/>
    <cellStyle name="Normal 4 2 2 3 3 4 5" xfId="18228" xr:uid="{8F52C439-ACB5-4E7D-A17F-62AD6A4ECADA}"/>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176F3AE1-E96B-4BF6-BA9C-6104277F6A0C}"/>
    <cellStyle name="Normal 4 2 2 3 3 5 2 2 3" xfId="25003" xr:uid="{9ECA60DE-C681-407D-8E00-A45E25156E9F}"/>
    <cellStyle name="Normal 4 2 2 3 3 5 2 3" xfId="12338" xr:uid="{CB1E8ED3-81D3-42A4-B894-C0A9E25FDF2F}"/>
    <cellStyle name="Normal 4 2 2 3 3 5 2 4" xfId="20786" xr:uid="{C97CAEA8-E41B-4033-ADC8-80CC6CCBB168}"/>
    <cellStyle name="Normal 4 2 2 3 3 5 3" xfId="5961" xr:uid="{00000000-0005-0000-0000-000064120000}"/>
    <cellStyle name="Normal 4 2 2 3 3 5 3 2" xfId="14411" xr:uid="{E12ACDC7-D794-4948-810F-17FF3B71AFA0}"/>
    <cellStyle name="Normal 4 2 2 3 3 5 3 3" xfId="22858" xr:uid="{1D8839D1-1A56-44AA-9C50-6BC0F7C24EED}"/>
    <cellStyle name="Normal 4 2 2 3 3 5 4" xfId="10193" xr:uid="{27163BC3-A910-4601-B4AE-C3E8E4C92D30}"/>
    <cellStyle name="Normal 4 2 2 3 3 5 5" xfId="18641" xr:uid="{2143887E-AB5D-42D3-B1DD-4A7F6E2ACA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7488E189-C8EE-485E-8A22-2770C7CAE3FA}"/>
    <cellStyle name="Normal 4 2 2 3 3 6 2 2 3" xfId="25416" xr:uid="{58D7DBC5-DD09-4E4B-8698-7D24442E6EDA}"/>
    <cellStyle name="Normal 4 2 2 3 3 6 2 3" xfId="12751" xr:uid="{712FB3B2-EF8A-4AD6-97AE-28D1D691962B}"/>
    <cellStyle name="Normal 4 2 2 3 3 6 2 4" xfId="21199" xr:uid="{50F40ABF-F234-4397-84A1-63807B67BE7A}"/>
    <cellStyle name="Normal 4 2 2 3 3 6 3" xfId="6374" xr:uid="{00000000-0005-0000-0000-000068120000}"/>
    <cellStyle name="Normal 4 2 2 3 3 6 3 2" xfId="14824" xr:uid="{7BA363FA-72B2-4D2F-A53D-42D78BEFE8E5}"/>
    <cellStyle name="Normal 4 2 2 3 3 6 3 3" xfId="23271" xr:uid="{9D9FF833-6444-4CC1-90AD-B66C6CF056B9}"/>
    <cellStyle name="Normal 4 2 2 3 3 6 4" xfId="10606" xr:uid="{6C2978F5-29DD-4988-8D4A-DC7305BB130B}"/>
    <cellStyle name="Normal 4 2 2 3 3 6 5" xfId="19054" xr:uid="{34C85B58-DAA7-4F87-93CB-7CF0C5AC35E0}"/>
    <cellStyle name="Normal 4 2 2 3 3 7" xfId="2504" xr:uid="{00000000-0005-0000-0000-000069120000}"/>
    <cellStyle name="Normal 4 2 2 3 3 7 2" xfId="6787" xr:uid="{00000000-0005-0000-0000-00006A120000}"/>
    <cellStyle name="Normal 4 2 2 3 3 7 2 2" xfId="15237" xr:uid="{D9C1CE8B-5641-421F-9A2F-FF26EC27B144}"/>
    <cellStyle name="Normal 4 2 2 3 3 7 2 3" xfId="23684" xr:uid="{CBD8CB41-8B34-4D99-BD9C-AA05DC2CC1F0}"/>
    <cellStyle name="Normal 4 2 2 3 3 7 3" xfId="11019" xr:uid="{F5E323BB-1F73-4A85-A7B9-0D3BD089D111}"/>
    <cellStyle name="Normal 4 2 2 3 3 7 4" xfId="19467" xr:uid="{0F8FA840-9882-4B6A-8D1E-6A2FAC3E1EA3}"/>
    <cellStyle name="Normal 4 2 2 3 3 8" xfId="4722" xr:uid="{00000000-0005-0000-0000-00006B120000}"/>
    <cellStyle name="Normal 4 2 2 3 3 8 2" xfId="13172" xr:uid="{FD470FAB-D7F0-4DF1-872A-5F68596F288D}"/>
    <cellStyle name="Normal 4 2 2 3 3 8 3" xfId="21619" xr:uid="{50146DD1-80B7-42EE-8C66-B39A741BEA8B}"/>
    <cellStyle name="Normal 4 2 2 3 3 9" xfId="8954" xr:uid="{2E9F500B-8689-4254-9453-31AF5C47D568}"/>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2E4B3493-46EA-44C1-886D-2F21FF807041}"/>
    <cellStyle name="Normal 4 2 2 3 4 2 2 2 3" xfId="24179" xr:uid="{58DF58D4-0D37-4832-8E75-77A6AB6BC990}"/>
    <cellStyle name="Normal 4 2 2 3 4 2 2 3" xfId="11514" xr:uid="{EA2BD80E-8CF3-4BD7-8A5E-8311C7C8E218}"/>
    <cellStyle name="Normal 4 2 2 3 4 2 2 4" xfId="19962" xr:uid="{70C91201-5679-4B0E-8500-72A1216537B0}"/>
    <cellStyle name="Normal 4 2 2 3 4 2 3" xfId="5137" xr:uid="{00000000-0005-0000-0000-000070120000}"/>
    <cellStyle name="Normal 4 2 2 3 4 2 3 2" xfId="13587" xr:uid="{A9999F16-BAB0-41D1-8353-06EE73B57721}"/>
    <cellStyle name="Normal 4 2 2 3 4 2 3 3" xfId="22034" xr:uid="{BDB25FD9-6F19-446E-8787-DC30F2BDD8A0}"/>
    <cellStyle name="Normal 4 2 2 3 4 2 4" xfId="9369" xr:uid="{2A070B9E-1D08-4575-A94A-E58AF035D32B}"/>
    <cellStyle name="Normal 4 2 2 3 4 2 5" xfId="17817" xr:uid="{398D4FA9-C6D1-4E7F-B186-6161E7C42D9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6FA911D8-A79A-4087-AC14-9BEABE8C5D04}"/>
    <cellStyle name="Normal 4 2 2 3 4 3 2 2 3" xfId="24592" xr:uid="{498747F3-395B-4191-A96E-DFEB0364FAE8}"/>
    <cellStyle name="Normal 4 2 2 3 4 3 2 3" xfId="11927" xr:uid="{D13C0AB4-442F-4585-9167-A331738091A7}"/>
    <cellStyle name="Normal 4 2 2 3 4 3 2 4" xfId="20375" xr:uid="{2AAD6056-46D6-473A-B102-7598ECB106B0}"/>
    <cellStyle name="Normal 4 2 2 3 4 3 3" xfId="5550" xr:uid="{00000000-0005-0000-0000-000074120000}"/>
    <cellStyle name="Normal 4 2 2 3 4 3 3 2" xfId="14000" xr:uid="{30DEDDEB-E6CC-4553-B6E6-B1C1E87C713E}"/>
    <cellStyle name="Normal 4 2 2 3 4 3 3 3" xfId="22447" xr:uid="{D0CA2288-29D5-4B41-A8A6-530CCEB98206}"/>
    <cellStyle name="Normal 4 2 2 3 4 3 4" xfId="9782" xr:uid="{2D2EEB03-E597-4DD6-B592-B35896CD8DB0}"/>
    <cellStyle name="Normal 4 2 2 3 4 3 5" xfId="18230" xr:uid="{823E072C-F9DE-4B56-BE60-7667F7A31606}"/>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138A19FB-2663-4B15-BAE0-EE0EAB3460B4}"/>
    <cellStyle name="Normal 4 2 2 3 4 4 2 2 3" xfId="25005" xr:uid="{7EC57467-91FF-4702-BCCF-5BF2DA9B869F}"/>
    <cellStyle name="Normal 4 2 2 3 4 4 2 3" xfId="12340" xr:uid="{55E68FDE-B2E8-45CF-BB15-36A0FF8DFE47}"/>
    <cellStyle name="Normal 4 2 2 3 4 4 2 4" xfId="20788" xr:uid="{C3E02A4C-F07C-4AED-94F0-70C71F6053C5}"/>
    <cellStyle name="Normal 4 2 2 3 4 4 3" xfId="5963" xr:uid="{00000000-0005-0000-0000-000078120000}"/>
    <cellStyle name="Normal 4 2 2 3 4 4 3 2" xfId="14413" xr:uid="{5E684091-84A5-40F0-939D-698EFA35415E}"/>
    <cellStyle name="Normal 4 2 2 3 4 4 3 3" xfId="22860" xr:uid="{A3F8A481-F4F2-4EBA-888C-ED1717157386}"/>
    <cellStyle name="Normal 4 2 2 3 4 4 4" xfId="10195" xr:uid="{EA7B32DD-B441-4FA3-9FBB-30DEC4BB70CB}"/>
    <cellStyle name="Normal 4 2 2 3 4 4 5" xfId="18643" xr:uid="{B722991C-892E-4B24-81A3-9B0D4DE6BD47}"/>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1985F365-8924-4F01-B5D6-47500384F01F}"/>
    <cellStyle name="Normal 4 2 2 3 4 5 2 2 3" xfId="25418" xr:uid="{A8C259E4-15AF-4E8C-BC73-14BA2F717C9A}"/>
    <cellStyle name="Normal 4 2 2 3 4 5 2 3" xfId="12753" xr:uid="{819FCDE6-C440-4937-B7A7-448FF6C8A03C}"/>
    <cellStyle name="Normal 4 2 2 3 4 5 2 4" xfId="21201" xr:uid="{849F8268-A504-4341-B76F-42EC5A73D605}"/>
    <cellStyle name="Normal 4 2 2 3 4 5 3" xfId="6376" xr:uid="{00000000-0005-0000-0000-00007C120000}"/>
    <cellStyle name="Normal 4 2 2 3 4 5 3 2" xfId="14826" xr:uid="{55A5B916-E30F-4F09-B3E0-9CFA64B54D41}"/>
    <cellStyle name="Normal 4 2 2 3 4 5 3 3" xfId="23273" xr:uid="{F436AADD-40E9-4DB7-90CA-7C5C738E5325}"/>
    <cellStyle name="Normal 4 2 2 3 4 5 4" xfId="10608" xr:uid="{623232C5-C823-4F34-B2F9-BF40FF145E8D}"/>
    <cellStyle name="Normal 4 2 2 3 4 5 5" xfId="19056" xr:uid="{62DE9148-A4B6-4E87-8EA8-05E80EB1F2A4}"/>
    <cellStyle name="Normal 4 2 2 3 4 6" xfId="2506" xr:uid="{00000000-0005-0000-0000-00007D120000}"/>
    <cellStyle name="Normal 4 2 2 3 4 6 2" xfId="6789" xr:uid="{00000000-0005-0000-0000-00007E120000}"/>
    <cellStyle name="Normal 4 2 2 3 4 6 2 2" xfId="15239" xr:uid="{F61870BA-B793-47DF-8291-08AF618B9013}"/>
    <cellStyle name="Normal 4 2 2 3 4 6 2 3" xfId="23686" xr:uid="{CED6A954-472D-4FCA-BA3E-4DE8C9E12D31}"/>
    <cellStyle name="Normal 4 2 2 3 4 6 3" xfId="11021" xr:uid="{6CA0DA4C-15CC-49FD-8D31-9C753023F6F4}"/>
    <cellStyle name="Normal 4 2 2 3 4 6 4" xfId="19469" xr:uid="{F5222406-FBA4-4925-8053-6D6BBF01C640}"/>
    <cellStyle name="Normal 4 2 2 3 4 7" xfId="4724" xr:uid="{00000000-0005-0000-0000-00007F120000}"/>
    <cellStyle name="Normal 4 2 2 3 4 7 2" xfId="13174" xr:uid="{16E50DD8-7D8C-4AB1-964E-7ECBCB1FD805}"/>
    <cellStyle name="Normal 4 2 2 3 4 7 3" xfId="21621" xr:uid="{A2428FC2-89D7-433E-9B12-950E0CE4FB4C}"/>
    <cellStyle name="Normal 4 2 2 3 4 8" xfId="8956" xr:uid="{5BB1A13F-C14C-422F-9A26-BABD33A9C352}"/>
    <cellStyle name="Normal 4 2 2 3 4 9" xfId="17404" xr:uid="{DAE9271C-EC94-413F-BE8C-0E5F6B26166F}"/>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047AEB79-E41E-44BE-9AD3-9FB481771DB1}"/>
    <cellStyle name="Normal 4 2 2 3 5 2 2 3" xfId="24172" xr:uid="{D120BD66-F9B9-4249-B17C-2DC65B20FA02}"/>
    <cellStyle name="Normal 4 2 2 3 5 2 3" xfId="11507" xr:uid="{E98DCF6E-4E6D-4011-A6E7-6A0E5547ABB8}"/>
    <cellStyle name="Normal 4 2 2 3 5 2 4" xfId="19955" xr:uid="{23E8D2DC-A5D7-4779-805F-656908544787}"/>
    <cellStyle name="Normal 4 2 2 3 5 3" xfId="5130" xr:uid="{00000000-0005-0000-0000-000083120000}"/>
    <cellStyle name="Normal 4 2 2 3 5 3 2" xfId="13580" xr:uid="{F0CCE415-F844-48C3-8965-27E0970A03A0}"/>
    <cellStyle name="Normal 4 2 2 3 5 3 3" xfId="22027" xr:uid="{617344DB-0FC0-4637-9917-CDCB30647313}"/>
    <cellStyle name="Normal 4 2 2 3 5 4" xfId="9362" xr:uid="{776DD216-FEC6-4ECB-A94B-97BDA80FAD7F}"/>
    <cellStyle name="Normal 4 2 2 3 5 5" xfId="17810" xr:uid="{54FBF9FB-BB64-4C55-9D0B-8855A5DC2459}"/>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8B7C7CDE-D8E5-467E-87F8-D3678D438D69}"/>
    <cellStyle name="Normal 4 2 2 3 6 2 2 3" xfId="24585" xr:uid="{0C8759BA-A95A-410C-8AA9-9697500D770E}"/>
    <cellStyle name="Normal 4 2 2 3 6 2 3" xfId="11920" xr:uid="{063EB9CB-7434-4BB8-98A5-BD2D989B502F}"/>
    <cellStyle name="Normal 4 2 2 3 6 2 4" xfId="20368" xr:uid="{3C554D04-570E-4950-A752-1975AD26A178}"/>
    <cellStyle name="Normal 4 2 2 3 6 3" xfId="5543" xr:uid="{00000000-0005-0000-0000-000087120000}"/>
    <cellStyle name="Normal 4 2 2 3 6 3 2" xfId="13993" xr:uid="{6875632E-045B-400C-B852-FFF61D457049}"/>
    <cellStyle name="Normal 4 2 2 3 6 3 3" xfId="22440" xr:uid="{7833263C-F011-4ACC-9049-ACB1E6F5F821}"/>
    <cellStyle name="Normal 4 2 2 3 6 4" xfId="9775" xr:uid="{AB0CE5B6-72D2-41E5-9516-F69F5840195B}"/>
    <cellStyle name="Normal 4 2 2 3 6 5" xfId="18223" xr:uid="{146FB2AA-24B3-4002-978A-BAB5D8C7BCCB}"/>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836F7FA9-FFE8-4675-B042-90E7B635FEFE}"/>
    <cellStyle name="Normal 4 2 2 3 7 2 2 3" xfId="24998" xr:uid="{60278CBE-3E52-4822-B14B-C768567F8455}"/>
    <cellStyle name="Normal 4 2 2 3 7 2 3" xfId="12333" xr:uid="{57E308FB-89AD-4239-8665-D23DF851D65F}"/>
    <cellStyle name="Normal 4 2 2 3 7 2 4" xfId="20781" xr:uid="{B4F995BD-8D4E-4A1B-A215-BD77F93B0037}"/>
    <cellStyle name="Normal 4 2 2 3 7 3" xfId="5956" xr:uid="{00000000-0005-0000-0000-00008B120000}"/>
    <cellStyle name="Normal 4 2 2 3 7 3 2" xfId="14406" xr:uid="{34497375-0EDC-4549-87A5-A42EE8FF2C24}"/>
    <cellStyle name="Normal 4 2 2 3 7 3 3" xfId="22853" xr:uid="{300B04B1-1FA4-4A4A-88D0-BB0B8E0E7D51}"/>
    <cellStyle name="Normal 4 2 2 3 7 4" xfId="10188" xr:uid="{43380EFA-DB51-4930-A393-705D95399826}"/>
    <cellStyle name="Normal 4 2 2 3 7 5" xfId="18636" xr:uid="{5FC77D1F-B132-4773-9ACE-CEB9F25F8A0E}"/>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D3B4BD8A-1EAC-4211-B7FD-A0CC42E82B0E}"/>
    <cellStyle name="Normal 4 2 2 3 8 2 2 3" xfId="25411" xr:uid="{43129666-FC51-4B2F-A628-F9746A2E3442}"/>
    <cellStyle name="Normal 4 2 2 3 8 2 3" xfId="12746" xr:uid="{98BE1288-AECB-4EDB-AC26-D5CF75AA9F7C}"/>
    <cellStyle name="Normal 4 2 2 3 8 2 4" xfId="21194" xr:uid="{EFCDD89F-C9F9-4B6D-9A79-FD37E424592B}"/>
    <cellStyle name="Normal 4 2 2 3 8 3" xfId="6369" xr:uid="{00000000-0005-0000-0000-00008F120000}"/>
    <cellStyle name="Normal 4 2 2 3 8 3 2" xfId="14819" xr:uid="{BAE8F3B7-AC44-4334-B1D9-4A2636634C6B}"/>
    <cellStyle name="Normal 4 2 2 3 8 3 3" xfId="23266" xr:uid="{3DC5B03C-47C6-4281-AEA8-AB2233DB1772}"/>
    <cellStyle name="Normal 4 2 2 3 8 4" xfId="10601" xr:uid="{6888EAD8-1669-4241-B6D8-EC6789C546CC}"/>
    <cellStyle name="Normal 4 2 2 3 8 5" xfId="19049" xr:uid="{531EAC42-1C79-478B-A0F6-23D98D4550E2}"/>
    <cellStyle name="Normal 4 2 2 3 9" xfId="2499" xr:uid="{00000000-0005-0000-0000-000090120000}"/>
    <cellStyle name="Normal 4 2 2 3 9 2" xfId="6782" xr:uid="{00000000-0005-0000-0000-000091120000}"/>
    <cellStyle name="Normal 4 2 2 3 9 2 2" xfId="15232" xr:uid="{6F28C493-8E64-4242-840E-C420D8E31AA9}"/>
    <cellStyle name="Normal 4 2 2 3 9 2 3" xfId="23679" xr:uid="{A00DDC40-7047-477E-93C1-7B430C76C7A3}"/>
    <cellStyle name="Normal 4 2 2 3 9 3" xfId="11014" xr:uid="{53B81E34-2110-4B20-AE78-20B44B89ADE9}"/>
    <cellStyle name="Normal 4 2 2 3 9 4" xfId="19462" xr:uid="{87F8EB13-9686-4EA2-B52B-96EA6C323B5E}"/>
    <cellStyle name="Normal 4 2 2 4" xfId="347" xr:uid="{00000000-0005-0000-0000-000092120000}"/>
    <cellStyle name="Normal 4 2 2 4 10" xfId="8957" xr:uid="{5B0DAB3C-6FAC-4B45-9B5B-E83AC38FA54A}"/>
    <cellStyle name="Normal 4 2 2 4 11" xfId="17405" xr:uid="{DBE91142-183C-44E6-A77D-38C96539331B}"/>
    <cellStyle name="Normal 4 2 2 4 2" xfId="348" xr:uid="{00000000-0005-0000-0000-000093120000}"/>
    <cellStyle name="Normal 4 2 2 4 2 10" xfId="17406" xr:uid="{4689CA5A-5090-46AA-A437-50B50F749E2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618966E0-F3D7-44E3-8D8B-C4C7664933A6}"/>
    <cellStyle name="Normal 4 2 2 4 2 2 2 2 2 3" xfId="24182" xr:uid="{BAD87889-16BC-4D43-98CA-802E03957D6D}"/>
    <cellStyle name="Normal 4 2 2 4 2 2 2 2 3" xfId="11517" xr:uid="{9F1B3654-37C0-4B9B-B97F-BD01939241C2}"/>
    <cellStyle name="Normal 4 2 2 4 2 2 2 2 4" xfId="19965" xr:uid="{6CDB87D0-5B2A-4614-BAC2-708127D9C906}"/>
    <cellStyle name="Normal 4 2 2 4 2 2 2 3" xfId="5140" xr:uid="{00000000-0005-0000-0000-000098120000}"/>
    <cellStyle name="Normal 4 2 2 4 2 2 2 3 2" xfId="13590" xr:uid="{0A7D1514-AEDC-4D0D-8A59-4A902D21359D}"/>
    <cellStyle name="Normal 4 2 2 4 2 2 2 3 3" xfId="22037" xr:uid="{72089192-9BE8-4C8A-9E20-C0402F3E797A}"/>
    <cellStyle name="Normal 4 2 2 4 2 2 2 4" xfId="9372" xr:uid="{403007DE-2FF3-4EAB-9592-F791FAB4EC0D}"/>
    <cellStyle name="Normal 4 2 2 4 2 2 2 5" xfId="17820" xr:uid="{1E427262-5AE9-4BF5-B02B-5CD48364F7F3}"/>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50DC7731-EDD6-44E5-AF1F-30F197211F30}"/>
    <cellStyle name="Normal 4 2 2 4 2 2 3 2 2 3" xfId="24595" xr:uid="{20D73CF6-CACC-4C3A-A490-5E8E6CFCE54E}"/>
    <cellStyle name="Normal 4 2 2 4 2 2 3 2 3" xfId="11930" xr:uid="{93E74566-9441-48E0-BED8-FFF0E4C6B72E}"/>
    <cellStyle name="Normal 4 2 2 4 2 2 3 2 4" xfId="20378" xr:uid="{DD865C47-1E8B-4D88-9880-FD5DA7131D46}"/>
    <cellStyle name="Normal 4 2 2 4 2 2 3 3" xfId="5553" xr:uid="{00000000-0005-0000-0000-00009C120000}"/>
    <cellStyle name="Normal 4 2 2 4 2 2 3 3 2" xfId="14003" xr:uid="{DDA4AC6F-724E-409E-A71D-3628A00CDCB4}"/>
    <cellStyle name="Normal 4 2 2 4 2 2 3 3 3" xfId="22450" xr:uid="{619419F6-4FDF-4ADE-8373-E3CDD2E55BD8}"/>
    <cellStyle name="Normal 4 2 2 4 2 2 3 4" xfId="9785" xr:uid="{6E47AD62-95D6-46F6-A8E7-BDD359D536C9}"/>
    <cellStyle name="Normal 4 2 2 4 2 2 3 5" xfId="18233" xr:uid="{16E4F9A3-CEEF-43C4-9F18-3360A7D8BC7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9E701EB8-D574-47DD-B4A2-82E3387B88CA}"/>
    <cellStyle name="Normal 4 2 2 4 2 2 4 2 2 3" xfId="25008" xr:uid="{963D6485-6215-4519-A87A-6CBC3F0E7BEF}"/>
    <cellStyle name="Normal 4 2 2 4 2 2 4 2 3" xfId="12343" xr:uid="{D63B20B5-EEA6-4748-8E20-B51C3421AD38}"/>
    <cellStyle name="Normal 4 2 2 4 2 2 4 2 4" xfId="20791" xr:uid="{4C7A39AC-F350-4CD4-A7C2-7447568A0F69}"/>
    <cellStyle name="Normal 4 2 2 4 2 2 4 3" xfId="5966" xr:uid="{00000000-0005-0000-0000-0000A0120000}"/>
    <cellStyle name="Normal 4 2 2 4 2 2 4 3 2" xfId="14416" xr:uid="{B430E089-5E91-46FA-B83D-B25AB19BBAB9}"/>
    <cellStyle name="Normal 4 2 2 4 2 2 4 3 3" xfId="22863" xr:uid="{BD5FA634-C588-46AF-B3A1-63DC65585A59}"/>
    <cellStyle name="Normal 4 2 2 4 2 2 4 4" xfId="10198" xr:uid="{C5719849-9868-4A7F-BF3F-CF89BAD665F0}"/>
    <cellStyle name="Normal 4 2 2 4 2 2 4 5" xfId="18646" xr:uid="{B89F8A75-2D05-460B-8161-0C97E5F5129B}"/>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5F11B9FD-CCD6-43E0-96BC-FA5BA91C4DCE}"/>
    <cellStyle name="Normal 4 2 2 4 2 2 5 2 2 3" xfId="25421" xr:uid="{39969B5A-D1B3-4D47-9C1A-A8D633884F4B}"/>
    <cellStyle name="Normal 4 2 2 4 2 2 5 2 3" xfId="12756" xr:uid="{805CF6CE-C584-4C8E-946C-8658A01B57FB}"/>
    <cellStyle name="Normal 4 2 2 4 2 2 5 2 4" xfId="21204" xr:uid="{5670FBBC-37B7-4D52-9C42-65AB477DEC70}"/>
    <cellStyle name="Normal 4 2 2 4 2 2 5 3" xfId="6379" xr:uid="{00000000-0005-0000-0000-0000A4120000}"/>
    <cellStyle name="Normal 4 2 2 4 2 2 5 3 2" xfId="14829" xr:uid="{DEF879EC-AC1A-4B36-8116-6F727F68F1E2}"/>
    <cellStyle name="Normal 4 2 2 4 2 2 5 3 3" xfId="23276" xr:uid="{E51E13A1-ACBA-494F-8D27-DBFB325DCA30}"/>
    <cellStyle name="Normal 4 2 2 4 2 2 5 4" xfId="10611" xr:uid="{14CAAB6C-6183-41A7-B287-A83444ECACAA}"/>
    <cellStyle name="Normal 4 2 2 4 2 2 5 5" xfId="19059" xr:uid="{878A1F54-D74A-447F-B6E7-B74AF1D2D53D}"/>
    <cellStyle name="Normal 4 2 2 4 2 2 6" xfId="2509" xr:uid="{00000000-0005-0000-0000-0000A5120000}"/>
    <cellStyle name="Normal 4 2 2 4 2 2 6 2" xfId="6792" xr:uid="{00000000-0005-0000-0000-0000A6120000}"/>
    <cellStyle name="Normal 4 2 2 4 2 2 6 2 2" xfId="15242" xr:uid="{CFF5F53A-69BD-4A14-8180-28144BA0456A}"/>
    <cellStyle name="Normal 4 2 2 4 2 2 6 2 3" xfId="23689" xr:uid="{F574C3E7-F9B3-450B-9C39-E39C6C2EAA03}"/>
    <cellStyle name="Normal 4 2 2 4 2 2 6 3" xfId="11024" xr:uid="{EDFED20C-2940-4094-B5D3-50E0AA9F44A7}"/>
    <cellStyle name="Normal 4 2 2 4 2 2 6 4" xfId="19472" xr:uid="{96D866A3-7F3C-48BF-9EF7-EA1145A88254}"/>
    <cellStyle name="Normal 4 2 2 4 2 2 7" xfId="4727" xr:uid="{00000000-0005-0000-0000-0000A7120000}"/>
    <cellStyle name="Normal 4 2 2 4 2 2 7 2" xfId="13177" xr:uid="{7DC6BB45-72C1-4900-9ED3-D17BCB4BA630}"/>
    <cellStyle name="Normal 4 2 2 4 2 2 7 3" xfId="21624" xr:uid="{068D1D03-B628-43D6-9117-6DF1DDFC61F7}"/>
    <cellStyle name="Normal 4 2 2 4 2 2 8" xfId="8959" xr:uid="{31E1BCDB-B395-46DD-A83A-A094972E2800}"/>
    <cellStyle name="Normal 4 2 2 4 2 2 9" xfId="17407" xr:uid="{BFED7004-5C21-4D29-921A-69A39484C61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B01700AD-322C-4D21-8F74-F84FC8F093D0}"/>
    <cellStyle name="Normal 4 2 2 4 2 3 2 2 3" xfId="24181" xr:uid="{FD951BFC-62D4-411E-B32E-39659FE2D2A6}"/>
    <cellStyle name="Normal 4 2 2 4 2 3 2 3" xfId="11516" xr:uid="{56AFA2C3-511C-4204-B1F5-68D0221DD2F1}"/>
    <cellStyle name="Normal 4 2 2 4 2 3 2 4" xfId="19964" xr:uid="{C58E7154-A780-464A-8F62-4D44337471EF}"/>
    <cellStyle name="Normal 4 2 2 4 2 3 3" xfId="5139" xr:uid="{00000000-0005-0000-0000-0000AB120000}"/>
    <cellStyle name="Normal 4 2 2 4 2 3 3 2" xfId="13589" xr:uid="{AF322340-F4DF-426D-A585-CBC5B85EE366}"/>
    <cellStyle name="Normal 4 2 2 4 2 3 3 3" xfId="22036" xr:uid="{4C876691-C1D2-456A-803C-0264B48F173D}"/>
    <cellStyle name="Normal 4 2 2 4 2 3 4" xfId="9371" xr:uid="{934F7C75-C74D-4220-BD80-EAE76B4AA47C}"/>
    <cellStyle name="Normal 4 2 2 4 2 3 5" xfId="17819" xr:uid="{4C48A8AC-775E-4BC9-AF1B-C18E2F145A7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03227D42-1AB6-4548-BF76-4BA9DABF0633}"/>
    <cellStyle name="Normal 4 2 2 4 2 4 2 2 3" xfId="24594" xr:uid="{5CDBBAF8-2DE0-470C-9495-E15FAD66ED84}"/>
    <cellStyle name="Normal 4 2 2 4 2 4 2 3" xfId="11929" xr:uid="{12E0C636-AE10-4312-A75B-FF9704354135}"/>
    <cellStyle name="Normal 4 2 2 4 2 4 2 4" xfId="20377" xr:uid="{71E7C911-7314-48DF-9219-7A149473C690}"/>
    <cellStyle name="Normal 4 2 2 4 2 4 3" xfId="5552" xr:uid="{00000000-0005-0000-0000-0000AF120000}"/>
    <cellStyle name="Normal 4 2 2 4 2 4 3 2" xfId="14002" xr:uid="{FDD0CE0E-DCD6-45DB-A9D0-32C97E39119C}"/>
    <cellStyle name="Normal 4 2 2 4 2 4 3 3" xfId="22449" xr:uid="{8917C878-939C-42B6-9A03-D30A9884F11E}"/>
    <cellStyle name="Normal 4 2 2 4 2 4 4" xfId="9784" xr:uid="{7D03E5AC-74B9-4B71-9923-D0AF7230F158}"/>
    <cellStyle name="Normal 4 2 2 4 2 4 5" xfId="18232" xr:uid="{5E909509-EECE-4887-AAD6-4341870C113F}"/>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D5CBCDC3-19F5-49D1-93BF-2E6D407A816C}"/>
    <cellStyle name="Normal 4 2 2 4 2 5 2 2 3" xfId="25007" xr:uid="{D5C37565-15D3-4FEA-972F-0A4E5266E6BA}"/>
    <cellStyle name="Normal 4 2 2 4 2 5 2 3" xfId="12342" xr:uid="{93DB5305-397C-40FB-BC1A-C7E9822CEACC}"/>
    <cellStyle name="Normal 4 2 2 4 2 5 2 4" xfId="20790" xr:uid="{02162B95-C96F-425D-9BB7-B9C776C70808}"/>
    <cellStyle name="Normal 4 2 2 4 2 5 3" xfId="5965" xr:uid="{00000000-0005-0000-0000-0000B3120000}"/>
    <cellStyle name="Normal 4 2 2 4 2 5 3 2" xfId="14415" xr:uid="{796EA215-E0AE-41AF-A59A-024077B46318}"/>
    <cellStyle name="Normal 4 2 2 4 2 5 3 3" xfId="22862" xr:uid="{C5BA3CC2-7A87-4BD9-854D-1C6B72AD0930}"/>
    <cellStyle name="Normal 4 2 2 4 2 5 4" xfId="10197" xr:uid="{BCBAE199-3DE2-42A1-BA3E-9D2FC6C476E8}"/>
    <cellStyle name="Normal 4 2 2 4 2 5 5" xfId="18645" xr:uid="{36A88A62-EFDF-42FA-90EF-ABF44FAAC13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06A14FAD-B3EF-4906-9591-0EB218889C68}"/>
    <cellStyle name="Normal 4 2 2 4 2 6 2 2 3" xfId="25420" xr:uid="{877539D6-F820-48E0-9342-CD8EB3D611C8}"/>
    <cellStyle name="Normal 4 2 2 4 2 6 2 3" xfId="12755" xr:uid="{F94F2E98-CE83-4C34-B7A0-0E4087F1D5AC}"/>
    <cellStyle name="Normal 4 2 2 4 2 6 2 4" xfId="21203" xr:uid="{2D2EEB5C-8B94-4333-AF48-10D54AC31AEE}"/>
    <cellStyle name="Normal 4 2 2 4 2 6 3" xfId="6378" xr:uid="{00000000-0005-0000-0000-0000B7120000}"/>
    <cellStyle name="Normal 4 2 2 4 2 6 3 2" xfId="14828" xr:uid="{12F63EF9-1FA2-4180-980A-97ED98C6DA0E}"/>
    <cellStyle name="Normal 4 2 2 4 2 6 3 3" xfId="23275" xr:uid="{5C9D5A9B-4173-4A6F-AC65-4E106066529B}"/>
    <cellStyle name="Normal 4 2 2 4 2 6 4" xfId="10610" xr:uid="{E0B97C8D-1B8A-41E1-A025-AEFB86297DD5}"/>
    <cellStyle name="Normal 4 2 2 4 2 6 5" xfId="19058" xr:uid="{D6F46F1C-ABBB-4786-9E8F-C17E51B0AEC7}"/>
    <cellStyle name="Normal 4 2 2 4 2 7" xfId="2508" xr:uid="{00000000-0005-0000-0000-0000B8120000}"/>
    <cellStyle name="Normal 4 2 2 4 2 7 2" xfId="6791" xr:uid="{00000000-0005-0000-0000-0000B9120000}"/>
    <cellStyle name="Normal 4 2 2 4 2 7 2 2" xfId="15241" xr:uid="{7449417A-F553-4518-83AE-75DB895AC261}"/>
    <cellStyle name="Normal 4 2 2 4 2 7 2 3" xfId="23688" xr:uid="{5A3E8FFE-0228-4683-86EC-76532A932C1B}"/>
    <cellStyle name="Normal 4 2 2 4 2 7 3" xfId="11023" xr:uid="{2E37E566-6352-4BDB-80F9-ED7B7CC91A0C}"/>
    <cellStyle name="Normal 4 2 2 4 2 7 4" xfId="19471" xr:uid="{C716B527-066B-4AE8-8941-544B2EA0AA92}"/>
    <cellStyle name="Normal 4 2 2 4 2 8" xfId="4726" xr:uid="{00000000-0005-0000-0000-0000BA120000}"/>
    <cellStyle name="Normal 4 2 2 4 2 8 2" xfId="13176" xr:uid="{65A5ED8C-5907-440A-B1F1-AE5C5ED897B6}"/>
    <cellStyle name="Normal 4 2 2 4 2 8 3" xfId="21623" xr:uid="{8A535849-EF41-4667-9F17-A81712F3D156}"/>
    <cellStyle name="Normal 4 2 2 4 2 9" xfId="8958" xr:uid="{F92FEA7C-2B4C-482A-96E6-A0E41377D57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D6481157-BD67-4451-A98E-9FC1A8628895}"/>
    <cellStyle name="Normal 4 2 2 4 3 2 2 2 3" xfId="24183" xr:uid="{E044D152-B720-4CB1-BB47-D12416C70A9A}"/>
    <cellStyle name="Normal 4 2 2 4 3 2 2 3" xfId="11518" xr:uid="{7EC6CAC4-EC5D-476F-A618-1F01AF1943F2}"/>
    <cellStyle name="Normal 4 2 2 4 3 2 2 4" xfId="19966" xr:uid="{9619C095-E8C5-4E5A-A2ED-1A8A49F39372}"/>
    <cellStyle name="Normal 4 2 2 4 3 2 3" xfId="5141" xr:uid="{00000000-0005-0000-0000-0000BF120000}"/>
    <cellStyle name="Normal 4 2 2 4 3 2 3 2" xfId="13591" xr:uid="{58D90C2F-93CA-4F44-B966-FDBFDB6907EA}"/>
    <cellStyle name="Normal 4 2 2 4 3 2 3 3" xfId="22038" xr:uid="{B9DD2505-E977-408B-95B8-427C3E076C73}"/>
    <cellStyle name="Normal 4 2 2 4 3 2 4" xfId="9373" xr:uid="{EE861E6C-2612-49C5-8091-A79F8C1257CB}"/>
    <cellStyle name="Normal 4 2 2 4 3 2 5" xfId="17821" xr:uid="{531ACD56-88E6-4FB8-A533-BFE191140DEE}"/>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CD1CC660-FC9F-493E-98E6-9354A5ED55A9}"/>
    <cellStyle name="Normal 4 2 2 4 3 3 2 2 3" xfId="24596" xr:uid="{ED05C501-557B-496A-85D1-6505651B7BCC}"/>
    <cellStyle name="Normal 4 2 2 4 3 3 2 3" xfId="11931" xr:uid="{4F178058-9E08-4259-BFA1-B30699DC427F}"/>
    <cellStyle name="Normal 4 2 2 4 3 3 2 4" xfId="20379" xr:uid="{95E76E10-CD95-4615-9780-820C98441670}"/>
    <cellStyle name="Normal 4 2 2 4 3 3 3" xfId="5554" xr:uid="{00000000-0005-0000-0000-0000C3120000}"/>
    <cellStyle name="Normal 4 2 2 4 3 3 3 2" xfId="14004" xr:uid="{2E79D2CA-339F-44BC-914E-4C506B0F838B}"/>
    <cellStyle name="Normal 4 2 2 4 3 3 3 3" xfId="22451" xr:uid="{2B2DFA3A-BDAE-4151-8B1F-513E9ADD9D20}"/>
    <cellStyle name="Normal 4 2 2 4 3 3 4" xfId="9786" xr:uid="{DB0D5F48-C998-4E75-BA8B-F6A5A0988547}"/>
    <cellStyle name="Normal 4 2 2 4 3 3 5" xfId="18234" xr:uid="{F6A08D26-E188-4449-A77A-B78EB795215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10D8C6D7-B99B-48F2-9552-85B31EFB6FE9}"/>
    <cellStyle name="Normal 4 2 2 4 3 4 2 2 3" xfId="25009" xr:uid="{9B5DCD94-6697-48D2-8F09-8940FF17485B}"/>
    <cellStyle name="Normal 4 2 2 4 3 4 2 3" xfId="12344" xr:uid="{16386379-3240-4E6C-BBF2-366D77970019}"/>
    <cellStyle name="Normal 4 2 2 4 3 4 2 4" xfId="20792" xr:uid="{8A33A944-D1FB-4611-A22E-E3B77AE4F483}"/>
    <cellStyle name="Normal 4 2 2 4 3 4 3" xfId="5967" xr:uid="{00000000-0005-0000-0000-0000C7120000}"/>
    <cellStyle name="Normal 4 2 2 4 3 4 3 2" xfId="14417" xr:uid="{B1190E83-22C8-4597-8E62-EA3C8BED1BEE}"/>
    <cellStyle name="Normal 4 2 2 4 3 4 3 3" xfId="22864" xr:uid="{BAEBD2BC-4573-4692-8B80-9721995E9253}"/>
    <cellStyle name="Normal 4 2 2 4 3 4 4" xfId="10199" xr:uid="{DAF92E9C-1A8A-424E-AAB2-EACF9FFEBC96}"/>
    <cellStyle name="Normal 4 2 2 4 3 4 5" xfId="18647" xr:uid="{9BDB2AC5-329F-44A8-BC97-A8CE3565294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8FD13AF9-0850-45B7-83F6-0C36EEA4A66D}"/>
    <cellStyle name="Normal 4 2 2 4 3 5 2 2 3" xfId="25422" xr:uid="{F060B2F0-3418-4D0F-BF78-EE4BA81C65E7}"/>
    <cellStyle name="Normal 4 2 2 4 3 5 2 3" xfId="12757" xr:uid="{3E07F1FE-D761-4912-92E0-4D93CB10DA94}"/>
    <cellStyle name="Normal 4 2 2 4 3 5 2 4" xfId="21205" xr:uid="{6E04D3A4-1AF0-4085-B5C8-B45D7F7A5FC1}"/>
    <cellStyle name="Normal 4 2 2 4 3 5 3" xfId="6380" xr:uid="{00000000-0005-0000-0000-0000CB120000}"/>
    <cellStyle name="Normal 4 2 2 4 3 5 3 2" xfId="14830" xr:uid="{5296FDF0-2A22-4DF7-90EB-5040FA32EBBA}"/>
    <cellStyle name="Normal 4 2 2 4 3 5 3 3" xfId="23277" xr:uid="{F2AA74ED-BF35-44A1-BF02-F43C0F14EB63}"/>
    <cellStyle name="Normal 4 2 2 4 3 5 4" xfId="10612" xr:uid="{0B57179D-A4BF-4001-A1FA-324D38FC4DA9}"/>
    <cellStyle name="Normal 4 2 2 4 3 5 5" xfId="19060" xr:uid="{03ADD45E-9AE6-4BE1-B129-7DC888F621B9}"/>
    <cellStyle name="Normal 4 2 2 4 3 6" xfId="2510" xr:uid="{00000000-0005-0000-0000-0000CC120000}"/>
    <cellStyle name="Normal 4 2 2 4 3 6 2" xfId="6793" xr:uid="{00000000-0005-0000-0000-0000CD120000}"/>
    <cellStyle name="Normal 4 2 2 4 3 6 2 2" xfId="15243" xr:uid="{A86AC5C7-7F62-4041-991E-295B832584DB}"/>
    <cellStyle name="Normal 4 2 2 4 3 6 2 3" xfId="23690" xr:uid="{79BC8E19-BB8E-4441-9D2D-383786A1FD09}"/>
    <cellStyle name="Normal 4 2 2 4 3 6 3" xfId="11025" xr:uid="{6B36F81E-E9A5-45F1-966B-B1D8C18B504A}"/>
    <cellStyle name="Normal 4 2 2 4 3 6 4" xfId="19473" xr:uid="{EEEE2990-61D7-4AB1-A7AB-0D1FD0E8E377}"/>
    <cellStyle name="Normal 4 2 2 4 3 7" xfId="4728" xr:uid="{00000000-0005-0000-0000-0000CE120000}"/>
    <cellStyle name="Normal 4 2 2 4 3 7 2" xfId="13178" xr:uid="{3DC10478-4806-4AF2-B503-73B5E6D23C67}"/>
    <cellStyle name="Normal 4 2 2 4 3 7 3" xfId="21625" xr:uid="{AA7A2018-62C4-4079-A3EA-F0A22F69CA92}"/>
    <cellStyle name="Normal 4 2 2 4 3 8" xfId="8960" xr:uid="{3EA9C509-5E86-4E0C-BA05-E081DD61D410}"/>
    <cellStyle name="Normal 4 2 2 4 3 9" xfId="17408" xr:uid="{7D4EEBB0-983A-49B1-A1C5-AD1C02BAF921}"/>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654EE58D-D98C-40B6-ADF9-50A8332C2909}"/>
    <cellStyle name="Normal 4 2 2 4 4 2 2 3" xfId="24180" xr:uid="{60293E0F-2635-46B0-9D7B-824C223AD438}"/>
    <cellStyle name="Normal 4 2 2 4 4 2 3" xfId="11515" xr:uid="{4EC10052-3EF8-45EA-9BD1-8DC0877D8F19}"/>
    <cellStyle name="Normal 4 2 2 4 4 2 4" xfId="19963" xr:uid="{9F0C988C-3F97-4538-9CF2-97A9FA7520EC}"/>
    <cellStyle name="Normal 4 2 2 4 4 3" xfId="5138" xr:uid="{00000000-0005-0000-0000-0000D2120000}"/>
    <cellStyle name="Normal 4 2 2 4 4 3 2" xfId="13588" xr:uid="{7B764958-1BC8-4F1D-A3DB-A43D5EFEA7E8}"/>
    <cellStyle name="Normal 4 2 2 4 4 3 3" xfId="22035" xr:uid="{FE6981F9-8CCC-4736-AEBA-21DE9A3BCA04}"/>
    <cellStyle name="Normal 4 2 2 4 4 4" xfId="9370" xr:uid="{0A98C23B-5EAF-48B7-B4CB-57890B775D31}"/>
    <cellStyle name="Normal 4 2 2 4 4 5" xfId="17818" xr:uid="{1B3FD363-880B-41C6-9512-688ABC65D757}"/>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B0F8062B-6849-4173-BC41-1E6168911C96}"/>
    <cellStyle name="Normal 4 2 2 4 5 2 2 3" xfId="24593" xr:uid="{5019319A-C2F1-4D34-8DD0-825A36AF01F5}"/>
    <cellStyle name="Normal 4 2 2 4 5 2 3" xfId="11928" xr:uid="{8D9AAD6C-3DC5-4BDD-8E11-ABB5C6CB917B}"/>
    <cellStyle name="Normal 4 2 2 4 5 2 4" xfId="20376" xr:uid="{E22EECEE-A7D9-4189-B696-2D66DA01B301}"/>
    <cellStyle name="Normal 4 2 2 4 5 3" xfId="5551" xr:uid="{00000000-0005-0000-0000-0000D6120000}"/>
    <cellStyle name="Normal 4 2 2 4 5 3 2" xfId="14001" xr:uid="{46BE5600-CC9D-413D-8D88-93C1F34CC35A}"/>
    <cellStyle name="Normal 4 2 2 4 5 3 3" xfId="22448" xr:uid="{0624ADD2-BF1E-4230-AB68-69C38CC92A30}"/>
    <cellStyle name="Normal 4 2 2 4 5 4" xfId="9783" xr:uid="{E02A135E-571F-4C34-933F-F8374E4B9790}"/>
    <cellStyle name="Normal 4 2 2 4 5 5" xfId="18231" xr:uid="{BC8CA156-4744-4194-8541-2914D8DC93B7}"/>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AA2C478B-A16B-4434-87CB-27A9384EF357}"/>
    <cellStyle name="Normal 4 2 2 4 6 2 2 3" xfId="25006" xr:uid="{829656AC-7175-4886-AD22-2ABF08E8C9D4}"/>
    <cellStyle name="Normal 4 2 2 4 6 2 3" xfId="12341" xr:uid="{D8073910-E702-411B-ACD4-ACE5DDFC0D97}"/>
    <cellStyle name="Normal 4 2 2 4 6 2 4" xfId="20789" xr:uid="{7FA5243D-0B4D-4444-9E0E-26AE34E567A5}"/>
    <cellStyle name="Normal 4 2 2 4 6 3" xfId="5964" xr:uid="{00000000-0005-0000-0000-0000DA120000}"/>
    <cellStyle name="Normal 4 2 2 4 6 3 2" xfId="14414" xr:uid="{490A5DAF-B427-4F4D-9DC8-44A2B4761FE4}"/>
    <cellStyle name="Normal 4 2 2 4 6 3 3" xfId="22861" xr:uid="{60C716DE-13A7-46C7-A17A-B5D32BF88B42}"/>
    <cellStyle name="Normal 4 2 2 4 6 4" xfId="10196" xr:uid="{70F1DC0E-997E-4899-904B-21C810679CFB}"/>
    <cellStyle name="Normal 4 2 2 4 6 5" xfId="18644" xr:uid="{6F885B75-D416-458A-84A4-94F37A26424A}"/>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A1B0E07D-7177-46C8-B0F9-B8BD051101BD}"/>
    <cellStyle name="Normal 4 2 2 4 7 2 2 3" xfId="25419" xr:uid="{86F4587D-412C-49CA-A7B2-0F42679A38C4}"/>
    <cellStyle name="Normal 4 2 2 4 7 2 3" xfId="12754" xr:uid="{B1695AE1-7319-451E-8419-9D4C0D9653A9}"/>
    <cellStyle name="Normal 4 2 2 4 7 2 4" xfId="21202" xr:uid="{A60F45D3-3CFA-47C5-B23F-E924071D971A}"/>
    <cellStyle name="Normal 4 2 2 4 7 3" xfId="6377" xr:uid="{00000000-0005-0000-0000-0000DE120000}"/>
    <cellStyle name="Normal 4 2 2 4 7 3 2" xfId="14827" xr:uid="{CFE246D1-5613-4341-91D3-C84A1FCC2EBA}"/>
    <cellStyle name="Normal 4 2 2 4 7 3 3" xfId="23274" xr:uid="{A50E8763-C75D-49DF-BB49-22B161415DDA}"/>
    <cellStyle name="Normal 4 2 2 4 7 4" xfId="10609" xr:uid="{9A6D92D5-670E-44B5-8979-9A7F7238F5C1}"/>
    <cellStyle name="Normal 4 2 2 4 7 5" xfId="19057" xr:uid="{52B8CDB5-3C94-400F-A505-9037B689578E}"/>
    <cellStyle name="Normal 4 2 2 4 8" xfId="2507" xr:uid="{00000000-0005-0000-0000-0000DF120000}"/>
    <cellStyle name="Normal 4 2 2 4 8 2" xfId="6790" xr:uid="{00000000-0005-0000-0000-0000E0120000}"/>
    <cellStyle name="Normal 4 2 2 4 8 2 2" xfId="15240" xr:uid="{908CB5B1-CB7D-43D2-9329-3C3DC25F781F}"/>
    <cellStyle name="Normal 4 2 2 4 8 2 3" xfId="23687" xr:uid="{33539386-9090-4EEE-A1EA-EB6E8C8631F4}"/>
    <cellStyle name="Normal 4 2 2 4 8 3" xfId="11022" xr:uid="{39C65743-7BF0-4F57-9058-3850680811C6}"/>
    <cellStyle name="Normal 4 2 2 4 8 4" xfId="19470" xr:uid="{8B24F560-8E08-45E5-99A7-9520F77B57A5}"/>
    <cellStyle name="Normal 4 2 2 4 9" xfId="4725" xr:uid="{00000000-0005-0000-0000-0000E1120000}"/>
    <cellStyle name="Normal 4 2 2 4 9 2" xfId="13175" xr:uid="{FBD9E713-1522-4B36-82FC-0E4271ED2C83}"/>
    <cellStyle name="Normal 4 2 2 4 9 3" xfId="21622" xr:uid="{DF3899AB-93DE-4744-9532-979E3A8CEB51}"/>
    <cellStyle name="Normal 4 2 2 5" xfId="351" xr:uid="{00000000-0005-0000-0000-0000E2120000}"/>
    <cellStyle name="Normal 4 2 2 5 10" xfId="17409" xr:uid="{DC087DA6-2802-413A-8F8A-1A2F292AB244}"/>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3225A410-9F00-4D00-A48F-DC80E9F54DDA}"/>
    <cellStyle name="Normal 4 2 2 5 2 2 2 2 3" xfId="24185" xr:uid="{6BE8A4C0-890C-4C28-B274-046B3AC8F366}"/>
    <cellStyle name="Normal 4 2 2 5 2 2 2 3" xfId="11520" xr:uid="{20B0B469-620C-481A-915D-A0F507C02060}"/>
    <cellStyle name="Normal 4 2 2 5 2 2 2 4" xfId="19968" xr:uid="{1EE200DF-F838-4ED2-9A19-350C91DC3F95}"/>
    <cellStyle name="Normal 4 2 2 5 2 2 3" xfId="5143" xr:uid="{00000000-0005-0000-0000-0000E7120000}"/>
    <cellStyle name="Normal 4 2 2 5 2 2 3 2" xfId="13593" xr:uid="{8E13A961-014E-4BB3-B34C-28C280B77F40}"/>
    <cellStyle name="Normal 4 2 2 5 2 2 3 3" xfId="22040" xr:uid="{28BB8A21-87E3-46BD-AC3D-0DC6F1044B86}"/>
    <cellStyle name="Normal 4 2 2 5 2 2 4" xfId="9375" xr:uid="{BB74A3E7-E7B9-4CA7-B0DD-5211B70F09EA}"/>
    <cellStyle name="Normal 4 2 2 5 2 2 5" xfId="17823" xr:uid="{17FDD2DE-DB0B-42D5-BCDF-E56657B821A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5B403D3F-C3D0-4B35-A337-62885C8394DD}"/>
    <cellStyle name="Normal 4 2 2 5 2 3 2 2 3" xfId="24598" xr:uid="{29307878-AE93-4E57-AA13-074780D01402}"/>
    <cellStyle name="Normal 4 2 2 5 2 3 2 3" xfId="11933" xr:uid="{DE25C842-56CF-4446-B109-FECC636A1A70}"/>
    <cellStyle name="Normal 4 2 2 5 2 3 2 4" xfId="20381" xr:uid="{C50771C0-5E48-4C78-9FE9-4CA6BA2320E7}"/>
    <cellStyle name="Normal 4 2 2 5 2 3 3" xfId="5556" xr:uid="{00000000-0005-0000-0000-0000EB120000}"/>
    <cellStyle name="Normal 4 2 2 5 2 3 3 2" xfId="14006" xr:uid="{4BBD8136-CE05-42C1-AAF3-F5CBC748B7F4}"/>
    <cellStyle name="Normal 4 2 2 5 2 3 3 3" xfId="22453" xr:uid="{5E9BAAE4-9D8E-48C8-B79D-E7B6D2888CBD}"/>
    <cellStyle name="Normal 4 2 2 5 2 3 4" xfId="9788" xr:uid="{A76BAE82-C6D3-4A86-A988-1C787EB867FC}"/>
    <cellStyle name="Normal 4 2 2 5 2 3 5" xfId="18236" xr:uid="{F2413DCE-B415-4271-B1E4-F37388E252DF}"/>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DA84BC00-C2EB-4E63-BFE3-355344666F37}"/>
    <cellStyle name="Normal 4 2 2 5 2 4 2 2 3" xfId="25011" xr:uid="{75B17CD7-0C66-4AD1-B4D4-2FB86D0D2D84}"/>
    <cellStyle name="Normal 4 2 2 5 2 4 2 3" xfId="12346" xr:uid="{B873C2F1-8F82-412F-BD39-97265E157377}"/>
    <cellStyle name="Normal 4 2 2 5 2 4 2 4" xfId="20794" xr:uid="{F5BD6044-12E6-47BB-AF6E-CDC3A7B9D50C}"/>
    <cellStyle name="Normal 4 2 2 5 2 4 3" xfId="5969" xr:uid="{00000000-0005-0000-0000-0000EF120000}"/>
    <cellStyle name="Normal 4 2 2 5 2 4 3 2" xfId="14419" xr:uid="{FF750806-330B-4203-8E6F-DF643E361CC0}"/>
    <cellStyle name="Normal 4 2 2 5 2 4 3 3" xfId="22866" xr:uid="{7FDA5E51-BD1C-437D-9691-8DA57EE28834}"/>
    <cellStyle name="Normal 4 2 2 5 2 4 4" xfId="10201" xr:uid="{56300F4F-33AD-4211-ACFF-BFF2AD47372A}"/>
    <cellStyle name="Normal 4 2 2 5 2 4 5" xfId="18649" xr:uid="{BCD82001-C940-46C7-9CD4-CF8D445CB48E}"/>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1243E899-83D1-469B-AECC-AF262125D7A3}"/>
    <cellStyle name="Normal 4 2 2 5 2 5 2 2 3" xfId="25424" xr:uid="{3747D1FE-D535-495F-9FFE-F63389B556A9}"/>
    <cellStyle name="Normal 4 2 2 5 2 5 2 3" xfId="12759" xr:uid="{6764C252-5AFD-4F9F-B73C-29069CCC8667}"/>
    <cellStyle name="Normal 4 2 2 5 2 5 2 4" xfId="21207" xr:uid="{18C7B871-F590-415D-BBED-0DF031F3B694}"/>
    <cellStyle name="Normal 4 2 2 5 2 5 3" xfId="6382" xr:uid="{00000000-0005-0000-0000-0000F3120000}"/>
    <cellStyle name="Normal 4 2 2 5 2 5 3 2" xfId="14832" xr:uid="{545AF56D-04F2-4FA2-A692-B318B419F0AB}"/>
    <cellStyle name="Normal 4 2 2 5 2 5 3 3" xfId="23279" xr:uid="{DAAA1FC3-E440-481A-9FA4-2E6C844409D2}"/>
    <cellStyle name="Normal 4 2 2 5 2 5 4" xfId="10614" xr:uid="{EE2C27AC-2734-41E9-8986-19BE5B86A53A}"/>
    <cellStyle name="Normal 4 2 2 5 2 5 5" xfId="19062" xr:uid="{547C23FC-7934-4830-8B8C-E6914C3BF5B7}"/>
    <cellStyle name="Normal 4 2 2 5 2 6" xfId="2512" xr:uid="{00000000-0005-0000-0000-0000F4120000}"/>
    <cellStyle name="Normal 4 2 2 5 2 6 2" xfId="6795" xr:uid="{00000000-0005-0000-0000-0000F5120000}"/>
    <cellStyle name="Normal 4 2 2 5 2 6 2 2" xfId="15245" xr:uid="{40D269E7-FFCD-43FE-93FB-B97707EF7EAA}"/>
    <cellStyle name="Normal 4 2 2 5 2 6 2 3" xfId="23692" xr:uid="{B72FF236-6A03-40C4-BBC9-F16752BE3A16}"/>
    <cellStyle name="Normal 4 2 2 5 2 6 3" xfId="11027" xr:uid="{F2DEBDB9-E303-4352-86E8-D49A1015B605}"/>
    <cellStyle name="Normal 4 2 2 5 2 6 4" xfId="19475" xr:uid="{FCFC7C25-0FC9-41EC-9D79-3C3F0CD0522F}"/>
    <cellStyle name="Normal 4 2 2 5 2 7" xfId="4730" xr:uid="{00000000-0005-0000-0000-0000F6120000}"/>
    <cellStyle name="Normal 4 2 2 5 2 7 2" xfId="13180" xr:uid="{3BF4C10B-A246-44C7-BFD1-B2E1F33371B0}"/>
    <cellStyle name="Normal 4 2 2 5 2 7 3" xfId="21627" xr:uid="{EB15E6FA-2BF5-444D-B4D2-F66AC80867E5}"/>
    <cellStyle name="Normal 4 2 2 5 2 8" xfId="8962" xr:uid="{2DBF6F1E-E595-434A-9DA1-EDCD2376B10E}"/>
    <cellStyle name="Normal 4 2 2 5 2 9" xfId="17410" xr:uid="{4006E6F4-48CA-4601-B8BB-710AB911630F}"/>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6CAE9132-6A7F-4A27-91AB-E0628A878D8B}"/>
    <cellStyle name="Normal 4 2 2 5 3 2 2 3" xfId="24184" xr:uid="{B2944CB4-233F-4816-AE5C-4DF2127ABB73}"/>
    <cellStyle name="Normal 4 2 2 5 3 2 3" xfId="11519" xr:uid="{00AF6CC8-CE03-4BD7-B8C2-5579B58C523E}"/>
    <cellStyle name="Normal 4 2 2 5 3 2 4" xfId="19967" xr:uid="{F8E795C8-9CF2-4C32-A63E-1802AEB94A52}"/>
    <cellStyle name="Normal 4 2 2 5 3 3" xfId="5142" xr:uid="{00000000-0005-0000-0000-0000FA120000}"/>
    <cellStyle name="Normal 4 2 2 5 3 3 2" xfId="13592" xr:uid="{5BE37591-85E1-4922-B2E8-FA45A2376E76}"/>
    <cellStyle name="Normal 4 2 2 5 3 3 3" xfId="22039" xr:uid="{1FD23257-7F66-42D7-A6FA-6883E4501913}"/>
    <cellStyle name="Normal 4 2 2 5 3 4" xfId="9374" xr:uid="{0BCC4D3E-C8F2-4DA5-A0DE-0FB4917FA6DA}"/>
    <cellStyle name="Normal 4 2 2 5 3 5" xfId="17822" xr:uid="{04235F92-731D-4ED9-8762-06E99D0731F6}"/>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A71FD61-1F87-44CE-86A8-82B8E4C6DECB}"/>
    <cellStyle name="Normal 4 2 2 5 4 2 2 3" xfId="24597" xr:uid="{B7A27225-A193-4B83-AEEA-C2E9361593D4}"/>
    <cellStyle name="Normal 4 2 2 5 4 2 3" xfId="11932" xr:uid="{A20C5E2E-06F8-4B86-8F4C-C5150E826B60}"/>
    <cellStyle name="Normal 4 2 2 5 4 2 4" xfId="20380" xr:uid="{A9585E30-C6F7-483E-811D-E65D33E43360}"/>
    <cellStyle name="Normal 4 2 2 5 4 3" xfId="5555" xr:uid="{00000000-0005-0000-0000-0000FE120000}"/>
    <cellStyle name="Normal 4 2 2 5 4 3 2" xfId="14005" xr:uid="{BE240A68-AAD2-4F20-999A-26A99BBF388F}"/>
    <cellStyle name="Normal 4 2 2 5 4 3 3" xfId="22452" xr:uid="{2A6205A6-E17C-4453-808E-6BA2C2499B8E}"/>
    <cellStyle name="Normal 4 2 2 5 4 4" xfId="9787" xr:uid="{E7E99DE0-5B12-42B4-94E4-354DB603CE0E}"/>
    <cellStyle name="Normal 4 2 2 5 4 5" xfId="18235" xr:uid="{76C57B7A-5C6E-4E98-83EC-880535CCB569}"/>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753ACB1-3204-42CF-ACC6-9639AC30A073}"/>
    <cellStyle name="Normal 4 2 2 5 5 2 2 3" xfId="25010" xr:uid="{859ED781-F9DC-4068-842B-8E60F44C9EE1}"/>
    <cellStyle name="Normal 4 2 2 5 5 2 3" xfId="12345" xr:uid="{D5D05B69-72DD-4EE0-B3AB-410152DD0ECA}"/>
    <cellStyle name="Normal 4 2 2 5 5 2 4" xfId="20793" xr:uid="{E4B7C062-957A-4F26-A4B3-63E72EF30386}"/>
    <cellStyle name="Normal 4 2 2 5 5 3" xfId="5968" xr:uid="{00000000-0005-0000-0000-000002130000}"/>
    <cellStyle name="Normal 4 2 2 5 5 3 2" xfId="14418" xr:uid="{F95E0C3A-0254-4988-B1BA-FF7AA321994F}"/>
    <cellStyle name="Normal 4 2 2 5 5 3 3" xfId="22865" xr:uid="{F2D03328-1262-422F-B43A-15E262B8417B}"/>
    <cellStyle name="Normal 4 2 2 5 5 4" xfId="10200" xr:uid="{021DDD97-FDE6-43BD-A276-4FBAB2E832B6}"/>
    <cellStyle name="Normal 4 2 2 5 5 5" xfId="18648" xr:uid="{848DAD55-4DAE-41B2-BE4B-9235797DB153}"/>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DC607CC5-A5DF-4754-80B9-F60E678EFED4}"/>
    <cellStyle name="Normal 4 2 2 5 6 2 2 3" xfId="25423" xr:uid="{3B098DCB-3969-4CD4-AD3A-6F33BD3E4B45}"/>
    <cellStyle name="Normal 4 2 2 5 6 2 3" xfId="12758" xr:uid="{303A2F2E-4DD5-498E-9F8D-8F06B947D99E}"/>
    <cellStyle name="Normal 4 2 2 5 6 2 4" xfId="21206" xr:uid="{CBEB4389-3B53-4A3C-95FB-2490708FB51E}"/>
    <cellStyle name="Normal 4 2 2 5 6 3" xfId="6381" xr:uid="{00000000-0005-0000-0000-000006130000}"/>
    <cellStyle name="Normal 4 2 2 5 6 3 2" xfId="14831" xr:uid="{BC9B91C3-B404-4AA2-989A-83CF3C894EC1}"/>
    <cellStyle name="Normal 4 2 2 5 6 3 3" xfId="23278" xr:uid="{F8219E16-87E5-4FD3-9FBD-8F05F71114B5}"/>
    <cellStyle name="Normal 4 2 2 5 6 4" xfId="10613" xr:uid="{348A5113-C35F-4641-8C5B-EF1B531F7A31}"/>
    <cellStyle name="Normal 4 2 2 5 6 5" xfId="19061" xr:uid="{B42BD7BE-563D-4055-BE15-88A31C0F6F36}"/>
    <cellStyle name="Normal 4 2 2 5 7" xfId="2511" xr:uid="{00000000-0005-0000-0000-000007130000}"/>
    <cellStyle name="Normal 4 2 2 5 7 2" xfId="6794" xr:uid="{00000000-0005-0000-0000-000008130000}"/>
    <cellStyle name="Normal 4 2 2 5 7 2 2" xfId="15244" xr:uid="{5FB9B11B-0462-49EA-A79E-37E694654BC6}"/>
    <cellStyle name="Normal 4 2 2 5 7 2 3" xfId="23691" xr:uid="{4A268A01-DE90-49B2-ACD6-6F1C642AFDEE}"/>
    <cellStyle name="Normal 4 2 2 5 7 3" xfId="11026" xr:uid="{FD30EF0A-8602-4F5F-ACE2-7C247A289EF5}"/>
    <cellStyle name="Normal 4 2 2 5 7 4" xfId="19474" xr:uid="{850ABA4C-67B0-4EDB-B9A9-5252AD90DB03}"/>
    <cellStyle name="Normal 4 2 2 5 8" xfId="4729" xr:uid="{00000000-0005-0000-0000-000009130000}"/>
    <cellStyle name="Normal 4 2 2 5 8 2" xfId="13179" xr:uid="{C7030DE6-C0A9-4BFB-9721-2E1F6FAE3357}"/>
    <cellStyle name="Normal 4 2 2 5 8 3" xfId="21626" xr:uid="{B7D0C589-385E-4D8C-881C-03FD570114BD}"/>
    <cellStyle name="Normal 4 2 2 5 9" xfId="8961" xr:uid="{2AF4FC9C-FF19-4047-BC66-6F839C32CE1E}"/>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7BAA153-9A0F-4C18-91D4-CCE1D96C0531}"/>
    <cellStyle name="Normal 4 2 2 6 2 2 2 3" xfId="24186" xr:uid="{135D136F-6B42-4C4D-8836-5AF8E1E6DD52}"/>
    <cellStyle name="Normal 4 2 2 6 2 2 3" xfId="11521" xr:uid="{8E83E600-946E-49AE-B5C1-D36BD591BAF6}"/>
    <cellStyle name="Normal 4 2 2 6 2 2 4" xfId="19969" xr:uid="{320A5D99-99EB-4F6E-9123-CEA796130453}"/>
    <cellStyle name="Normal 4 2 2 6 2 3" xfId="5144" xr:uid="{00000000-0005-0000-0000-00000E130000}"/>
    <cellStyle name="Normal 4 2 2 6 2 3 2" xfId="13594" xr:uid="{A7204C21-2AFC-4A6E-966F-1D629DE58370}"/>
    <cellStyle name="Normal 4 2 2 6 2 3 3" xfId="22041" xr:uid="{A794BA7A-14A8-45E0-B640-3A8F150D5FF9}"/>
    <cellStyle name="Normal 4 2 2 6 2 4" xfId="9376" xr:uid="{CC21A8AE-6EDA-4726-895D-8C9B505C9B89}"/>
    <cellStyle name="Normal 4 2 2 6 2 5" xfId="17824" xr:uid="{85F3B706-BA3E-4FCF-AF9F-C95F2D75659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D9711B09-8D8D-47C9-8375-05B7929CABDF}"/>
    <cellStyle name="Normal 4 2 2 6 3 2 2 3" xfId="24599" xr:uid="{D0095BCB-538A-4B58-A93A-93E0CE1055AF}"/>
    <cellStyle name="Normal 4 2 2 6 3 2 3" xfId="11934" xr:uid="{97AA115A-2F5F-476A-AB4B-64EC93B1AC6D}"/>
    <cellStyle name="Normal 4 2 2 6 3 2 4" xfId="20382" xr:uid="{AD7023BC-17A6-4C6B-BE4C-2D79F5BE001C}"/>
    <cellStyle name="Normal 4 2 2 6 3 3" xfId="5557" xr:uid="{00000000-0005-0000-0000-000012130000}"/>
    <cellStyle name="Normal 4 2 2 6 3 3 2" xfId="14007" xr:uid="{A4E9CDE4-F2DB-464D-A271-547913F9C346}"/>
    <cellStyle name="Normal 4 2 2 6 3 3 3" xfId="22454" xr:uid="{0FF0EEC3-DEF2-4F13-B9A4-E4BC23C923D9}"/>
    <cellStyle name="Normal 4 2 2 6 3 4" xfId="9789" xr:uid="{77D49635-67E8-4C56-A204-D53916D6179D}"/>
    <cellStyle name="Normal 4 2 2 6 3 5" xfId="18237" xr:uid="{1ED52E04-3287-4005-A5CF-75C36407438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B878E0E5-1A38-4967-A51A-DD7D427DE68C}"/>
    <cellStyle name="Normal 4 2 2 6 4 2 2 3" xfId="25012" xr:uid="{C11F4CD4-372D-42B1-9D14-036927179B3A}"/>
    <cellStyle name="Normal 4 2 2 6 4 2 3" xfId="12347" xr:uid="{46BBA856-3F26-46A6-BF86-E1F6365FAD67}"/>
    <cellStyle name="Normal 4 2 2 6 4 2 4" xfId="20795" xr:uid="{285EEC1E-F928-45BA-AA79-64DDA4C46883}"/>
    <cellStyle name="Normal 4 2 2 6 4 3" xfId="5970" xr:uid="{00000000-0005-0000-0000-000016130000}"/>
    <cellStyle name="Normal 4 2 2 6 4 3 2" xfId="14420" xr:uid="{0E8EAF99-8BB7-4279-9111-85A86E63683F}"/>
    <cellStyle name="Normal 4 2 2 6 4 3 3" xfId="22867" xr:uid="{6B488DB6-FEC4-4137-A418-F9C4576B3874}"/>
    <cellStyle name="Normal 4 2 2 6 4 4" xfId="10202" xr:uid="{7AC37117-FFCA-4269-AC72-E07DC024F3F0}"/>
    <cellStyle name="Normal 4 2 2 6 4 5" xfId="18650" xr:uid="{A1D48870-A1D0-4E78-B4A6-4C2F5CEABF2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82FE88DB-1A03-4E83-80C1-F51ED038B833}"/>
    <cellStyle name="Normal 4 2 2 6 5 2 2 3" xfId="25425" xr:uid="{B7363046-0C09-4602-A4F7-5997B872E216}"/>
    <cellStyle name="Normal 4 2 2 6 5 2 3" xfId="12760" xr:uid="{A588A06C-0283-4A0D-9F94-783E9C69301C}"/>
    <cellStyle name="Normal 4 2 2 6 5 2 4" xfId="21208" xr:uid="{550AD0C2-40D5-49FF-94BD-07A77669EC0D}"/>
    <cellStyle name="Normal 4 2 2 6 5 3" xfId="6383" xr:uid="{00000000-0005-0000-0000-00001A130000}"/>
    <cellStyle name="Normal 4 2 2 6 5 3 2" xfId="14833" xr:uid="{2C893516-183A-4E84-B522-DDC9230B73FF}"/>
    <cellStyle name="Normal 4 2 2 6 5 3 3" xfId="23280" xr:uid="{AE17339F-5045-493B-8BDB-1E6AE5FDF5E0}"/>
    <cellStyle name="Normal 4 2 2 6 5 4" xfId="10615" xr:uid="{BA5BEC6B-A7A3-4084-8208-73A48C20035F}"/>
    <cellStyle name="Normal 4 2 2 6 5 5" xfId="19063" xr:uid="{D03B5667-5992-48CE-85ED-91C24DFD7657}"/>
    <cellStyle name="Normal 4 2 2 6 6" xfId="2513" xr:uid="{00000000-0005-0000-0000-00001B130000}"/>
    <cellStyle name="Normal 4 2 2 6 6 2" xfId="6796" xr:uid="{00000000-0005-0000-0000-00001C130000}"/>
    <cellStyle name="Normal 4 2 2 6 6 2 2" xfId="15246" xr:uid="{2EF9082D-4D0F-4BC7-84CD-CA5773FBD7E0}"/>
    <cellStyle name="Normal 4 2 2 6 6 2 3" xfId="23693" xr:uid="{E31A6782-5B94-4BCD-A9F3-CC48BFC2BDA9}"/>
    <cellStyle name="Normal 4 2 2 6 6 3" xfId="11028" xr:uid="{36D464E7-682B-42DC-97EA-AA07C532D193}"/>
    <cellStyle name="Normal 4 2 2 6 6 4" xfId="19476" xr:uid="{2BE4344C-6A45-4C1B-8588-08D53DF97EA1}"/>
    <cellStyle name="Normal 4 2 2 6 7" xfId="4731" xr:uid="{00000000-0005-0000-0000-00001D130000}"/>
    <cellStyle name="Normal 4 2 2 6 7 2" xfId="13181" xr:uid="{DDC6CD83-91B7-4C72-8470-EAF32C90C809}"/>
    <cellStyle name="Normal 4 2 2 6 7 3" xfId="21628" xr:uid="{D78CAF64-D56A-4513-9074-6C59722B41D9}"/>
    <cellStyle name="Normal 4 2 2 6 8" xfId="8963" xr:uid="{D478D27A-E227-4172-8D32-A79337469308}"/>
    <cellStyle name="Normal 4 2 2 6 9" xfId="17411" xr:uid="{44AE89B2-3E51-4E83-9175-5F9BC774276E}"/>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5A33BDCD-427A-422B-AF86-103ADDB13ACD}"/>
    <cellStyle name="Normal 4 2 2 7 2 2 3" xfId="24171" xr:uid="{C4335B27-3334-4C88-A75F-DBEDBF5291CC}"/>
    <cellStyle name="Normal 4 2 2 7 2 3" xfId="11506" xr:uid="{70A1D6E8-3ABD-4AC3-9B45-93F5673DB7C3}"/>
    <cellStyle name="Normal 4 2 2 7 2 4" xfId="19954" xr:uid="{445C657D-B9FE-4AE2-91C1-3936E88432AD}"/>
    <cellStyle name="Normal 4 2 2 7 3" xfId="5129" xr:uid="{00000000-0005-0000-0000-000021130000}"/>
    <cellStyle name="Normal 4 2 2 7 3 2" xfId="13579" xr:uid="{ACC67F73-BAA5-406B-BD22-EE5086495293}"/>
    <cellStyle name="Normal 4 2 2 7 3 3" xfId="22026" xr:uid="{1F97F043-991B-4905-809C-E3EED80A6B69}"/>
    <cellStyle name="Normal 4 2 2 7 4" xfId="9361" xr:uid="{24B6F2A5-6B54-426D-BC5A-F1C179F49A81}"/>
    <cellStyle name="Normal 4 2 2 7 5" xfId="17809" xr:uid="{8E72556E-378F-4CD0-93B2-DA5892E39ADA}"/>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EFCCC3B0-DD67-478C-A1F6-C656760468E9}"/>
    <cellStyle name="Normal 4 2 2 8 2 2 3" xfId="24584" xr:uid="{94B5957D-8153-41EF-AC6A-33698331D899}"/>
    <cellStyle name="Normal 4 2 2 8 2 3" xfId="11919" xr:uid="{2752A5FC-B5A7-49F1-BC6A-5C006DAC4D7B}"/>
    <cellStyle name="Normal 4 2 2 8 2 4" xfId="20367" xr:uid="{32DA37A3-A2C2-470A-94D5-0CCB8A09FC47}"/>
    <cellStyle name="Normal 4 2 2 8 3" xfId="5542" xr:uid="{00000000-0005-0000-0000-000025130000}"/>
    <cellStyle name="Normal 4 2 2 8 3 2" xfId="13992" xr:uid="{E96D2278-1A9B-42EF-BD88-9295EAC74526}"/>
    <cellStyle name="Normal 4 2 2 8 3 3" xfId="22439" xr:uid="{00A02658-A996-445E-BA64-E045B5165EA3}"/>
    <cellStyle name="Normal 4 2 2 8 4" xfId="9774" xr:uid="{A9C14096-FA91-48EF-A176-2FACA008AC84}"/>
    <cellStyle name="Normal 4 2 2 8 5" xfId="18222" xr:uid="{9FBF2665-C652-4686-9E0F-0A6752B61784}"/>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B07DD47D-36D9-43A7-BE16-DEFC9E968DAF}"/>
    <cellStyle name="Normal 4 2 2 9 2 2 3" xfId="24997" xr:uid="{6964411F-35AA-4737-BE7C-87B737E603B8}"/>
    <cellStyle name="Normal 4 2 2 9 2 3" xfId="12332" xr:uid="{BF8C4B20-5EEA-44B0-AA2A-D8C5A248FB6E}"/>
    <cellStyle name="Normal 4 2 2 9 2 4" xfId="20780" xr:uid="{7D24AF97-BEDD-48B3-9CDB-CB12A6A758EE}"/>
    <cellStyle name="Normal 4 2 2 9 3" xfId="5955" xr:uid="{00000000-0005-0000-0000-000029130000}"/>
    <cellStyle name="Normal 4 2 2 9 3 2" xfId="14405" xr:uid="{CB28CADC-CA89-490B-B5EB-81914614A8D0}"/>
    <cellStyle name="Normal 4 2 2 9 3 3" xfId="22852" xr:uid="{3E691F0D-F27B-48DF-BAEC-A8CC18AC5FC4}"/>
    <cellStyle name="Normal 4 2 2 9 4" xfId="10187" xr:uid="{9810A2D1-265D-41D7-B1DA-7118D55C464F}"/>
    <cellStyle name="Normal 4 2 2 9 5" xfId="18635" xr:uid="{C74E71B4-EDD5-43C7-9E76-B210B7BB0BCA}"/>
    <cellStyle name="Normal 4 2 3" xfId="354" xr:uid="{00000000-0005-0000-0000-00002A130000}"/>
    <cellStyle name="Normal 4 2 4" xfId="355" xr:uid="{00000000-0005-0000-0000-00002B130000}"/>
    <cellStyle name="Normal 4 2 4 10" xfId="4732" xr:uid="{00000000-0005-0000-0000-00002C130000}"/>
    <cellStyle name="Normal 4 2 4 10 2" xfId="13182" xr:uid="{6BB2307C-EC6D-459D-9E2C-28FFF4D02B4A}"/>
    <cellStyle name="Normal 4 2 4 10 3" xfId="21629" xr:uid="{73328AB9-3774-4626-83ED-BC012E75CF67}"/>
    <cellStyle name="Normal 4 2 4 11" xfId="8964" xr:uid="{6795DC50-6E34-43E6-B073-FA154AAFF902}"/>
    <cellStyle name="Normal 4 2 4 12" xfId="17412" xr:uid="{455B01B2-8AB9-4957-BFF4-DE6BF895A566}"/>
    <cellStyle name="Normal 4 2 4 2" xfId="356" xr:uid="{00000000-0005-0000-0000-00002D130000}"/>
    <cellStyle name="Normal 4 2 4 2 10" xfId="8965" xr:uid="{D7F08854-194D-4A46-808F-E3956BFA68E7}"/>
    <cellStyle name="Normal 4 2 4 2 11" xfId="17413" xr:uid="{31CE0C72-2E8E-4AD7-AFD0-A2E1AD371376}"/>
    <cellStyle name="Normal 4 2 4 2 2" xfId="357" xr:uid="{00000000-0005-0000-0000-00002E130000}"/>
    <cellStyle name="Normal 4 2 4 2 2 10" xfId="17414" xr:uid="{CDAFBCFF-D3C5-4C9B-B1B4-9F3F5BC16CEF}"/>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8A7B5063-7976-468F-9390-103AF1B67B7B}"/>
    <cellStyle name="Normal 4 2 4 2 2 2 2 2 2 3" xfId="24190" xr:uid="{BFE89F78-A982-43B5-A18E-4789A56EACA8}"/>
    <cellStyle name="Normal 4 2 4 2 2 2 2 2 3" xfId="11525" xr:uid="{2FF7F974-6677-4AD4-8C53-D90ACA6B3A13}"/>
    <cellStyle name="Normal 4 2 4 2 2 2 2 2 4" xfId="19973" xr:uid="{4940AE16-589D-45A6-8778-1130B101D4E5}"/>
    <cellStyle name="Normal 4 2 4 2 2 2 2 3" xfId="5148" xr:uid="{00000000-0005-0000-0000-000033130000}"/>
    <cellStyle name="Normal 4 2 4 2 2 2 2 3 2" xfId="13598" xr:uid="{2F42181A-997B-4799-9BE4-B7A91AF4901E}"/>
    <cellStyle name="Normal 4 2 4 2 2 2 2 3 3" xfId="22045" xr:uid="{57B6AA97-C59D-4C74-8146-FAEC1C74099A}"/>
    <cellStyle name="Normal 4 2 4 2 2 2 2 4" xfId="9380" xr:uid="{4C0AFE65-9424-4F28-AC9A-215165E5E5A4}"/>
    <cellStyle name="Normal 4 2 4 2 2 2 2 5" xfId="17828" xr:uid="{8741D5A8-4407-481F-9E32-1FCCE440597B}"/>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CBB58FD6-61BA-4F7C-9601-14313356E3B7}"/>
    <cellStyle name="Normal 4 2 4 2 2 2 3 2 2 3" xfId="24603" xr:uid="{DC6E35F5-F221-4B7E-ACB0-4B4C0FA6F0E1}"/>
    <cellStyle name="Normal 4 2 4 2 2 2 3 2 3" xfId="11938" xr:uid="{33DFDAA0-5425-4600-A1B6-3E038D2202F3}"/>
    <cellStyle name="Normal 4 2 4 2 2 2 3 2 4" xfId="20386" xr:uid="{71DF0208-27E1-48D1-B17C-B184036E2F69}"/>
    <cellStyle name="Normal 4 2 4 2 2 2 3 3" xfId="5561" xr:uid="{00000000-0005-0000-0000-000037130000}"/>
    <cellStyle name="Normal 4 2 4 2 2 2 3 3 2" xfId="14011" xr:uid="{699BDAF9-06CE-4CC7-A417-91914B289061}"/>
    <cellStyle name="Normal 4 2 4 2 2 2 3 3 3" xfId="22458" xr:uid="{D953B949-36AF-418C-847E-B179983B8F9E}"/>
    <cellStyle name="Normal 4 2 4 2 2 2 3 4" xfId="9793" xr:uid="{D91E0AC6-F4FA-4061-BC44-6453C6654E89}"/>
    <cellStyle name="Normal 4 2 4 2 2 2 3 5" xfId="18241" xr:uid="{AD0F411B-E87A-4069-855F-7A041EBAA4E4}"/>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6B3256FD-675C-491C-8AE7-965BE1D73592}"/>
    <cellStyle name="Normal 4 2 4 2 2 2 4 2 2 3" xfId="25016" xr:uid="{0CE34321-E7DA-42FA-A494-A73D3A025F7D}"/>
    <cellStyle name="Normal 4 2 4 2 2 2 4 2 3" xfId="12351" xr:uid="{AAB236B9-340F-45E1-93A8-41FCAB88EAAF}"/>
    <cellStyle name="Normal 4 2 4 2 2 2 4 2 4" xfId="20799" xr:uid="{7C590D2C-108A-4636-98EE-D14D132C452F}"/>
    <cellStyle name="Normal 4 2 4 2 2 2 4 3" xfId="5974" xr:uid="{00000000-0005-0000-0000-00003B130000}"/>
    <cellStyle name="Normal 4 2 4 2 2 2 4 3 2" xfId="14424" xr:uid="{F1A514FF-6D08-48D2-8C94-11FC9CA7C86D}"/>
    <cellStyle name="Normal 4 2 4 2 2 2 4 3 3" xfId="22871" xr:uid="{2A85FF73-BA3E-4FA7-9178-9830F155E233}"/>
    <cellStyle name="Normal 4 2 4 2 2 2 4 4" xfId="10206" xr:uid="{5D33CE37-9842-440D-ADE1-085ABCC2C3F5}"/>
    <cellStyle name="Normal 4 2 4 2 2 2 4 5" xfId="18654" xr:uid="{FE60CC7B-2253-46B0-92F9-512BDABC532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D0194969-F5C6-43AA-B1BF-55C6A664E88E}"/>
    <cellStyle name="Normal 4 2 4 2 2 2 5 2 2 3" xfId="25429" xr:uid="{9A58DF6E-0CC2-43FF-82EA-909C18ACC35B}"/>
    <cellStyle name="Normal 4 2 4 2 2 2 5 2 3" xfId="12764" xr:uid="{0F556C12-CFF8-4045-946F-80BAB903CC6D}"/>
    <cellStyle name="Normal 4 2 4 2 2 2 5 2 4" xfId="21212" xr:uid="{F187F857-F501-4F68-BBD6-5911B3476056}"/>
    <cellStyle name="Normal 4 2 4 2 2 2 5 3" xfId="6387" xr:uid="{00000000-0005-0000-0000-00003F130000}"/>
    <cellStyle name="Normal 4 2 4 2 2 2 5 3 2" xfId="14837" xr:uid="{EBB80D3F-BC43-4CB6-A882-2CC81365474C}"/>
    <cellStyle name="Normal 4 2 4 2 2 2 5 3 3" xfId="23284" xr:uid="{D29A7D9B-93D3-4FBC-96F6-1D3CED5A0182}"/>
    <cellStyle name="Normal 4 2 4 2 2 2 5 4" xfId="10619" xr:uid="{378A65A4-B0F7-4FD2-98A4-A4C817B78774}"/>
    <cellStyle name="Normal 4 2 4 2 2 2 5 5" xfId="19067" xr:uid="{386BBD32-F9BD-48B0-9BBF-449724ACE715}"/>
    <cellStyle name="Normal 4 2 4 2 2 2 6" xfId="2517" xr:uid="{00000000-0005-0000-0000-000040130000}"/>
    <cellStyle name="Normal 4 2 4 2 2 2 6 2" xfId="6800" xr:uid="{00000000-0005-0000-0000-000041130000}"/>
    <cellStyle name="Normal 4 2 4 2 2 2 6 2 2" xfId="15250" xr:uid="{30630B7A-E978-4CFC-A575-AC4D2505EEDC}"/>
    <cellStyle name="Normal 4 2 4 2 2 2 6 2 3" xfId="23697" xr:uid="{977550B0-DF19-48A8-A147-E021FCB482CA}"/>
    <cellStyle name="Normal 4 2 4 2 2 2 6 3" xfId="11032" xr:uid="{A2C4D71E-7EAF-4C43-B299-7449DC2FFAB5}"/>
    <cellStyle name="Normal 4 2 4 2 2 2 6 4" xfId="19480" xr:uid="{D36D6BAA-52EC-43A2-85E3-80017C98AA1A}"/>
    <cellStyle name="Normal 4 2 4 2 2 2 7" xfId="4735" xr:uid="{00000000-0005-0000-0000-000042130000}"/>
    <cellStyle name="Normal 4 2 4 2 2 2 7 2" xfId="13185" xr:uid="{0E34B455-5FED-49EC-A0CF-703FEBC60511}"/>
    <cellStyle name="Normal 4 2 4 2 2 2 7 3" xfId="21632" xr:uid="{55C499A3-86FB-4146-8317-26077EC8F1D1}"/>
    <cellStyle name="Normal 4 2 4 2 2 2 8" xfId="8967" xr:uid="{29E3CF79-0FF1-446E-ACB6-4CBFD80CA46E}"/>
    <cellStyle name="Normal 4 2 4 2 2 2 9" xfId="17415" xr:uid="{59C9E442-7D19-4696-B59D-C442D9732C3D}"/>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715B775A-73F5-4328-AABF-81F0C6F3F867}"/>
    <cellStyle name="Normal 4 2 4 2 2 3 2 2 3" xfId="24189" xr:uid="{BB417DEE-C623-4B7E-B4C5-5B9DD24C122A}"/>
    <cellStyle name="Normal 4 2 4 2 2 3 2 3" xfId="11524" xr:uid="{08733C78-67F2-48CF-91E8-473492F9D5DB}"/>
    <cellStyle name="Normal 4 2 4 2 2 3 2 4" xfId="19972" xr:uid="{05CEB79B-F90D-45E3-81EE-BA1DE49FA886}"/>
    <cellStyle name="Normal 4 2 4 2 2 3 3" xfId="5147" xr:uid="{00000000-0005-0000-0000-000046130000}"/>
    <cellStyle name="Normal 4 2 4 2 2 3 3 2" xfId="13597" xr:uid="{E1193F37-C87C-4810-8207-091A7AFEA8E6}"/>
    <cellStyle name="Normal 4 2 4 2 2 3 3 3" xfId="22044" xr:uid="{EC8AE69D-FF5D-41BA-A6F7-2944F7E1DDE8}"/>
    <cellStyle name="Normal 4 2 4 2 2 3 4" xfId="9379" xr:uid="{5AC94183-97E5-4ECE-963D-C9A25F2E3EAB}"/>
    <cellStyle name="Normal 4 2 4 2 2 3 5" xfId="17827" xr:uid="{C8888744-BA62-488A-9881-D770C2FAAE2C}"/>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B851A350-8390-4D68-A1DE-AFB493EA8A01}"/>
    <cellStyle name="Normal 4 2 4 2 2 4 2 2 3" xfId="24602" xr:uid="{8573618F-5131-4129-8BFE-E668C795721F}"/>
    <cellStyle name="Normal 4 2 4 2 2 4 2 3" xfId="11937" xr:uid="{DA132BE7-0B41-4899-95FB-7FB96DA17766}"/>
    <cellStyle name="Normal 4 2 4 2 2 4 2 4" xfId="20385" xr:uid="{384D34D7-0EBA-490B-843C-930C1BB4BA6D}"/>
    <cellStyle name="Normal 4 2 4 2 2 4 3" xfId="5560" xr:uid="{00000000-0005-0000-0000-00004A130000}"/>
    <cellStyle name="Normal 4 2 4 2 2 4 3 2" xfId="14010" xr:uid="{004735FA-19CE-43DF-BDD8-02C3B217E9D1}"/>
    <cellStyle name="Normal 4 2 4 2 2 4 3 3" xfId="22457" xr:uid="{46B76B9A-9A64-48BC-90D5-399A78F88901}"/>
    <cellStyle name="Normal 4 2 4 2 2 4 4" xfId="9792" xr:uid="{2E0C2AE7-A566-4D01-9E72-917CD04C905D}"/>
    <cellStyle name="Normal 4 2 4 2 2 4 5" xfId="18240" xr:uid="{86B155FE-0775-40C7-94F1-FB45BA10C72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71E66F05-5C24-4B20-9B54-2094CB97D5DE}"/>
    <cellStyle name="Normal 4 2 4 2 2 5 2 2 3" xfId="25015" xr:uid="{DFC9441B-F5E2-4BAC-9E49-CD90B9F8F8B3}"/>
    <cellStyle name="Normal 4 2 4 2 2 5 2 3" xfId="12350" xr:uid="{C64EC6CE-E77A-4FC0-AEEC-973012BFC8F7}"/>
    <cellStyle name="Normal 4 2 4 2 2 5 2 4" xfId="20798" xr:uid="{45028588-9A7C-43A0-A30E-89FC774E3C97}"/>
    <cellStyle name="Normal 4 2 4 2 2 5 3" xfId="5973" xr:uid="{00000000-0005-0000-0000-00004E130000}"/>
    <cellStyle name="Normal 4 2 4 2 2 5 3 2" xfId="14423" xr:uid="{D1D43C90-DC44-4D7D-9646-9FF159682E71}"/>
    <cellStyle name="Normal 4 2 4 2 2 5 3 3" xfId="22870" xr:uid="{1328D66F-BB4C-44BC-B940-6FF17721D9DD}"/>
    <cellStyle name="Normal 4 2 4 2 2 5 4" xfId="10205" xr:uid="{63A6C6D7-C18F-4505-93C0-8098A9C9FAF3}"/>
    <cellStyle name="Normal 4 2 4 2 2 5 5" xfId="18653" xr:uid="{99784A32-39A1-423D-9B6E-5A60AA6788E6}"/>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8790BD1-36F4-4879-A786-C5127EDB4892}"/>
    <cellStyle name="Normal 4 2 4 2 2 6 2 2 3" xfId="25428" xr:uid="{43D425AB-60A1-4231-97E7-E0172EAA0C12}"/>
    <cellStyle name="Normal 4 2 4 2 2 6 2 3" xfId="12763" xr:uid="{20041C9D-C55D-40C2-B7A4-38E3D5ABB02E}"/>
    <cellStyle name="Normal 4 2 4 2 2 6 2 4" xfId="21211" xr:uid="{369B6AC2-B1C3-4EE2-8F04-690CF94D28F7}"/>
    <cellStyle name="Normal 4 2 4 2 2 6 3" xfId="6386" xr:uid="{00000000-0005-0000-0000-000052130000}"/>
    <cellStyle name="Normal 4 2 4 2 2 6 3 2" xfId="14836" xr:uid="{95E68D99-B646-41A5-A13B-53EECFC564D6}"/>
    <cellStyle name="Normal 4 2 4 2 2 6 3 3" xfId="23283" xr:uid="{4AE4669A-5D95-4422-8598-62378AA71E98}"/>
    <cellStyle name="Normal 4 2 4 2 2 6 4" xfId="10618" xr:uid="{7D5A7DC0-C7F3-4D0E-BEDD-625744B0E516}"/>
    <cellStyle name="Normal 4 2 4 2 2 6 5" xfId="19066" xr:uid="{A38D84E1-986B-41C2-AD4E-98E4DCEA6193}"/>
    <cellStyle name="Normal 4 2 4 2 2 7" xfId="2516" xr:uid="{00000000-0005-0000-0000-000053130000}"/>
    <cellStyle name="Normal 4 2 4 2 2 7 2" xfId="6799" xr:uid="{00000000-0005-0000-0000-000054130000}"/>
    <cellStyle name="Normal 4 2 4 2 2 7 2 2" xfId="15249" xr:uid="{044B5605-01AB-4CD7-B0EB-CFA8DCA1EE44}"/>
    <cellStyle name="Normal 4 2 4 2 2 7 2 3" xfId="23696" xr:uid="{A3C3EC62-944C-4D64-9AB1-00CE711F5795}"/>
    <cellStyle name="Normal 4 2 4 2 2 7 3" xfId="11031" xr:uid="{3C8B8EF8-209C-49A5-B9B9-A41ABC61C594}"/>
    <cellStyle name="Normal 4 2 4 2 2 7 4" xfId="19479" xr:uid="{DB176DD6-2316-44B2-90E9-B2257CA4B29E}"/>
    <cellStyle name="Normal 4 2 4 2 2 8" xfId="4734" xr:uid="{00000000-0005-0000-0000-000055130000}"/>
    <cellStyle name="Normal 4 2 4 2 2 8 2" xfId="13184" xr:uid="{B074AA02-8817-4676-8986-731C49804036}"/>
    <cellStyle name="Normal 4 2 4 2 2 8 3" xfId="21631" xr:uid="{F731FA30-3C66-46B8-AE85-6A43CBED8499}"/>
    <cellStyle name="Normal 4 2 4 2 2 9" xfId="8966" xr:uid="{8EB7A746-8B53-43C4-AD57-29D8BC78142B}"/>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684E4CAD-48D2-434C-A45F-F93072D27C6B}"/>
    <cellStyle name="Normal 4 2 4 2 3 2 2 2 3" xfId="24191" xr:uid="{78E767B5-9635-4FEC-A7F4-E5E8382F833A}"/>
    <cellStyle name="Normal 4 2 4 2 3 2 2 3" xfId="11526" xr:uid="{BA1315A1-298B-47B7-9E36-1A86CC63CC7F}"/>
    <cellStyle name="Normal 4 2 4 2 3 2 2 4" xfId="19974" xr:uid="{652F8B0C-AAC9-47A8-B16B-B2F5DCA58D72}"/>
    <cellStyle name="Normal 4 2 4 2 3 2 3" xfId="5149" xr:uid="{00000000-0005-0000-0000-00005A130000}"/>
    <cellStyle name="Normal 4 2 4 2 3 2 3 2" xfId="13599" xr:uid="{A48A8251-337D-4BDC-A6D6-8B1367CB6B44}"/>
    <cellStyle name="Normal 4 2 4 2 3 2 3 3" xfId="22046" xr:uid="{52759148-1857-4E6F-9264-EE25AD0BC515}"/>
    <cellStyle name="Normal 4 2 4 2 3 2 4" xfId="9381" xr:uid="{C379BEBB-EC18-4D9D-9A60-950BA530E210}"/>
    <cellStyle name="Normal 4 2 4 2 3 2 5" xfId="17829" xr:uid="{B7CB79E7-8866-49E2-A80D-A3B0BFB69B38}"/>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817A7C7D-CF82-45CC-BE2D-135EEC916D8A}"/>
    <cellStyle name="Normal 4 2 4 2 3 3 2 2 3" xfId="24604" xr:uid="{66329E4F-5A36-484B-8173-94D5D2F5761F}"/>
    <cellStyle name="Normal 4 2 4 2 3 3 2 3" xfId="11939" xr:uid="{437A3EC6-7856-40E0-9CE9-464B4CDFF53E}"/>
    <cellStyle name="Normal 4 2 4 2 3 3 2 4" xfId="20387" xr:uid="{372723C5-597C-4B36-A7C7-C0EFB34A3D77}"/>
    <cellStyle name="Normal 4 2 4 2 3 3 3" xfId="5562" xr:uid="{00000000-0005-0000-0000-00005E130000}"/>
    <cellStyle name="Normal 4 2 4 2 3 3 3 2" xfId="14012" xr:uid="{9FE9268A-A750-4208-AF47-3B0F6949E4FB}"/>
    <cellStyle name="Normal 4 2 4 2 3 3 3 3" xfId="22459" xr:uid="{990B3C3F-08F1-4252-BBCC-B263109A38A2}"/>
    <cellStyle name="Normal 4 2 4 2 3 3 4" xfId="9794" xr:uid="{2FEC3A28-9F72-467C-AE21-3AE3AE1D557B}"/>
    <cellStyle name="Normal 4 2 4 2 3 3 5" xfId="18242" xr:uid="{E33A99E2-8804-423A-8366-BB66B9A5B5A5}"/>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2582F488-889F-4699-80CD-B402B7CF944C}"/>
    <cellStyle name="Normal 4 2 4 2 3 4 2 2 3" xfId="25017" xr:uid="{639D0C78-914B-49F7-8FD1-C762FF4109E8}"/>
    <cellStyle name="Normal 4 2 4 2 3 4 2 3" xfId="12352" xr:uid="{49D78FAC-D7B0-4420-9521-BE1A0919758D}"/>
    <cellStyle name="Normal 4 2 4 2 3 4 2 4" xfId="20800" xr:uid="{E707987C-A41A-4BEE-8838-174D58D86D00}"/>
    <cellStyle name="Normal 4 2 4 2 3 4 3" xfId="5975" xr:uid="{00000000-0005-0000-0000-000062130000}"/>
    <cellStyle name="Normal 4 2 4 2 3 4 3 2" xfId="14425" xr:uid="{5FDBC42B-5BCC-49A8-B4BA-E5954119B605}"/>
    <cellStyle name="Normal 4 2 4 2 3 4 3 3" xfId="22872" xr:uid="{222AF3DA-10CA-4E2F-8B91-979AFD1C8442}"/>
    <cellStyle name="Normal 4 2 4 2 3 4 4" xfId="10207" xr:uid="{E7A3F89E-BD58-4168-83D8-66C17ECFD148}"/>
    <cellStyle name="Normal 4 2 4 2 3 4 5" xfId="18655" xr:uid="{C94423A5-A829-43DB-B0ED-9089F1DAAE4A}"/>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DA4D1C83-9629-4ABA-AA25-BC796E96FBDC}"/>
    <cellStyle name="Normal 4 2 4 2 3 5 2 2 3" xfId="25430" xr:uid="{289DEE48-1F08-4308-84D3-4D173C311762}"/>
    <cellStyle name="Normal 4 2 4 2 3 5 2 3" xfId="12765" xr:uid="{71874D2A-605E-4809-8B9C-3D9F4970D1A1}"/>
    <cellStyle name="Normal 4 2 4 2 3 5 2 4" xfId="21213" xr:uid="{E48E5BCC-CDC3-4C17-83EA-5C6D288D6790}"/>
    <cellStyle name="Normal 4 2 4 2 3 5 3" xfId="6388" xr:uid="{00000000-0005-0000-0000-000066130000}"/>
    <cellStyle name="Normal 4 2 4 2 3 5 3 2" xfId="14838" xr:uid="{3A732763-B5AF-41A5-9391-4A668300B0A4}"/>
    <cellStyle name="Normal 4 2 4 2 3 5 3 3" xfId="23285" xr:uid="{1824D7AA-CE10-420F-B13E-628B88027757}"/>
    <cellStyle name="Normal 4 2 4 2 3 5 4" xfId="10620" xr:uid="{D8485C06-05C4-4D9C-803B-9BA81472D258}"/>
    <cellStyle name="Normal 4 2 4 2 3 5 5" xfId="19068" xr:uid="{B76B20D7-8073-4483-9310-0E50941D50C1}"/>
    <cellStyle name="Normal 4 2 4 2 3 6" xfId="2518" xr:uid="{00000000-0005-0000-0000-000067130000}"/>
    <cellStyle name="Normal 4 2 4 2 3 6 2" xfId="6801" xr:uid="{00000000-0005-0000-0000-000068130000}"/>
    <cellStyle name="Normal 4 2 4 2 3 6 2 2" xfId="15251" xr:uid="{D6EF36AE-80DB-430C-8A90-DBB72B5A9AF4}"/>
    <cellStyle name="Normal 4 2 4 2 3 6 2 3" xfId="23698" xr:uid="{B363E27C-69A1-478F-8EA3-E4D89CD7D548}"/>
    <cellStyle name="Normal 4 2 4 2 3 6 3" xfId="11033" xr:uid="{BDE3363E-7A4D-4DCF-8DD4-D08FD1D37024}"/>
    <cellStyle name="Normal 4 2 4 2 3 6 4" xfId="19481" xr:uid="{56EF24BE-3812-4509-9548-1671955429B0}"/>
    <cellStyle name="Normal 4 2 4 2 3 7" xfId="4736" xr:uid="{00000000-0005-0000-0000-000069130000}"/>
    <cellStyle name="Normal 4 2 4 2 3 7 2" xfId="13186" xr:uid="{04E4BBE4-787A-428B-8FBB-BFB87614843D}"/>
    <cellStyle name="Normal 4 2 4 2 3 7 3" xfId="21633" xr:uid="{9BF13C96-0C9E-4B91-9DF5-66BD25E27030}"/>
    <cellStyle name="Normal 4 2 4 2 3 8" xfId="8968" xr:uid="{C9829D45-636E-4D4C-AD16-9384D53AF340}"/>
    <cellStyle name="Normal 4 2 4 2 3 9" xfId="17416" xr:uid="{C376DCF6-285E-4213-A6D6-C77F8E668618}"/>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5BE826BC-77E1-4543-97E7-0F40CD6D18D2}"/>
    <cellStyle name="Normal 4 2 4 2 4 2 2 3" xfId="24188" xr:uid="{0D729B30-A624-4601-ABB5-93C7AACAC34B}"/>
    <cellStyle name="Normal 4 2 4 2 4 2 3" xfId="11523" xr:uid="{5FAD98AB-7A57-49EC-A948-A8E4CC30FE30}"/>
    <cellStyle name="Normal 4 2 4 2 4 2 4" xfId="19971" xr:uid="{F0B5BF27-80FC-4EC3-9979-71A7B770DB39}"/>
    <cellStyle name="Normal 4 2 4 2 4 3" xfId="5146" xr:uid="{00000000-0005-0000-0000-00006D130000}"/>
    <cellStyle name="Normal 4 2 4 2 4 3 2" xfId="13596" xr:uid="{6BAE3CD4-4249-4ABB-8EF0-BDEC0314A72A}"/>
    <cellStyle name="Normal 4 2 4 2 4 3 3" xfId="22043" xr:uid="{EF1E8D96-EE91-47E9-B9E5-0FA63D2148A0}"/>
    <cellStyle name="Normal 4 2 4 2 4 4" xfId="9378" xr:uid="{5A81E445-E3D2-4249-BF4E-BC9AE52BA241}"/>
    <cellStyle name="Normal 4 2 4 2 4 5" xfId="17826" xr:uid="{A47A01F1-2E4F-40FB-978C-EA266467D4B2}"/>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41024028-364E-4431-A67E-AD58AB625B52}"/>
    <cellStyle name="Normal 4 2 4 2 5 2 2 3" xfId="24601" xr:uid="{8FF70559-32E3-4B84-BE71-B9122179170E}"/>
    <cellStyle name="Normal 4 2 4 2 5 2 3" xfId="11936" xr:uid="{94C5EC0C-B8FE-4B9A-91E8-2A2AD0AC4CEF}"/>
    <cellStyle name="Normal 4 2 4 2 5 2 4" xfId="20384" xr:uid="{772169EE-279D-4F2E-9E24-00A368FD4C5C}"/>
    <cellStyle name="Normal 4 2 4 2 5 3" xfId="5559" xr:uid="{00000000-0005-0000-0000-000071130000}"/>
    <cellStyle name="Normal 4 2 4 2 5 3 2" xfId="14009" xr:uid="{0161B5EC-3182-4E14-8023-CF2B75F99F1B}"/>
    <cellStyle name="Normal 4 2 4 2 5 3 3" xfId="22456" xr:uid="{B1DEFBC7-A65C-4DD6-9128-C6DB9A05472B}"/>
    <cellStyle name="Normal 4 2 4 2 5 4" xfId="9791" xr:uid="{E8183C81-E765-4648-A0F1-EFC121E8259D}"/>
    <cellStyle name="Normal 4 2 4 2 5 5" xfId="18239" xr:uid="{A2B93B59-E37E-4506-9CF8-BF0585E23F2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B46BB40C-66E7-4A02-8117-48E654EFE735}"/>
    <cellStyle name="Normal 4 2 4 2 6 2 2 3" xfId="25014" xr:uid="{E22E988F-38B9-4BF3-BD6A-1B7E303119D8}"/>
    <cellStyle name="Normal 4 2 4 2 6 2 3" xfId="12349" xr:uid="{5F7C1198-54FA-4098-A2DB-0337ABF283D0}"/>
    <cellStyle name="Normal 4 2 4 2 6 2 4" xfId="20797" xr:uid="{9D664A60-E351-4A04-89CB-F6E8746B0539}"/>
    <cellStyle name="Normal 4 2 4 2 6 3" xfId="5972" xr:uid="{00000000-0005-0000-0000-000075130000}"/>
    <cellStyle name="Normal 4 2 4 2 6 3 2" xfId="14422" xr:uid="{E6A769ED-500B-4288-A96E-43A09DE8A7E5}"/>
    <cellStyle name="Normal 4 2 4 2 6 3 3" xfId="22869" xr:uid="{770AE40E-6B2A-4523-9777-181EAC73B892}"/>
    <cellStyle name="Normal 4 2 4 2 6 4" xfId="10204" xr:uid="{6862B329-A42F-4F51-8669-0D881FBDE5C2}"/>
    <cellStyle name="Normal 4 2 4 2 6 5" xfId="18652" xr:uid="{DC6F559A-3547-4223-8336-A5DE44DB52B0}"/>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5F89C26B-4EF9-42B1-9884-0D627F99875D}"/>
    <cellStyle name="Normal 4 2 4 2 7 2 2 3" xfId="25427" xr:uid="{DC63BBE8-3411-4564-93E1-AC5B7B8CE653}"/>
    <cellStyle name="Normal 4 2 4 2 7 2 3" xfId="12762" xr:uid="{D2D35371-3833-467A-8A79-471EC72C66C9}"/>
    <cellStyle name="Normal 4 2 4 2 7 2 4" xfId="21210" xr:uid="{376ACC28-801F-42F5-AF05-C9474EF9189F}"/>
    <cellStyle name="Normal 4 2 4 2 7 3" xfId="6385" xr:uid="{00000000-0005-0000-0000-000079130000}"/>
    <cellStyle name="Normal 4 2 4 2 7 3 2" xfId="14835" xr:uid="{5D31C483-F81B-483A-8313-8AF603D475BC}"/>
    <cellStyle name="Normal 4 2 4 2 7 3 3" xfId="23282" xr:uid="{FEB747DB-A0DC-4E69-962C-E9B362DD7D83}"/>
    <cellStyle name="Normal 4 2 4 2 7 4" xfId="10617" xr:uid="{865174C5-F4B0-4B6B-9DE5-EF8A150D4740}"/>
    <cellStyle name="Normal 4 2 4 2 7 5" xfId="19065" xr:uid="{0628E897-8831-40B1-BEDE-4BB278BC6157}"/>
    <cellStyle name="Normal 4 2 4 2 8" xfId="2515" xr:uid="{00000000-0005-0000-0000-00007A130000}"/>
    <cellStyle name="Normal 4 2 4 2 8 2" xfId="6798" xr:uid="{00000000-0005-0000-0000-00007B130000}"/>
    <cellStyle name="Normal 4 2 4 2 8 2 2" xfId="15248" xr:uid="{275C0DF1-6213-4A04-BAC2-B5FDD03EC2AF}"/>
    <cellStyle name="Normal 4 2 4 2 8 2 3" xfId="23695" xr:uid="{9C23E306-BEC4-457A-80AC-228D238314A6}"/>
    <cellStyle name="Normal 4 2 4 2 8 3" xfId="11030" xr:uid="{95A92431-D16B-45D7-BA77-A304FB47EE4F}"/>
    <cellStyle name="Normal 4 2 4 2 8 4" xfId="19478" xr:uid="{9B85CB19-5B36-49DE-90E4-10EC63DC183A}"/>
    <cellStyle name="Normal 4 2 4 2 9" xfId="4733" xr:uid="{00000000-0005-0000-0000-00007C130000}"/>
    <cellStyle name="Normal 4 2 4 2 9 2" xfId="13183" xr:uid="{3483315D-0092-4CA0-BCBF-18B4AE4A27E7}"/>
    <cellStyle name="Normal 4 2 4 2 9 3" xfId="21630" xr:uid="{F7C26BA1-6500-4377-9084-DBF0AA3E9F6D}"/>
    <cellStyle name="Normal 4 2 4 3" xfId="360" xr:uid="{00000000-0005-0000-0000-00007D130000}"/>
    <cellStyle name="Normal 4 2 4 3 10" xfId="17417" xr:uid="{C8C13B74-4D9C-45DD-A18C-24E00D1BA09F}"/>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624CD440-F53C-4647-B75C-76998DC4D653}"/>
    <cellStyle name="Normal 4 2 4 3 2 2 2 2 3" xfId="24193" xr:uid="{C0C62A4D-84DD-4314-9D42-724207E0598A}"/>
    <cellStyle name="Normal 4 2 4 3 2 2 2 3" xfId="11528" xr:uid="{0D69BDFB-A5C7-432C-99A1-E57334ABC600}"/>
    <cellStyle name="Normal 4 2 4 3 2 2 2 4" xfId="19976" xr:uid="{12355E2F-DBCC-41B3-A906-2270AA7B4BBE}"/>
    <cellStyle name="Normal 4 2 4 3 2 2 3" xfId="5151" xr:uid="{00000000-0005-0000-0000-000082130000}"/>
    <cellStyle name="Normal 4 2 4 3 2 2 3 2" xfId="13601" xr:uid="{D4D51F01-D572-453C-B576-682DDC1F2BDA}"/>
    <cellStyle name="Normal 4 2 4 3 2 2 3 3" xfId="22048" xr:uid="{280B1188-E0B3-4331-A5BA-61C43C0D1249}"/>
    <cellStyle name="Normal 4 2 4 3 2 2 4" xfId="9383" xr:uid="{2B7C96AD-08C2-4E4C-A2E3-C8BF64983BDC}"/>
    <cellStyle name="Normal 4 2 4 3 2 2 5" xfId="17831" xr:uid="{303DF504-97A0-49E9-B17C-14A93B8D67A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5938CD0B-12BE-498B-A260-39D5E0A7D640}"/>
    <cellStyle name="Normal 4 2 4 3 2 3 2 2 3" xfId="24606" xr:uid="{87BB05BF-A457-45AC-8182-5E21E5FD35FB}"/>
    <cellStyle name="Normal 4 2 4 3 2 3 2 3" xfId="11941" xr:uid="{08F503D0-6F00-4A6D-9640-E1D31E819132}"/>
    <cellStyle name="Normal 4 2 4 3 2 3 2 4" xfId="20389" xr:uid="{EE8D5D7B-290B-46FE-B819-D8E8FF016C08}"/>
    <cellStyle name="Normal 4 2 4 3 2 3 3" xfId="5564" xr:uid="{00000000-0005-0000-0000-000086130000}"/>
    <cellStyle name="Normal 4 2 4 3 2 3 3 2" xfId="14014" xr:uid="{7F7F9CB7-8221-436F-89F0-4095306D808C}"/>
    <cellStyle name="Normal 4 2 4 3 2 3 3 3" xfId="22461" xr:uid="{32E94AF8-4434-486E-9F2B-613BB60F1DEA}"/>
    <cellStyle name="Normal 4 2 4 3 2 3 4" xfId="9796" xr:uid="{B4F411D0-8616-41CA-9664-34FA2560BDEA}"/>
    <cellStyle name="Normal 4 2 4 3 2 3 5" xfId="18244" xr:uid="{31162126-EE00-4368-B442-3C9F306EB8CD}"/>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31336F76-380D-4989-B98E-B8EB92F6E858}"/>
    <cellStyle name="Normal 4 2 4 3 2 4 2 2 3" xfId="25019" xr:uid="{64587E21-7BDD-48D0-9C21-23C11326879D}"/>
    <cellStyle name="Normal 4 2 4 3 2 4 2 3" xfId="12354" xr:uid="{79F051DF-21FE-4090-93F1-276F5D391B5C}"/>
    <cellStyle name="Normal 4 2 4 3 2 4 2 4" xfId="20802" xr:uid="{AA81B165-1951-474A-92C9-CA071FA5582C}"/>
    <cellStyle name="Normal 4 2 4 3 2 4 3" xfId="5977" xr:uid="{00000000-0005-0000-0000-00008A130000}"/>
    <cellStyle name="Normal 4 2 4 3 2 4 3 2" xfId="14427" xr:uid="{D0BBF3D4-6654-45E0-AF14-15B15F2FD4BB}"/>
    <cellStyle name="Normal 4 2 4 3 2 4 3 3" xfId="22874" xr:uid="{FEB33750-4660-4D8B-A08A-7BA2C7337A30}"/>
    <cellStyle name="Normal 4 2 4 3 2 4 4" xfId="10209" xr:uid="{56EC0242-1284-4D51-ABA8-C31038C8EAD7}"/>
    <cellStyle name="Normal 4 2 4 3 2 4 5" xfId="18657" xr:uid="{183D896C-9CC5-4BF2-9F1B-CB652B8E1B9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8DD76FDD-5A13-400B-BCC5-B319A84AD3A8}"/>
    <cellStyle name="Normal 4 2 4 3 2 5 2 2 3" xfId="25432" xr:uid="{9F756886-6D60-428A-85CC-3443EAB02199}"/>
    <cellStyle name="Normal 4 2 4 3 2 5 2 3" xfId="12767" xr:uid="{4343DC00-932E-4706-8F3B-43F02F8686C1}"/>
    <cellStyle name="Normal 4 2 4 3 2 5 2 4" xfId="21215" xr:uid="{14847DE8-D6B3-447A-877E-5E3CD772773B}"/>
    <cellStyle name="Normal 4 2 4 3 2 5 3" xfId="6390" xr:uid="{00000000-0005-0000-0000-00008E130000}"/>
    <cellStyle name="Normal 4 2 4 3 2 5 3 2" xfId="14840" xr:uid="{C93AECB1-0024-4F0F-A450-BEB6E10F0FBE}"/>
    <cellStyle name="Normal 4 2 4 3 2 5 3 3" xfId="23287" xr:uid="{5005C9E4-EE5D-456E-9D8E-CD00EF5E88E7}"/>
    <cellStyle name="Normal 4 2 4 3 2 5 4" xfId="10622" xr:uid="{D0EAF112-9F59-4741-9E2B-C2F3E5076633}"/>
    <cellStyle name="Normal 4 2 4 3 2 5 5" xfId="19070" xr:uid="{CD0C098C-6C64-4095-9002-156293CFE516}"/>
    <cellStyle name="Normal 4 2 4 3 2 6" xfId="2520" xr:uid="{00000000-0005-0000-0000-00008F130000}"/>
    <cellStyle name="Normal 4 2 4 3 2 6 2" xfId="6803" xr:uid="{00000000-0005-0000-0000-000090130000}"/>
    <cellStyle name="Normal 4 2 4 3 2 6 2 2" xfId="15253" xr:uid="{1EB4F852-5A28-4F4E-99E0-B599EED8F5C5}"/>
    <cellStyle name="Normal 4 2 4 3 2 6 2 3" xfId="23700" xr:uid="{6B168A99-7CF9-452D-A64E-9A7FE89D9205}"/>
    <cellStyle name="Normal 4 2 4 3 2 6 3" xfId="11035" xr:uid="{D28A11CF-180D-410D-911B-1D7E2510519F}"/>
    <cellStyle name="Normal 4 2 4 3 2 6 4" xfId="19483" xr:uid="{B5AB24C2-FB50-4867-A578-6DFA976DBC22}"/>
    <cellStyle name="Normal 4 2 4 3 2 7" xfId="4738" xr:uid="{00000000-0005-0000-0000-000091130000}"/>
    <cellStyle name="Normal 4 2 4 3 2 7 2" xfId="13188" xr:uid="{26CA579D-8E25-42D0-9603-087AEF2FAC40}"/>
    <cellStyle name="Normal 4 2 4 3 2 7 3" xfId="21635" xr:uid="{75364BE3-C274-4F7B-BF90-9E0E5D9B5273}"/>
    <cellStyle name="Normal 4 2 4 3 2 8" xfId="8970" xr:uid="{43367DB5-6DD0-4A27-A039-683C10DB054F}"/>
    <cellStyle name="Normal 4 2 4 3 2 9" xfId="17418" xr:uid="{45E82F5D-2153-4C3D-A1C2-4A7BFBA9B1B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963DE8D9-38C6-4CFC-B63D-4D9BF6EEC04B}"/>
    <cellStyle name="Normal 4 2 4 3 3 2 2 3" xfId="24192" xr:uid="{F729740B-945C-408F-8CFC-4C85A3622368}"/>
    <cellStyle name="Normal 4 2 4 3 3 2 3" xfId="11527" xr:uid="{13B6FD5D-F5B0-45E5-8E3C-F52F6E88BA36}"/>
    <cellStyle name="Normal 4 2 4 3 3 2 4" xfId="19975" xr:uid="{7706744D-B1DF-431D-B281-A967A253E28A}"/>
    <cellStyle name="Normal 4 2 4 3 3 3" xfId="5150" xr:uid="{00000000-0005-0000-0000-000095130000}"/>
    <cellStyle name="Normal 4 2 4 3 3 3 2" xfId="13600" xr:uid="{3C80C65B-501C-4692-A643-87FCB901CC62}"/>
    <cellStyle name="Normal 4 2 4 3 3 3 3" xfId="22047" xr:uid="{79D2411F-6CEE-4399-936D-509EA1F8C015}"/>
    <cellStyle name="Normal 4 2 4 3 3 4" xfId="9382" xr:uid="{DC253460-6CCD-4B33-B4C8-E44B56CE5D4C}"/>
    <cellStyle name="Normal 4 2 4 3 3 5" xfId="17830" xr:uid="{06BF1240-61D8-443A-976A-7991127C9A5B}"/>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B8E896F4-AF28-4750-9339-B998136A82B9}"/>
    <cellStyle name="Normal 4 2 4 3 4 2 2 3" xfId="24605" xr:uid="{B762CDE5-EA3C-471D-8287-79A9E5131858}"/>
    <cellStyle name="Normal 4 2 4 3 4 2 3" xfId="11940" xr:uid="{E1BEA351-08A6-4620-AEBA-09F46D237473}"/>
    <cellStyle name="Normal 4 2 4 3 4 2 4" xfId="20388" xr:uid="{F31225F9-8CF4-454B-9739-A0475F09340D}"/>
    <cellStyle name="Normal 4 2 4 3 4 3" xfId="5563" xr:uid="{00000000-0005-0000-0000-000099130000}"/>
    <cellStyle name="Normal 4 2 4 3 4 3 2" xfId="14013" xr:uid="{B8DC8D3E-AD43-47A6-91C4-DE7211694619}"/>
    <cellStyle name="Normal 4 2 4 3 4 3 3" xfId="22460" xr:uid="{38C2B35B-0364-4CA8-B2DC-D6F32DCA1394}"/>
    <cellStyle name="Normal 4 2 4 3 4 4" xfId="9795" xr:uid="{7D17C317-FCCE-49A7-AD68-88DD14B68D9E}"/>
    <cellStyle name="Normal 4 2 4 3 4 5" xfId="18243" xr:uid="{6B70B538-1935-49C4-8535-8281045CE58F}"/>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B9DF5D52-5DA5-4774-A67C-4ADC4B551A2E}"/>
    <cellStyle name="Normal 4 2 4 3 5 2 2 3" xfId="25018" xr:uid="{1E79D10F-B5AE-44AB-BCEC-D8499D8EAB06}"/>
    <cellStyle name="Normal 4 2 4 3 5 2 3" xfId="12353" xr:uid="{A5B2B9C0-480A-472C-892D-AE919754C502}"/>
    <cellStyle name="Normal 4 2 4 3 5 2 4" xfId="20801" xr:uid="{B61A0CC1-266A-47BF-B355-151E8A032FB0}"/>
    <cellStyle name="Normal 4 2 4 3 5 3" xfId="5976" xr:uid="{00000000-0005-0000-0000-00009D130000}"/>
    <cellStyle name="Normal 4 2 4 3 5 3 2" xfId="14426" xr:uid="{F5D0B991-5014-46C2-9CBA-0D9FB2EB1B8B}"/>
    <cellStyle name="Normal 4 2 4 3 5 3 3" xfId="22873" xr:uid="{2819C7F3-28DA-4A8D-960B-615ABD9D10A8}"/>
    <cellStyle name="Normal 4 2 4 3 5 4" xfId="10208" xr:uid="{4C747C45-9230-43F1-A7C1-2A1B35D93358}"/>
    <cellStyle name="Normal 4 2 4 3 5 5" xfId="18656" xr:uid="{E7CBA42E-F446-42D7-B305-2A0C1CC9269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ED4C803C-69E6-42CA-90E6-F3AD55108777}"/>
    <cellStyle name="Normal 4 2 4 3 6 2 2 3" xfId="25431" xr:uid="{230E8758-9C67-4713-BB3D-EFDD65364181}"/>
    <cellStyle name="Normal 4 2 4 3 6 2 3" xfId="12766" xr:uid="{B58652AC-9926-43F4-A67B-CB36D8237B91}"/>
    <cellStyle name="Normal 4 2 4 3 6 2 4" xfId="21214" xr:uid="{DEE02FB4-53D2-4361-B7B5-E50205071327}"/>
    <cellStyle name="Normal 4 2 4 3 6 3" xfId="6389" xr:uid="{00000000-0005-0000-0000-0000A1130000}"/>
    <cellStyle name="Normal 4 2 4 3 6 3 2" xfId="14839" xr:uid="{782CA020-09D3-4807-B0F7-1748A4A053CB}"/>
    <cellStyle name="Normal 4 2 4 3 6 3 3" xfId="23286" xr:uid="{BC60FAD6-9C72-467A-B563-BB156FB0E127}"/>
    <cellStyle name="Normal 4 2 4 3 6 4" xfId="10621" xr:uid="{4971768F-FE0B-4E48-B95F-3E17BE1A2E1E}"/>
    <cellStyle name="Normal 4 2 4 3 6 5" xfId="19069" xr:uid="{746A19D3-EFB3-40CC-A77A-5DCE6A791400}"/>
    <cellStyle name="Normal 4 2 4 3 7" xfId="2519" xr:uid="{00000000-0005-0000-0000-0000A2130000}"/>
    <cellStyle name="Normal 4 2 4 3 7 2" xfId="6802" xr:uid="{00000000-0005-0000-0000-0000A3130000}"/>
    <cellStyle name="Normal 4 2 4 3 7 2 2" xfId="15252" xr:uid="{67DFE543-507F-49DF-9041-4448E04C89C6}"/>
    <cellStyle name="Normal 4 2 4 3 7 2 3" xfId="23699" xr:uid="{C4F06FE1-A126-4E19-AE38-467F7D914B52}"/>
    <cellStyle name="Normal 4 2 4 3 7 3" xfId="11034" xr:uid="{D560C437-F0EB-4F35-8A2E-792C0199C5C0}"/>
    <cellStyle name="Normal 4 2 4 3 7 4" xfId="19482" xr:uid="{18055EDB-1D2D-43FB-88CF-9159331D37B8}"/>
    <cellStyle name="Normal 4 2 4 3 8" xfId="4737" xr:uid="{00000000-0005-0000-0000-0000A4130000}"/>
    <cellStyle name="Normal 4 2 4 3 8 2" xfId="13187" xr:uid="{5DB3D9FD-F451-4D93-A03E-B5007AEBC27F}"/>
    <cellStyle name="Normal 4 2 4 3 8 3" xfId="21634" xr:uid="{FF26C257-D271-4EC9-9D64-09928DCC40AF}"/>
    <cellStyle name="Normal 4 2 4 3 9" xfId="8969" xr:uid="{1BBB4458-7803-43AF-8DE0-8795B8CA3334}"/>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29DD2553-8EAF-4ABA-B606-C554E471F85F}"/>
    <cellStyle name="Normal 4 2 4 4 2 2 2 3" xfId="24194" xr:uid="{E9C2DD2F-F584-48FE-9FCD-29EF8A75EE7A}"/>
    <cellStyle name="Normal 4 2 4 4 2 2 3" xfId="11529" xr:uid="{C1F98F97-8CB6-40B0-AEF8-AB0B0F236328}"/>
    <cellStyle name="Normal 4 2 4 4 2 2 4" xfId="19977" xr:uid="{60F87C6B-0CC7-4E87-B2B0-EF5DF624EED4}"/>
    <cellStyle name="Normal 4 2 4 4 2 3" xfId="5152" xr:uid="{00000000-0005-0000-0000-0000A9130000}"/>
    <cellStyle name="Normal 4 2 4 4 2 3 2" xfId="13602" xr:uid="{4A355C47-B0B7-4096-A929-72113A426BD0}"/>
    <cellStyle name="Normal 4 2 4 4 2 3 3" xfId="22049" xr:uid="{AAF03732-A997-433A-9D08-B42DB652E371}"/>
    <cellStyle name="Normal 4 2 4 4 2 4" xfId="9384" xr:uid="{4A04CB72-0ECC-409C-9E86-3FB8418D192F}"/>
    <cellStyle name="Normal 4 2 4 4 2 5" xfId="17832" xr:uid="{3123873F-4FAC-4129-A0E8-5AE9BE575718}"/>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A68CB9BD-5567-4C5B-B741-3858E3E8BD7B}"/>
    <cellStyle name="Normal 4 2 4 4 3 2 2 3" xfId="24607" xr:uid="{17FB30EC-F4FF-438F-A819-531D2C8B30AE}"/>
    <cellStyle name="Normal 4 2 4 4 3 2 3" xfId="11942" xr:uid="{2C001DA2-7C3B-4AEB-B771-4AA4605E5941}"/>
    <cellStyle name="Normal 4 2 4 4 3 2 4" xfId="20390" xr:uid="{4EEDE738-D4EE-4BA5-A3B8-DCC86F6ABFF6}"/>
    <cellStyle name="Normal 4 2 4 4 3 3" xfId="5565" xr:uid="{00000000-0005-0000-0000-0000AD130000}"/>
    <cellStyle name="Normal 4 2 4 4 3 3 2" xfId="14015" xr:uid="{56D2DD54-E98A-49B3-B335-334AE7170B74}"/>
    <cellStyle name="Normal 4 2 4 4 3 3 3" xfId="22462" xr:uid="{598F4CE5-630C-4712-B0B9-F36448399F87}"/>
    <cellStyle name="Normal 4 2 4 4 3 4" xfId="9797" xr:uid="{DAA45D4C-F967-4CE6-A90C-CAD803FC03DC}"/>
    <cellStyle name="Normal 4 2 4 4 3 5" xfId="18245" xr:uid="{9D5CEC6F-E8CE-459A-B519-BB6C531048F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ED0931DB-B0CA-4725-BDC1-984836C50876}"/>
    <cellStyle name="Normal 4 2 4 4 4 2 2 3" xfId="25020" xr:uid="{28AAFE0F-9EE2-4A18-9F74-C4D98D3A8184}"/>
    <cellStyle name="Normal 4 2 4 4 4 2 3" xfId="12355" xr:uid="{BDD52A5C-BB9B-43B0-B061-B8F14FB60081}"/>
    <cellStyle name="Normal 4 2 4 4 4 2 4" xfId="20803" xr:uid="{F1C23CC0-C440-4F99-9C91-096EA6AA4AF8}"/>
    <cellStyle name="Normal 4 2 4 4 4 3" xfId="5978" xr:uid="{00000000-0005-0000-0000-0000B1130000}"/>
    <cellStyle name="Normal 4 2 4 4 4 3 2" xfId="14428" xr:uid="{7D86C295-C98F-4A3E-A42E-63FF3B497FC9}"/>
    <cellStyle name="Normal 4 2 4 4 4 3 3" xfId="22875" xr:uid="{F4F6CDC1-A88A-400F-86E6-15A8268CFC45}"/>
    <cellStyle name="Normal 4 2 4 4 4 4" xfId="10210" xr:uid="{C0AA0ED6-B8BE-4354-8F6F-7672096B0745}"/>
    <cellStyle name="Normal 4 2 4 4 4 5" xfId="18658" xr:uid="{B60E9651-17A2-4B17-B7EE-B125DB62AF62}"/>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5202B922-5560-43DA-A5EC-2B3FDF6FF986}"/>
    <cellStyle name="Normal 4 2 4 4 5 2 2 3" xfId="25433" xr:uid="{1478FED6-F635-453E-87C9-771C475CD558}"/>
    <cellStyle name="Normal 4 2 4 4 5 2 3" xfId="12768" xr:uid="{F558D05A-80FD-4850-80D3-063D6B1CEC3C}"/>
    <cellStyle name="Normal 4 2 4 4 5 2 4" xfId="21216" xr:uid="{8DF7467B-4F58-4AA0-8884-13D8934AE0EB}"/>
    <cellStyle name="Normal 4 2 4 4 5 3" xfId="6391" xr:uid="{00000000-0005-0000-0000-0000B5130000}"/>
    <cellStyle name="Normal 4 2 4 4 5 3 2" xfId="14841" xr:uid="{016B8613-FC6B-4F93-B451-03D64C08AFA5}"/>
    <cellStyle name="Normal 4 2 4 4 5 3 3" xfId="23288" xr:uid="{2B6AB6B4-302D-4CC8-9FF3-C643F412FE9D}"/>
    <cellStyle name="Normal 4 2 4 4 5 4" xfId="10623" xr:uid="{F79EE361-20F5-4D22-9670-A708D4641A7A}"/>
    <cellStyle name="Normal 4 2 4 4 5 5" xfId="19071" xr:uid="{F10C7DF1-6C02-4439-8A2F-18AB2B292AED}"/>
    <cellStyle name="Normal 4 2 4 4 6" xfId="2521" xr:uid="{00000000-0005-0000-0000-0000B6130000}"/>
    <cellStyle name="Normal 4 2 4 4 6 2" xfId="6804" xr:uid="{00000000-0005-0000-0000-0000B7130000}"/>
    <cellStyle name="Normal 4 2 4 4 6 2 2" xfId="15254" xr:uid="{65D22E4C-8209-4102-B664-44AFAEB5F0C7}"/>
    <cellStyle name="Normal 4 2 4 4 6 2 3" xfId="23701" xr:uid="{7F882C30-2740-4C46-B9FD-F32677127256}"/>
    <cellStyle name="Normal 4 2 4 4 6 3" xfId="11036" xr:uid="{CA6648D8-B529-4BE6-A336-3655EF19E1F9}"/>
    <cellStyle name="Normal 4 2 4 4 6 4" xfId="19484" xr:uid="{3E3CB5C5-DF64-490C-85FD-B24BC9FF3F58}"/>
    <cellStyle name="Normal 4 2 4 4 7" xfId="4739" xr:uid="{00000000-0005-0000-0000-0000B8130000}"/>
    <cellStyle name="Normal 4 2 4 4 7 2" xfId="13189" xr:uid="{D930A5EF-E1D5-403D-8CCA-F983FF08ABDB}"/>
    <cellStyle name="Normal 4 2 4 4 7 3" xfId="21636" xr:uid="{B3434926-842F-4362-AAE5-BA643961FAB0}"/>
    <cellStyle name="Normal 4 2 4 4 8" xfId="8971" xr:uid="{E9D6BC50-95C3-40AF-B5FA-B9A7A91E85B0}"/>
    <cellStyle name="Normal 4 2 4 4 9" xfId="17419" xr:uid="{E89F4C6F-173D-4265-9D14-52B2B2BB6605}"/>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64728C05-8059-439F-BD8C-063932409954}"/>
    <cellStyle name="Normal 4 2 4 5 2 2 3" xfId="24187" xr:uid="{137AC68A-BB00-4164-9E8D-C41069396108}"/>
    <cellStyle name="Normal 4 2 4 5 2 3" xfId="11522" xr:uid="{ADAA3764-CC7B-4676-8721-A73B2F18DF27}"/>
    <cellStyle name="Normal 4 2 4 5 2 4" xfId="19970" xr:uid="{750DA7F1-E89D-433B-B393-A20027DB9B14}"/>
    <cellStyle name="Normal 4 2 4 5 3" xfId="5145" xr:uid="{00000000-0005-0000-0000-0000BC130000}"/>
    <cellStyle name="Normal 4 2 4 5 3 2" xfId="13595" xr:uid="{C9337E91-6B09-44BF-9472-53EB19789911}"/>
    <cellStyle name="Normal 4 2 4 5 3 3" xfId="22042" xr:uid="{D68C4E1C-A452-4B04-A62A-5B4F7FB1E125}"/>
    <cellStyle name="Normal 4 2 4 5 4" xfId="9377" xr:uid="{3EADBE98-A2BA-49F1-A960-8866F7F57A19}"/>
    <cellStyle name="Normal 4 2 4 5 5" xfId="17825" xr:uid="{115EF941-C9A9-4EC6-8CF1-7A0C5F291389}"/>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6062C673-5B04-49C2-810D-245BA2EBD819}"/>
    <cellStyle name="Normal 4 2 4 6 2 2 3" xfId="24600" xr:uid="{82E35EE5-64F5-4FED-927F-186394CB64F1}"/>
    <cellStyle name="Normal 4 2 4 6 2 3" xfId="11935" xr:uid="{26EC48EF-E778-4812-B382-ADC54A84F126}"/>
    <cellStyle name="Normal 4 2 4 6 2 4" xfId="20383" xr:uid="{4CCDEAAB-28AA-4974-A144-86EC2B5A7376}"/>
    <cellStyle name="Normal 4 2 4 6 3" xfId="5558" xr:uid="{00000000-0005-0000-0000-0000C0130000}"/>
    <cellStyle name="Normal 4 2 4 6 3 2" xfId="14008" xr:uid="{6201051B-E2A0-44AF-B941-D2E5948E4E0A}"/>
    <cellStyle name="Normal 4 2 4 6 3 3" xfId="22455" xr:uid="{344D25C6-1956-4B06-A427-C415FF72A0DD}"/>
    <cellStyle name="Normal 4 2 4 6 4" xfId="9790" xr:uid="{CFD882F3-0696-4A46-9716-B659D8F67377}"/>
    <cellStyle name="Normal 4 2 4 6 5" xfId="18238" xr:uid="{0EFF5145-E86F-464D-BDDF-3BAA2D9A818E}"/>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717A2F5E-087F-4B82-BB39-278A2B41F134}"/>
    <cellStyle name="Normal 4 2 4 7 2 2 3" xfId="25013" xr:uid="{768492E5-E61B-472B-8F51-36B5AD12A691}"/>
    <cellStyle name="Normal 4 2 4 7 2 3" xfId="12348" xr:uid="{255F1F61-EA04-43E8-8CDC-78E3F96AF340}"/>
    <cellStyle name="Normal 4 2 4 7 2 4" xfId="20796" xr:uid="{22FE9D03-AA22-4002-86F0-5630EFFDF58C}"/>
    <cellStyle name="Normal 4 2 4 7 3" xfId="5971" xr:uid="{00000000-0005-0000-0000-0000C4130000}"/>
    <cellStyle name="Normal 4 2 4 7 3 2" xfId="14421" xr:uid="{496B1F3C-DBD6-4334-B39B-169A2C0488EC}"/>
    <cellStyle name="Normal 4 2 4 7 3 3" xfId="22868" xr:uid="{8EBC07F6-1532-4F04-ABC3-DA859A9D0334}"/>
    <cellStyle name="Normal 4 2 4 7 4" xfId="10203" xr:uid="{94994EFF-9254-4526-B306-0117E6DB1284}"/>
    <cellStyle name="Normal 4 2 4 7 5" xfId="18651" xr:uid="{B42642CA-D3A5-464D-8703-11336DBADE9A}"/>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19F78451-E1A1-468C-9319-9FEDE3E156CF}"/>
    <cellStyle name="Normal 4 2 4 8 2 2 3" xfId="25426" xr:uid="{63E16BD4-C131-44AA-A703-D44B2D5410EA}"/>
    <cellStyle name="Normal 4 2 4 8 2 3" xfId="12761" xr:uid="{0C41E028-C1EB-4759-B51A-E60D8AC06600}"/>
    <cellStyle name="Normal 4 2 4 8 2 4" xfId="21209" xr:uid="{9048F7DB-E439-4D78-8A38-EF5A5DF48595}"/>
    <cellStyle name="Normal 4 2 4 8 3" xfId="6384" xr:uid="{00000000-0005-0000-0000-0000C8130000}"/>
    <cellStyle name="Normal 4 2 4 8 3 2" xfId="14834" xr:uid="{CD1AE9F1-5FEF-40C0-84D0-1CC265C3FC8F}"/>
    <cellStyle name="Normal 4 2 4 8 3 3" xfId="23281" xr:uid="{B609A319-CAB4-413C-8A64-F30B55729411}"/>
    <cellStyle name="Normal 4 2 4 8 4" xfId="10616" xr:uid="{EB448B8B-3A94-48E9-84E1-878EDB45EC56}"/>
    <cellStyle name="Normal 4 2 4 8 5" xfId="19064" xr:uid="{770AF1AD-F6A0-47D0-AEA8-AF52484EC6FD}"/>
    <cellStyle name="Normal 4 2 4 9" xfId="2514" xr:uid="{00000000-0005-0000-0000-0000C9130000}"/>
    <cellStyle name="Normal 4 2 4 9 2" xfId="6797" xr:uid="{00000000-0005-0000-0000-0000CA130000}"/>
    <cellStyle name="Normal 4 2 4 9 2 2" xfId="15247" xr:uid="{95FEC8A2-CAA3-453D-86C6-6DCB44E5F42F}"/>
    <cellStyle name="Normal 4 2 4 9 2 3" xfId="23694" xr:uid="{3AD7A5D0-06DB-4AF0-BA71-B6B981E24B92}"/>
    <cellStyle name="Normal 4 2 4 9 3" xfId="11029" xr:uid="{F5F38B9C-9728-4C59-B821-0D16E8ACEC9B}"/>
    <cellStyle name="Normal 4 2 4 9 4" xfId="19477" xr:uid="{6EEE528A-6F9F-4383-B46D-BF75C97B4558}"/>
    <cellStyle name="Normal 4 2 5" xfId="363" xr:uid="{00000000-0005-0000-0000-0000CB130000}"/>
    <cellStyle name="Normal 4 2 5 10" xfId="17420" xr:uid="{81D1537E-FB19-44BF-9811-3CBD43346A19}"/>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023C0BE4-F1AC-475A-9305-A37BA6727A77}"/>
    <cellStyle name="Normal 4 2 5 2 2 2 2 3" xfId="24196" xr:uid="{5120AE6E-E823-41EF-9025-4EF607C157E8}"/>
    <cellStyle name="Normal 4 2 5 2 2 2 3" xfId="11531" xr:uid="{4DE05C77-B6DF-4451-85A9-9389AB2672FE}"/>
    <cellStyle name="Normal 4 2 5 2 2 2 4" xfId="19979" xr:uid="{90FAB255-677C-48CF-BF80-E917C67E9A9D}"/>
    <cellStyle name="Normal 4 2 5 2 2 3" xfId="5154" xr:uid="{00000000-0005-0000-0000-0000D0130000}"/>
    <cellStyle name="Normal 4 2 5 2 2 3 2" xfId="13604" xr:uid="{E8BC87B9-39C0-42FE-8B02-8C31D6BC6321}"/>
    <cellStyle name="Normal 4 2 5 2 2 3 3" xfId="22051" xr:uid="{3BB8756A-3C74-43CF-B1A5-ED9BC5FC4152}"/>
    <cellStyle name="Normal 4 2 5 2 2 4" xfId="9386" xr:uid="{CF7D6E20-17D3-424E-88F2-3CFB90ABA85B}"/>
    <cellStyle name="Normal 4 2 5 2 2 5" xfId="17834" xr:uid="{56CB5AFF-1C19-44DB-B167-AE2BE710771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65802597-BB2C-499F-A3AD-B41A4057CCEB}"/>
    <cellStyle name="Normal 4 2 5 2 3 2 2 3" xfId="24609" xr:uid="{81A48DFC-B731-41B1-9A0E-E99B615CF5C6}"/>
    <cellStyle name="Normal 4 2 5 2 3 2 3" xfId="11944" xr:uid="{1623CEAB-8B47-4362-83ED-5C4E9B8162C1}"/>
    <cellStyle name="Normal 4 2 5 2 3 2 4" xfId="20392" xr:uid="{02089949-6C9E-4E1B-9D9E-9F6CB4858F59}"/>
    <cellStyle name="Normal 4 2 5 2 3 3" xfId="5567" xr:uid="{00000000-0005-0000-0000-0000D4130000}"/>
    <cellStyle name="Normal 4 2 5 2 3 3 2" xfId="14017" xr:uid="{1E085CAD-9C70-4118-AAB9-5C97AC77BF8D}"/>
    <cellStyle name="Normal 4 2 5 2 3 3 3" xfId="22464" xr:uid="{7A38BBD3-4024-4AFF-8A50-51FABA696461}"/>
    <cellStyle name="Normal 4 2 5 2 3 4" xfId="9799" xr:uid="{BA15C767-F5A3-4A27-B6B9-8ECF85235C7B}"/>
    <cellStyle name="Normal 4 2 5 2 3 5" xfId="18247" xr:uid="{FE6A0D64-6DFB-41BE-8C94-C5E16489222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21C6597D-14F8-44EB-A47B-87FE8E180708}"/>
    <cellStyle name="Normal 4 2 5 2 4 2 2 3" xfId="25022" xr:uid="{068F2B0B-8BC2-4D1D-A4B3-0253B0330909}"/>
    <cellStyle name="Normal 4 2 5 2 4 2 3" xfId="12357" xr:uid="{EEA335C7-13ED-41CE-A1E4-33D21F336289}"/>
    <cellStyle name="Normal 4 2 5 2 4 2 4" xfId="20805" xr:uid="{8EC5E330-D563-45D9-934C-3BA4D7465C19}"/>
    <cellStyle name="Normal 4 2 5 2 4 3" xfId="5980" xr:uid="{00000000-0005-0000-0000-0000D8130000}"/>
    <cellStyle name="Normal 4 2 5 2 4 3 2" xfId="14430" xr:uid="{68B89AE7-AA5D-4CBE-96E3-08AA08A37755}"/>
    <cellStyle name="Normal 4 2 5 2 4 3 3" xfId="22877" xr:uid="{AC865E4C-C722-45DB-9162-03F743433942}"/>
    <cellStyle name="Normal 4 2 5 2 4 4" xfId="10212" xr:uid="{1C6B84BD-07A0-4EDA-B343-293F55272A69}"/>
    <cellStyle name="Normal 4 2 5 2 4 5" xfId="18660" xr:uid="{E7EB433E-164B-4287-8960-3E9D6B398E65}"/>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17C0D54B-ECC0-42E2-9DA6-0115693CBE10}"/>
    <cellStyle name="Normal 4 2 5 2 5 2 2 3" xfId="25435" xr:uid="{214024B1-8989-48B1-8E5D-5388B015A264}"/>
    <cellStyle name="Normal 4 2 5 2 5 2 3" xfId="12770" xr:uid="{DA3888D3-ED30-4D81-B8DD-DA791F30C315}"/>
    <cellStyle name="Normal 4 2 5 2 5 2 4" xfId="21218" xr:uid="{6132BCB9-5602-491E-AA43-01FA18B2BBAF}"/>
    <cellStyle name="Normal 4 2 5 2 5 3" xfId="6393" xr:uid="{00000000-0005-0000-0000-0000DC130000}"/>
    <cellStyle name="Normal 4 2 5 2 5 3 2" xfId="14843" xr:uid="{489E1A91-8B1F-4116-9C3E-EBDBD50CCA53}"/>
    <cellStyle name="Normal 4 2 5 2 5 3 3" xfId="23290" xr:uid="{C00E0E59-DED8-4463-A590-95FDD8963526}"/>
    <cellStyle name="Normal 4 2 5 2 5 4" xfId="10625" xr:uid="{48D70FDB-9D46-43B2-B92B-31670E1B9A64}"/>
    <cellStyle name="Normal 4 2 5 2 5 5" xfId="19073" xr:uid="{8FE6CC17-88F7-48B5-875F-3172488C7FD0}"/>
    <cellStyle name="Normal 4 2 5 2 6" xfId="2523" xr:uid="{00000000-0005-0000-0000-0000DD130000}"/>
    <cellStyle name="Normal 4 2 5 2 6 2" xfId="6806" xr:uid="{00000000-0005-0000-0000-0000DE130000}"/>
    <cellStyle name="Normal 4 2 5 2 6 2 2" xfId="15256" xr:uid="{1C570250-D48A-467C-BD99-C4A6175C394F}"/>
    <cellStyle name="Normal 4 2 5 2 6 2 3" xfId="23703" xr:uid="{E0193EEF-A4D3-4266-A792-6F1B4522C3C2}"/>
    <cellStyle name="Normal 4 2 5 2 6 3" xfId="11038" xr:uid="{00510804-1218-4774-8EF8-2DB592B6EC32}"/>
    <cellStyle name="Normal 4 2 5 2 6 4" xfId="19486" xr:uid="{6A164014-8A11-4063-AFC9-09076713EDD2}"/>
    <cellStyle name="Normal 4 2 5 2 7" xfId="4741" xr:uid="{00000000-0005-0000-0000-0000DF130000}"/>
    <cellStyle name="Normal 4 2 5 2 7 2" xfId="13191" xr:uid="{7DF92A2B-AD48-459D-9886-3A0BA4901D4B}"/>
    <cellStyle name="Normal 4 2 5 2 7 3" xfId="21638" xr:uid="{BCD458AA-7579-467C-8208-1C8B7714F603}"/>
    <cellStyle name="Normal 4 2 5 2 8" xfId="8973" xr:uid="{3005B2E7-9892-44C4-8B1D-66C89F147856}"/>
    <cellStyle name="Normal 4 2 5 2 9" xfId="17421" xr:uid="{2E59F7D9-B540-46F4-B5EC-22D5EE052461}"/>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26D60ADF-AE26-4D76-A336-E09F1F518C42}"/>
    <cellStyle name="Normal 4 2 5 3 2 2 3" xfId="24195" xr:uid="{E618F75D-D4F6-4AC0-B407-93C0963CAB2E}"/>
    <cellStyle name="Normal 4 2 5 3 2 3" xfId="11530" xr:uid="{EE644D2E-1EBC-4471-933E-C9ECB1BAF05D}"/>
    <cellStyle name="Normal 4 2 5 3 2 4" xfId="19978" xr:uid="{37EE1654-169D-42ED-B3E4-E2BBA064392F}"/>
    <cellStyle name="Normal 4 2 5 3 3" xfId="5153" xr:uid="{00000000-0005-0000-0000-0000E3130000}"/>
    <cellStyle name="Normal 4 2 5 3 3 2" xfId="13603" xr:uid="{2F8A0CEC-33C4-49A7-8169-FD431EF1AC91}"/>
    <cellStyle name="Normal 4 2 5 3 3 3" xfId="22050" xr:uid="{C2E242B0-0948-4DEF-9773-AA90F48E6BCC}"/>
    <cellStyle name="Normal 4 2 5 3 4" xfId="9385" xr:uid="{D7BA7B97-EDED-40EA-B5CB-C0B7B57E0E9C}"/>
    <cellStyle name="Normal 4 2 5 3 5" xfId="17833" xr:uid="{62697D85-80B4-4BFB-885D-29FD17BF17AF}"/>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E90BDC0-05F5-4F38-BB51-14E29FE7528E}"/>
    <cellStyle name="Normal 4 2 5 4 2 2 3" xfId="24608" xr:uid="{45DCF7EB-C593-4859-81ED-6A8A7D4E3D4A}"/>
    <cellStyle name="Normal 4 2 5 4 2 3" xfId="11943" xr:uid="{AED63AC7-CDB9-4A93-A711-8F6DC25F2D74}"/>
    <cellStyle name="Normal 4 2 5 4 2 4" xfId="20391" xr:uid="{F433C59B-268C-4445-A265-9030EB5337DF}"/>
    <cellStyle name="Normal 4 2 5 4 3" xfId="5566" xr:uid="{00000000-0005-0000-0000-0000E7130000}"/>
    <cellStyle name="Normal 4 2 5 4 3 2" xfId="14016" xr:uid="{50579668-E846-41C0-AC64-F28224D3EB8D}"/>
    <cellStyle name="Normal 4 2 5 4 3 3" xfId="22463" xr:uid="{61CFBB03-A210-49B4-BB3F-FAEA1BF9B7C0}"/>
    <cellStyle name="Normal 4 2 5 4 4" xfId="9798" xr:uid="{3156E952-D045-4A08-AB88-BAB08F4BA097}"/>
    <cellStyle name="Normal 4 2 5 4 5" xfId="18246" xr:uid="{5535E1F5-A046-4EB0-A850-4CCB4A93B133}"/>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2DE02808-01E9-448B-8970-DBD50094848B}"/>
    <cellStyle name="Normal 4 2 5 5 2 2 3" xfId="25021" xr:uid="{DB24FEF7-2DDE-408B-8EEB-18959F4DF5B9}"/>
    <cellStyle name="Normal 4 2 5 5 2 3" xfId="12356" xr:uid="{21ED9088-532A-4E0F-9EC3-65333D8F6266}"/>
    <cellStyle name="Normal 4 2 5 5 2 4" xfId="20804" xr:uid="{34E458B8-603E-4863-965B-9753D05AA1C9}"/>
    <cellStyle name="Normal 4 2 5 5 3" xfId="5979" xr:uid="{00000000-0005-0000-0000-0000EB130000}"/>
    <cellStyle name="Normal 4 2 5 5 3 2" xfId="14429" xr:uid="{952D73C2-5CE3-48C1-B414-2A4E1BBFB454}"/>
    <cellStyle name="Normal 4 2 5 5 3 3" xfId="22876" xr:uid="{173C904A-4EB4-4C56-944F-4181AA3C7C0F}"/>
    <cellStyle name="Normal 4 2 5 5 4" xfId="10211" xr:uid="{3BA3DEC3-4ED1-4C1F-AAF3-072EAA5B0AB4}"/>
    <cellStyle name="Normal 4 2 5 5 5" xfId="18659" xr:uid="{FFF5673D-F79C-4742-8573-F1E36AEB4828}"/>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BDA194C8-E82D-4C4C-AEE3-F51BDBCC89C3}"/>
    <cellStyle name="Normal 4 2 5 6 2 2 3" xfId="25434" xr:uid="{920350A3-2121-4CE4-A365-007099BA13A5}"/>
    <cellStyle name="Normal 4 2 5 6 2 3" xfId="12769" xr:uid="{10AA2E51-D866-4C0A-87B9-2F4BE159C6A5}"/>
    <cellStyle name="Normal 4 2 5 6 2 4" xfId="21217" xr:uid="{93791905-12B0-4E98-9E6C-DB3AF60A2FCD}"/>
    <cellStyle name="Normal 4 2 5 6 3" xfId="6392" xr:uid="{00000000-0005-0000-0000-0000EF130000}"/>
    <cellStyle name="Normal 4 2 5 6 3 2" xfId="14842" xr:uid="{CA4EF931-1CEF-4276-8DCD-CDB9F7911B4C}"/>
    <cellStyle name="Normal 4 2 5 6 3 3" xfId="23289" xr:uid="{281DFAC8-C716-49C9-ADEB-D1DE3684B1EB}"/>
    <cellStyle name="Normal 4 2 5 6 4" xfId="10624" xr:uid="{8026234D-6869-46B2-BA0F-61A5AE4CCCDF}"/>
    <cellStyle name="Normal 4 2 5 6 5" xfId="19072" xr:uid="{42334602-C1E7-4410-937C-B539E5D2CE38}"/>
    <cellStyle name="Normal 4 2 5 7" xfId="2522" xr:uid="{00000000-0005-0000-0000-0000F0130000}"/>
    <cellStyle name="Normal 4 2 5 7 2" xfId="6805" xr:uid="{00000000-0005-0000-0000-0000F1130000}"/>
    <cellStyle name="Normal 4 2 5 7 2 2" xfId="15255" xr:uid="{1E04DF22-201F-474A-ADCD-D2AE8B66E6B2}"/>
    <cellStyle name="Normal 4 2 5 7 2 3" xfId="23702" xr:uid="{87630DEC-B981-4206-900E-D4091207A003}"/>
    <cellStyle name="Normal 4 2 5 7 3" xfId="11037" xr:uid="{D407DCC5-6F2C-4636-A011-48F5E0FC1A4A}"/>
    <cellStyle name="Normal 4 2 5 7 4" xfId="19485" xr:uid="{779C52B5-722C-4E66-8C6B-12F57B016D6D}"/>
    <cellStyle name="Normal 4 2 5 8" xfId="4740" xr:uid="{00000000-0005-0000-0000-0000F2130000}"/>
    <cellStyle name="Normal 4 2 5 8 2" xfId="13190" xr:uid="{466B938E-C17A-47FF-81D2-B665E415618D}"/>
    <cellStyle name="Normal 4 2 5 8 3" xfId="21637" xr:uid="{98B0049E-419C-499E-8ADA-314811C1A4C8}"/>
    <cellStyle name="Normal 4 2 5 9" xfId="8972" xr:uid="{7928DE0A-5282-458B-98E4-D8488A888021}"/>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6FC50799-73A7-4DED-934A-845BD4D8B5D0}"/>
    <cellStyle name="Normal 4 2 6 2 2 2 3" xfId="24197" xr:uid="{77DC4410-D8EF-42C4-9126-A0B3E7FC37CE}"/>
    <cellStyle name="Normal 4 2 6 2 2 3" xfId="11532" xr:uid="{51429031-D1C9-4950-BA3C-0091AE91B16F}"/>
    <cellStyle name="Normal 4 2 6 2 2 4" xfId="19980" xr:uid="{7F944220-4B6D-4D63-A017-31CCF603A10B}"/>
    <cellStyle name="Normal 4 2 6 2 3" xfId="5155" xr:uid="{00000000-0005-0000-0000-0000F7130000}"/>
    <cellStyle name="Normal 4 2 6 2 3 2" xfId="13605" xr:uid="{56182128-0559-478D-932F-58AFF95737C5}"/>
    <cellStyle name="Normal 4 2 6 2 3 3" xfId="22052" xr:uid="{028107BB-FBDB-4C06-B41F-D6CCE58BDC9F}"/>
    <cellStyle name="Normal 4 2 6 2 4" xfId="9387" xr:uid="{4FC3D51E-2799-409B-89AA-65BE21A0F347}"/>
    <cellStyle name="Normal 4 2 6 2 5" xfId="17835" xr:uid="{B3EDB611-40B1-493F-82F8-0000A657157B}"/>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3300237A-8DA9-4DD1-A026-048BEED1CF74}"/>
    <cellStyle name="Normal 4 2 6 3 2 2 3" xfId="24610" xr:uid="{04AB6194-EC74-4C47-9931-55916923A852}"/>
    <cellStyle name="Normal 4 2 6 3 2 3" xfId="11945" xr:uid="{40626128-3D40-4D7B-80B3-C055A03792F0}"/>
    <cellStyle name="Normal 4 2 6 3 2 4" xfId="20393" xr:uid="{16F1D979-2B70-4B92-9042-C29F38C591CD}"/>
    <cellStyle name="Normal 4 2 6 3 3" xfId="5568" xr:uid="{00000000-0005-0000-0000-0000FB130000}"/>
    <cellStyle name="Normal 4 2 6 3 3 2" xfId="14018" xr:uid="{BA6683F5-3BC7-4D71-AE18-4FBEDC46FFAD}"/>
    <cellStyle name="Normal 4 2 6 3 3 3" xfId="22465" xr:uid="{5A7805C2-EAEF-4A30-AF23-6203A564AA83}"/>
    <cellStyle name="Normal 4 2 6 3 4" xfId="9800" xr:uid="{BD121F42-7680-4B81-9A38-78DC60818AF3}"/>
    <cellStyle name="Normal 4 2 6 3 5" xfId="18248" xr:uid="{8E234B95-5300-48AC-A4E4-8033D3FFC9BB}"/>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A1BFDE17-667F-4BC4-918D-1577AB6CDD8E}"/>
    <cellStyle name="Normal 4 2 6 4 2 2 3" xfId="25023" xr:uid="{E9085A6A-496F-419D-B13A-692778DCB511}"/>
    <cellStyle name="Normal 4 2 6 4 2 3" xfId="12358" xr:uid="{19CC4800-8FC7-4686-800C-9218A39BEE05}"/>
    <cellStyle name="Normal 4 2 6 4 2 4" xfId="20806" xr:uid="{CBD0C925-ECE2-44C9-9094-9E082E88BC12}"/>
    <cellStyle name="Normal 4 2 6 4 3" xfId="5981" xr:uid="{00000000-0005-0000-0000-0000FF130000}"/>
    <cellStyle name="Normal 4 2 6 4 3 2" xfId="14431" xr:uid="{77B0991C-EFB7-4712-86F2-43B845E54D02}"/>
    <cellStyle name="Normal 4 2 6 4 3 3" xfId="22878" xr:uid="{99C237D3-88D6-4F73-9F33-9AF9B1931866}"/>
    <cellStyle name="Normal 4 2 6 4 4" xfId="10213" xr:uid="{6F76D3E0-26EC-4F34-A3D0-811233F2A1DD}"/>
    <cellStyle name="Normal 4 2 6 4 5" xfId="18661" xr:uid="{FD5F1682-FE9E-4949-A193-D05778469296}"/>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83A80EE2-5DF4-4D8F-A62A-D334694CF97B}"/>
    <cellStyle name="Normal 4 2 6 5 2 2 3" xfId="25436" xr:uid="{F2AA9D6E-7571-44EC-A568-3F0C13B0A7BE}"/>
    <cellStyle name="Normal 4 2 6 5 2 3" xfId="12771" xr:uid="{886465BE-C8F4-48F5-A8C0-3A9CEC098C62}"/>
    <cellStyle name="Normal 4 2 6 5 2 4" xfId="21219" xr:uid="{6E332628-4E6F-41E2-9DD3-B86F2E32DA11}"/>
    <cellStyle name="Normal 4 2 6 5 3" xfId="6394" xr:uid="{00000000-0005-0000-0000-000003140000}"/>
    <cellStyle name="Normal 4 2 6 5 3 2" xfId="14844" xr:uid="{F62E146C-5AB8-4F35-8CA0-1FC6F7EB80CD}"/>
    <cellStyle name="Normal 4 2 6 5 3 3" xfId="23291" xr:uid="{36BBC024-A6D7-43F5-B3FC-E3FC24CBBE73}"/>
    <cellStyle name="Normal 4 2 6 5 4" xfId="10626" xr:uid="{C5BCEB7E-8455-4DC2-A002-FF909E82F936}"/>
    <cellStyle name="Normal 4 2 6 5 5" xfId="19074" xr:uid="{3378EA0B-45AB-43C3-88D1-7296B71F5643}"/>
    <cellStyle name="Normal 4 2 6 6" xfId="2524" xr:uid="{00000000-0005-0000-0000-000004140000}"/>
    <cellStyle name="Normal 4 2 6 6 2" xfId="6807" xr:uid="{00000000-0005-0000-0000-000005140000}"/>
    <cellStyle name="Normal 4 2 6 6 2 2" xfId="15257" xr:uid="{8B4953C4-BACD-4DF3-8D2F-2CB5B4F0696B}"/>
    <cellStyle name="Normal 4 2 6 6 2 3" xfId="23704" xr:uid="{D67BD5B6-0A32-418B-8E97-2316406CE135}"/>
    <cellStyle name="Normal 4 2 6 6 3" xfId="11039" xr:uid="{84D0C04D-1F31-46C6-A0D8-481F1EA8FC88}"/>
    <cellStyle name="Normal 4 2 6 6 4" xfId="19487" xr:uid="{473B9064-F3F7-425A-A07A-8AE7ABB334AC}"/>
    <cellStyle name="Normal 4 2 6 7" xfId="4742" xr:uid="{00000000-0005-0000-0000-000006140000}"/>
    <cellStyle name="Normal 4 2 6 7 2" xfId="13192" xr:uid="{1D9C66E6-9176-4E2E-905B-D3F93780B53E}"/>
    <cellStyle name="Normal 4 2 6 7 3" xfId="21639" xr:uid="{FF6E8E24-FC48-4830-85D3-CD7E185B3136}"/>
    <cellStyle name="Normal 4 2 6 8" xfId="8974" xr:uid="{8BA1CBD1-3372-493A-9D2D-BC07DA0F98F2}"/>
    <cellStyle name="Normal 4 2 6 9" xfId="17422" xr:uid="{87DE4BD4-FDA4-440A-8023-0AD013C0D8BB}"/>
    <cellStyle name="Normal 4 3" xfId="366" xr:uid="{00000000-0005-0000-0000-000007140000}"/>
    <cellStyle name="Normal 4 3 10" xfId="8975" xr:uid="{10973D41-6859-4C72-B409-D808D5FB3785}"/>
    <cellStyle name="Normal 4 3 11" xfId="17423" xr:uid="{656A4DDF-E65E-4DCF-9612-98AE504053C3}"/>
    <cellStyle name="Normal 4 3 2" xfId="367" xr:uid="{00000000-0005-0000-0000-000008140000}"/>
    <cellStyle name="Normal 4 3 2 2" xfId="368" xr:uid="{00000000-0005-0000-0000-000009140000}"/>
    <cellStyle name="Normal 4 3 2 2 2" xfId="369" xr:uid="{00000000-0005-0000-0000-00000A140000}"/>
    <cellStyle name="Normal 4 3 2 2 2 10" xfId="8976" xr:uid="{BB1D2BCE-6553-4283-B0B0-4B4874E5EBDD}"/>
    <cellStyle name="Normal 4 3 2 2 2 11" xfId="17424" xr:uid="{0FCCDA69-EF0C-4460-8379-5FEAB9416865}"/>
    <cellStyle name="Normal 4 3 2 2 2 2" xfId="370" xr:uid="{00000000-0005-0000-0000-00000B140000}"/>
    <cellStyle name="Normal 4 3 2 2 2 2 10" xfId="17425" xr:uid="{D4025CD2-963A-4431-871B-2F8BB62C628E}"/>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952F0CCA-614F-45EC-923A-8C37C4714A27}"/>
    <cellStyle name="Normal 4 3 2 2 2 2 2 2 2 2 3" xfId="24201" xr:uid="{DE2D924E-1C07-41D4-8BDE-26F72C881CE3}"/>
    <cellStyle name="Normal 4 3 2 2 2 2 2 2 2 3" xfId="11536" xr:uid="{0391BA9D-EE31-476E-A4CC-1D52E3255A3A}"/>
    <cellStyle name="Normal 4 3 2 2 2 2 2 2 2 4" xfId="19984" xr:uid="{EF92453A-00DF-498E-8D6C-B80F05FABDE0}"/>
    <cellStyle name="Normal 4 3 2 2 2 2 2 2 3" xfId="5159" xr:uid="{00000000-0005-0000-0000-000010140000}"/>
    <cellStyle name="Normal 4 3 2 2 2 2 2 2 3 2" xfId="13609" xr:uid="{469C2189-3693-4415-986A-8CCC62B0AF06}"/>
    <cellStyle name="Normal 4 3 2 2 2 2 2 2 3 3" xfId="22056" xr:uid="{EA0D0B43-1402-4D4F-AF87-4069CD065530}"/>
    <cellStyle name="Normal 4 3 2 2 2 2 2 2 4" xfId="9391" xr:uid="{65EA578B-1AC1-464D-BCA8-D7826FB78B6A}"/>
    <cellStyle name="Normal 4 3 2 2 2 2 2 2 5" xfId="17839" xr:uid="{D52123A0-FFDE-47D7-B4B4-5E5D2E9E61E9}"/>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ABB90259-3D5F-4D38-82A9-75F115F5FD94}"/>
    <cellStyle name="Normal 4 3 2 2 2 2 2 3 2 2 3" xfId="24614" xr:uid="{98F6418E-7203-4E46-9490-7073BDE226C7}"/>
    <cellStyle name="Normal 4 3 2 2 2 2 2 3 2 3" xfId="11949" xr:uid="{97E0B233-14F8-4C0F-92B1-FBD1BB67E509}"/>
    <cellStyle name="Normal 4 3 2 2 2 2 2 3 2 4" xfId="20397" xr:uid="{CC1EFF8E-66F0-4189-BA14-28824AABBD92}"/>
    <cellStyle name="Normal 4 3 2 2 2 2 2 3 3" xfId="5572" xr:uid="{00000000-0005-0000-0000-000014140000}"/>
    <cellStyle name="Normal 4 3 2 2 2 2 2 3 3 2" xfId="14022" xr:uid="{BC115286-A339-4EC5-9B1F-590EE5ACC140}"/>
    <cellStyle name="Normal 4 3 2 2 2 2 2 3 3 3" xfId="22469" xr:uid="{BE91DBF9-5912-4270-850F-4E4D17406448}"/>
    <cellStyle name="Normal 4 3 2 2 2 2 2 3 4" xfId="9804" xr:uid="{FC3B7F72-CE1A-4D62-9AE2-2133185A66D2}"/>
    <cellStyle name="Normal 4 3 2 2 2 2 2 3 5" xfId="18252" xr:uid="{322B1683-D756-49B1-9C76-657311B9794D}"/>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AB0331D3-71E3-4EAF-85C9-A75B915987F6}"/>
    <cellStyle name="Normal 4 3 2 2 2 2 2 4 2 2 3" xfId="25027" xr:uid="{7528BF09-42FB-455C-B574-018B5D81C67F}"/>
    <cellStyle name="Normal 4 3 2 2 2 2 2 4 2 3" xfId="12362" xr:uid="{067A86C6-6508-4ABB-9BD1-9AE0F4AD11FD}"/>
    <cellStyle name="Normal 4 3 2 2 2 2 2 4 2 4" xfId="20810" xr:uid="{53138555-A6E8-4A28-94FA-F2E67CC30F3A}"/>
    <cellStyle name="Normal 4 3 2 2 2 2 2 4 3" xfId="5985" xr:uid="{00000000-0005-0000-0000-000018140000}"/>
    <cellStyle name="Normal 4 3 2 2 2 2 2 4 3 2" xfId="14435" xr:uid="{A6897E2D-F6BA-4BA0-AA42-CAB469E7FE79}"/>
    <cellStyle name="Normal 4 3 2 2 2 2 2 4 3 3" xfId="22882" xr:uid="{9C1407B5-FFAF-484C-B4AF-5D6FAB1D1556}"/>
    <cellStyle name="Normal 4 3 2 2 2 2 2 4 4" xfId="10217" xr:uid="{A135F8A6-5734-4DCE-804A-7900E69302C2}"/>
    <cellStyle name="Normal 4 3 2 2 2 2 2 4 5" xfId="18665" xr:uid="{B68699E8-72D8-4020-A393-7D1E3CE6042B}"/>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268FA79B-10C8-4819-A350-79A3B1E786A3}"/>
    <cellStyle name="Normal 4 3 2 2 2 2 2 5 2 2 3" xfId="25440" xr:uid="{19B2DD77-97D6-430E-9919-354CC48A4C6C}"/>
    <cellStyle name="Normal 4 3 2 2 2 2 2 5 2 3" xfId="12775" xr:uid="{6ECA35A7-18E3-441A-9063-632750DDBDF5}"/>
    <cellStyle name="Normal 4 3 2 2 2 2 2 5 2 4" xfId="21223" xr:uid="{81F27838-AADB-4608-A33F-F146DA29E909}"/>
    <cellStyle name="Normal 4 3 2 2 2 2 2 5 3" xfId="6398" xr:uid="{00000000-0005-0000-0000-00001C140000}"/>
    <cellStyle name="Normal 4 3 2 2 2 2 2 5 3 2" xfId="14848" xr:uid="{3FE956AA-FE9E-4C50-97A0-C2A039B60414}"/>
    <cellStyle name="Normal 4 3 2 2 2 2 2 5 3 3" xfId="23295" xr:uid="{E529981F-E895-46C1-B2C1-FFBA9900E6A5}"/>
    <cellStyle name="Normal 4 3 2 2 2 2 2 5 4" xfId="10630" xr:uid="{0D40E5BB-88C0-4837-931E-016C3674E5A5}"/>
    <cellStyle name="Normal 4 3 2 2 2 2 2 5 5" xfId="19078" xr:uid="{1FFE3FA9-EF1D-43C2-BDAA-9D0C6BD4298E}"/>
    <cellStyle name="Normal 4 3 2 2 2 2 2 6" xfId="2528" xr:uid="{00000000-0005-0000-0000-00001D140000}"/>
    <cellStyle name="Normal 4 3 2 2 2 2 2 6 2" xfId="6811" xr:uid="{00000000-0005-0000-0000-00001E140000}"/>
    <cellStyle name="Normal 4 3 2 2 2 2 2 6 2 2" xfId="15261" xr:uid="{30A807A0-A652-4FCB-9B4B-E48CD6CC0C23}"/>
    <cellStyle name="Normal 4 3 2 2 2 2 2 6 2 3" xfId="23708" xr:uid="{726D7752-7416-4CCA-81DD-0C9675C7DF16}"/>
    <cellStyle name="Normal 4 3 2 2 2 2 2 6 3" xfId="11043" xr:uid="{101B104F-ED58-4441-81AB-6CE4D56905F2}"/>
    <cellStyle name="Normal 4 3 2 2 2 2 2 6 4" xfId="19491" xr:uid="{7F0BD427-0AE6-4DD1-B5D4-BB782AACF29E}"/>
    <cellStyle name="Normal 4 3 2 2 2 2 2 7" xfId="4746" xr:uid="{00000000-0005-0000-0000-00001F140000}"/>
    <cellStyle name="Normal 4 3 2 2 2 2 2 7 2" xfId="13196" xr:uid="{33146B43-6311-4B01-8323-5F1472EAACB4}"/>
    <cellStyle name="Normal 4 3 2 2 2 2 2 7 3" xfId="21643" xr:uid="{15F5529B-DBAE-47D4-815F-F0E21234988A}"/>
    <cellStyle name="Normal 4 3 2 2 2 2 2 8" xfId="8978" xr:uid="{AB4BB5DD-10DF-4C46-AB48-23844447F416}"/>
    <cellStyle name="Normal 4 3 2 2 2 2 2 9" xfId="17426" xr:uid="{1FB85B51-C32D-43CC-B81C-BD6CFC7AA988}"/>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6F627660-2A05-434C-B8F1-919F4A98BA82}"/>
    <cellStyle name="Normal 4 3 2 2 2 2 3 2 2 3" xfId="24200" xr:uid="{E55A3928-FF22-4201-A605-D23ECADF2B46}"/>
    <cellStyle name="Normal 4 3 2 2 2 2 3 2 3" xfId="11535" xr:uid="{35626494-80E5-4AA1-BDA0-63BF557B768D}"/>
    <cellStyle name="Normal 4 3 2 2 2 2 3 2 4" xfId="19983" xr:uid="{6C4C11DB-FB91-4327-A3F1-C345C4976BEE}"/>
    <cellStyle name="Normal 4 3 2 2 2 2 3 3" xfId="5158" xr:uid="{00000000-0005-0000-0000-000023140000}"/>
    <cellStyle name="Normal 4 3 2 2 2 2 3 3 2" xfId="13608" xr:uid="{3F41C0A5-D70C-4B2B-8E2A-312EE87E5CE3}"/>
    <cellStyle name="Normal 4 3 2 2 2 2 3 3 3" xfId="22055" xr:uid="{E65A5C73-BB0D-4632-8EDD-A645592D683A}"/>
    <cellStyle name="Normal 4 3 2 2 2 2 3 4" xfId="9390" xr:uid="{F1A52021-37D4-4814-BE6E-BFC80D67BA3B}"/>
    <cellStyle name="Normal 4 3 2 2 2 2 3 5" xfId="17838" xr:uid="{BF5677B9-D9C4-488B-AF6C-5DF5C10D015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5BD01744-4B0F-43C2-BD89-7210687D554E}"/>
    <cellStyle name="Normal 4 3 2 2 2 2 4 2 2 3" xfId="24613" xr:uid="{D5FDB8C4-A69E-4803-B033-99C0FB778BDD}"/>
    <cellStyle name="Normal 4 3 2 2 2 2 4 2 3" xfId="11948" xr:uid="{8A3675FB-5763-42F5-BF15-568E5BED85C0}"/>
    <cellStyle name="Normal 4 3 2 2 2 2 4 2 4" xfId="20396" xr:uid="{1C89949A-48BE-4EE9-9073-DA1043826D1A}"/>
    <cellStyle name="Normal 4 3 2 2 2 2 4 3" xfId="5571" xr:uid="{00000000-0005-0000-0000-000027140000}"/>
    <cellStyle name="Normal 4 3 2 2 2 2 4 3 2" xfId="14021" xr:uid="{C382FF6A-25F6-4456-83F3-FB40F9419324}"/>
    <cellStyle name="Normal 4 3 2 2 2 2 4 3 3" xfId="22468" xr:uid="{56CDC559-6AE1-465C-A157-5F378964A899}"/>
    <cellStyle name="Normal 4 3 2 2 2 2 4 4" xfId="9803" xr:uid="{2D4F5861-1291-4EC4-B8D0-84E46F795F7C}"/>
    <cellStyle name="Normal 4 3 2 2 2 2 4 5" xfId="18251" xr:uid="{BE1F4F99-9CF4-4436-B9C4-82DBB43558A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501BC1F0-9F30-48DA-9859-1CF6735B7070}"/>
    <cellStyle name="Normal 4 3 2 2 2 2 5 2 2 3" xfId="25026" xr:uid="{6BFC08DF-ABA8-4BB6-9726-45A7D7485345}"/>
    <cellStyle name="Normal 4 3 2 2 2 2 5 2 3" xfId="12361" xr:uid="{91402CFC-F305-49DE-9A32-6215B1EB6253}"/>
    <cellStyle name="Normal 4 3 2 2 2 2 5 2 4" xfId="20809" xr:uid="{8CF3A083-E5C3-47DF-A985-C841C3896B8C}"/>
    <cellStyle name="Normal 4 3 2 2 2 2 5 3" xfId="5984" xr:uid="{00000000-0005-0000-0000-00002B140000}"/>
    <cellStyle name="Normal 4 3 2 2 2 2 5 3 2" xfId="14434" xr:uid="{9D442337-88B2-44B3-82B8-DBDA392C2E0B}"/>
    <cellStyle name="Normal 4 3 2 2 2 2 5 3 3" xfId="22881" xr:uid="{482308DB-3708-4EDE-8E46-DADE0D00EEFD}"/>
    <cellStyle name="Normal 4 3 2 2 2 2 5 4" xfId="10216" xr:uid="{E50C2740-52F4-4119-83F8-90D83DFD5DFB}"/>
    <cellStyle name="Normal 4 3 2 2 2 2 5 5" xfId="18664" xr:uid="{88C180C2-EC41-466B-B831-28C203F5EC1C}"/>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7112CBCA-D87F-43CB-AF91-1BAA6E49C990}"/>
    <cellStyle name="Normal 4 3 2 2 2 2 6 2 2 3" xfId="25439" xr:uid="{8DEEA736-46A2-436D-BF61-1AD881A6DE19}"/>
    <cellStyle name="Normal 4 3 2 2 2 2 6 2 3" xfId="12774" xr:uid="{29CDDA8D-D0E0-4B21-9926-BC96FA4F45F0}"/>
    <cellStyle name="Normal 4 3 2 2 2 2 6 2 4" xfId="21222" xr:uid="{699BF4AB-4EA8-403E-9CA5-5C2F9B18FB90}"/>
    <cellStyle name="Normal 4 3 2 2 2 2 6 3" xfId="6397" xr:uid="{00000000-0005-0000-0000-00002F140000}"/>
    <cellStyle name="Normal 4 3 2 2 2 2 6 3 2" xfId="14847" xr:uid="{304142D7-886A-4B3B-99B2-76D5E4208F45}"/>
    <cellStyle name="Normal 4 3 2 2 2 2 6 3 3" xfId="23294" xr:uid="{8B5AF83A-11FE-4561-AEBC-9A3ADD685BE2}"/>
    <cellStyle name="Normal 4 3 2 2 2 2 6 4" xfId="10629" xr:uid="{1166070F-D16C-49F2-B087-A7DD9E476B96}"/>
    <cellStyle name="Normal 4 3 2 2 2 2 6 5" xfId="19077" xr:uid="{FAF770FE-8E48-4DA9-B770-FF303C7ACFA0}"/>
    <cellStyle name="Normal 4 3 2 2 2 2 7" xfId="2527" xr:uid="{00000000-0005-0000-0000-000030140000}"/>
    <cellStyle name="Normal 4 3 2 2 2 2 7 2" xfId="6810" xr:uid="{00000000-0005-0000-0000-000031140000}"/>
    <cellStyle name="Normal 4 3 2 2 2 2 7 2 2" xfId="15260" xr:uid="{E6144CC3-AD70-4D66-990B-2F129214B5CC}"/>
    <cellStyle name="Normal 4 3 2 2 2 2 7 2 3" xfId="23707" xr:uid="{01C0F28F-2A1B-4E1B-80B9-EC68EF294531}"/>
    <cellStyle name="Normal 4 3 2 2 2 2 7 3" xfId="11042" xr:uid="{5DE9BE32-0830-4267-8679-575890017853}"/>
    <cellStyle name="Normal 4 3 2 2 2 2 7 4" xfId="19490" xr:uid="{493DD437-80B7-4CAD-BF87-98459C9A9C9A}"/>
    <cellStyle name="Normal 4 3 2 2 2 2 8" xfId="4745" xr:uid="{00000000-0005-0000-0000-000032140000}"/>
    <cellStyle name="Normal 4 3 2 2 2 2 8 2" xfId="13195" xr:uid="{270A31F0-EB35-43E3-B7C4-270AEB4B6028}"/>
    <cellStyle name="Normal 4 3 2 2 2 2 8 3" xfId="21642" xr:uid="{19EE21AA-B35E-4C98-B98E-22C9DBDF8207}"/>
    <cellStyle name="Normal 4 3 2 2 2 2 9" xfId="8977" xr:uid="{8F2095EB-1BF7-4FE1-B53E-9D4EB38B8A3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DBE4A4FE-3CEE-4DC8-BE5E-1E0C7FDD7B6F}"/>
    <cellStyle name="Normal 4 3 2 2 2 3 2 2 2 3" xfId="24202" xr:uid="{0967C548-19A2-4177-A193-95746B547581}"/>
    <cellStyle name="Normal 4 3 2 2 2 3 2 2 3" xfId="11537" xr:uid="{2A84A2BF-932F-4790-B5DF-7C8E221273DF}"/>
    <cellStyle name="Normal 4 3 2 2 2 3 2 2 4" xfId="19985" xr:uid="{93603493-3B8D-4B8D-9BBD-AF5D053E73AF}"/>
    <cellStyle name="Normal 4 3 2 2 2 3 2 3" xfId="5160" xr:uid="{00000000-0005-0000-0000-000037140000}"/>
    <cellStyle name="Normal 4 3 2 2 2 3 2 3 2" xfId="13610" xr:uid="{C41A2963-2B48-4DA4-BD5F-BBB3A0D6058A}"/>
    <cellStyle name="Normal 4 3 2 2 2 3 2 3 3" xfId="22057" xr:uid="{FD75123B-791B-4941-855C-2724C60A0C5C}"/>
    <cellStyle name="Normal 4 3 2 2 2 3 2 4" xfId="9392" xr:uid="{AD53E8C4-C40F-4397-A55D-0D50CC648B45}"/>
    <cellStyle name="Normal 4 3 2 2 2 3 2 5" xfId="17840" xr:uid="{ECE5CB15-B266-494D-9151-9FCFBE774526}"/>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E7C89DDC-B4C4-461E-869B-3CB2438C4E85}"/>
    <cellStyle name="Normal 4 3 2 2 2 3 3 2 2 3" xfId="24615" xr:uid="{16605A33-100F-468A-9174-433E72793D15}"/>
    <cellStyle name="Normal 4 3 2 2 2 3 3 2 3" xfId="11950" xr:uid="{CB061344-0162-478B-AD91-7744653B2C7A}"/>
    <cellStyle name="Normal 4 3 2 2 2 3 3 2 4" xfId="20398" xr:uid="{04D498E2-E8CA-4BEF-9286-1E370A03D55F}"/>
    <cellStyle name="Normal 4 3 2 2 2 3 3 3" xfId="5573" xr:uid="{00000000-0005-0000-0000-00003B140000}"/>
    <cellStyle name="Normal 4 3 2 2 2 3 3 3 2" xfId="14023" xr:uid="{BE63475F-66DE-4653-ABB0-5DEB3B349EDC}"/>
    <cellStyle name="Normal 4 3 2 2 2 3 3 3 3" xfId="22470" xr:uid="{39526087-6CF0-4DCA-A174-2D598D5B98A4}"/>
    <cellStyle name="Normal 4 3 2 2 2 3 3 4" xfId="9805" xr:uid="{C26B1F77-CC3E-45CE-B3B5-0DDEC05F3655}"/>
    <cellStyle name="Normal 4 3 2 2 2 3 3 5" xfId="18253" xr:uid="{9A93CD7A-341A-4CFC-BFEC-C4B96FD97075}"/>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06BD2B85-A7A2-4C10-817E-32FD75D59120}"/>
    <cellStyle name="Normal 4 3 2 2 2 3 4 2 2 3" xfId="25028" xr:uid="{70D74960-DA22-4600-8FC3-CEE2440CBE19}"/>
    <cellStyle name="Normal 4 3 2 2 2 3 4 2 3" xfId="12363" xr:uid="{36E019A6-B870-45E5-997F-46FC7E522906}"/>
    <cellStyle name="Normal 4 3 2 2 2 3 4 2 4" xfId="20811" xr:uid="{787192FC-6BA7-40A7-96D1-5152037DBFC4}"/>
    <cellStyle name="Normal 4 3 2 2 2 3 4 3" xfId="5986" xr:uid="{00000000-0005-0000-0000-00003F140000}"/>
    <cellStyle name="Normal 4 3 2 2 2 3 4 3 2" xfId="14436" xr:uid="{748F53E9-6402-4BBE-AB72-9B4AC9476663}"/>
    <cellStyle name="Normal 4 3 2 2 2 3 4 3 3" xfId="22883" xr:uid="{55627B25-5DFC-4337-B27C-CC2E7282399E}"/>
    <cellStyle name="Normal 4 3 2 2 2 3 4 4" xfId="10218" xr:uid="{609C8EA2-5DF5-47D2-AA4C-B5EDF32A57D1}"/>
    <cellStyle name="Normal 4 3 2 2 2 3 4 5" xfId="18666" xr:uid="{FCB76005-0828-4F49-85BB-6607F7BC5F2C}"/>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2557F185-E2E3-4199-A3C1-A9F7DD29BB00}"/>
    <cellStyle name="Normal 4 3 2 2 2 3 5 2 2 3" xfId="25441" xr:uid="{FB702396-9504-4ABE-B257-71EB01A35173}"/>
    <cellStyle name="Normal 4 3 2 2 2 3 5 2 3" xfId="12776" xr:uid="{D6C59445-3927-4BD7-A9AD-5198BDB4A5AD}"/>
    <cellStyle name="Normal 4 3 2 2 2 3 5 2 4" xfId="21224" xr:uid="{7612E2BD-F9A8-43F0-9D48-C174AC908AD6}"/>
    <cellStyle name="Normal 4 3 2 2 2 3 5 3" xfId="6399" xr:uid="{00000000-0005-0000-0000-000043140000}"/>
    <cellStyle name="Normal 4 3 2 2 2 3 5 3 2" xfId="14849" xr:uid="{280F302A-74DB-4D40-9D8A-3CB1EA6B4543}"/>
    <cellStyle name="Normal 4 3 2 2 2 3 5 3 3" xfId="23296" xr:uid="{70A44F0C-B57B-41C7-A106-1F22D5400651}"/>
    <cellStyle name="Normal 4 3 2 2 2 3 5 4" xfId="10631" xr:uid="{B8581FA8-5423-4896-B3CC-2E6D29304E28}"/>
    <cellStyle name="Normal 4 3 2 2 2 3 5 5" xfId="19079" xr:uid="{35A6713E-B970-40CB-A17D-E57F300041F5}"/>
    <cellStyle name="Normal 4 3 2 2 2 3 6" xfId="2529" xr:uid="{00000000-0005-0000-0000-000044140000}"/>
    <cellStyle name="Normal 4 3 2 2 2 3 6 2" xfId="6812" xr:uid="{00000000-0005-0000-0000-000045140000}"/>
    <cellStyle name="Normal 4 3 2 2 2 3 6 2 2" xfId="15262" xr:uid="{56199BCC-9816-472F-ABC6-FDD2F0CAB463}"/>
    <cellStyle name="Normal 4 3 2 2 2 3 6 2 3" xfId="23709" xr:uid="{1045BF65-C51E-4C1D-BDA1-EEE4ACFEB35F}"/>
    <cellStyle name="Normal 4 3 2 2 2 3 6 3" xfId="11044" xr:uid="{98135ACE-3197-4628-AE31-AE33203A3C0D}"/>
    <cellStyle name="Normal 4 3 2 2 2 3 6 4" xfId="19492" xr:uid="{2E020837-40CF-473C-8151-1BAC61A5737F}"/>
    <cellStyle name="Normal 4 3 2 2 2 3 7" xfId="4747" xr:uid="{00000000-0005-0000-0000-000046140000}"/>
    <cellStyle name="Normal 4 3 2 2 2 3 7 2" xfId="13197" xr:uid="{B849BBB2-5E87-46BA-91A4-3AFA71FFFA38}"/>
    <cellStyle name="Normal 4 3 2 2 2 3 7 3" xfId="21644" xr:uid="{790F775C-14CF-4457-A930-50FD68C5C401}"/>
    <cellStyle name="Normal 4 3 2 2 2 3 8" xfId="8979" xr:uid="{D0BEA3AE-34E9-4A75-A53D-34032C811707}"/>
    <cellStyle name="Normal 4 3 2 2 2 3 9" xfId="17427" xr:uid="{8890DD9C-511F-4169-B274-AD0628BDCFBC}"/>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0D08ADDF-8E19-425E-9225-C310D9ECDDEA}"/>
    <cellStyle name="Normal 4 3 2 2 2 4 2 2 3" xfId="24199" xr:uid="{36877E31-0D91-4C4A-B799-8B50807895FA}"/>
    <cellStyle name="Normal 4 3 2 2 2 4 2 3" xfId="11534" xr:uid="{8C505BEF-6FCB-4406-A539-B987D4D307E9}"/>
    <cellStyle name="Normal 4 3 2 2 2 4 2 4" xfId="19982" xr:uid="{FC253BD5-5353-4435-952B-FD14DCB29B75}"/>
    <cellStyle name="Normal 4 3 2 2 2 4 3" xfId="5157" xr:uid="{00000000-0005-0000-0000-00004A140000}"/>
    <cellStyle name="Normal 4 3 2 2 2 4 3 2" xfId="13607" xr:uid="{159B4183-D1DE-444C-98FF-BB1F7ECB1347}"/>
    <cellStyle name="Normal 4 3 2 2 2 4 3 3" xfId="22054" xr:uid="{FD1C7184-42B7-4A41-A1A6-553F12F17F33}"/>
    <cellStyle name="Normal 4 3 2 2 2 4 4" xfId="9389" xr:uid="{19BA95F5-616A-46A2-94BA-337B19C2F68B}"/>
    <cellStyle name="Normal 4 3 2 2 2 4 5" xfId="17837" xr:uid="{7EBB58EF-0769-4448-866F-F4A7962B51FD}"/>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8D7D82C4-C450-4D92-84D0-60944F65EEF8}"/>
    <cellStyle name="Normal 4 3 2 2 2 5 2 2 3" xfId="24612" xr:uid="{7109CE05-9B44-48E3-8C45-E0EE62B69B0B}"/>
    <cellStyle name="Normal 4 3 2 2 2 5 2 3" xfId="11947" xr:uid="{B2D32FD5-2D62-4E33-854A-F5C17353A2CD}"/>
    <cellStyle name="Normal 4 3 2 2 2 5 2 4" xfId="20395" xr:uid="{68888558-F6B8-4D05-87F7-3F18847CED19}"/>
    <cellStyle name="Normal 4 3 2 2 2 5 3" xfId="5570" xr:uid="{00000000-0005-0000-0000-00004E140000}"/>
    <cellStyle name="Normal 4 3 2 2 2 5 3 2" xfId="14020" xr:uid="{F5D8E36F-32D4-4031-8DD2-B0CBF2BDD9DB}"/>
    <cellStyle name="Normal 4 3 2 2 2 5 3 3" xfId="22467" xr:uid="{19FA3428-E6F8-4CA8-A428-C9D9DD561532}"/>
    <cellStyle name="Normal 4 3 2 2 2 5 4" xfId="9802" xr:uid="{ECCE6FE6-9196-4DD6-BB66-852AF8D1592D}"/>
    <cellStyle name="Normal 4 3 2 2 2 5 5" xfId="18250" xr:uid="{3C6F4439-BCDF-48DA-999C-F8A354738138}"/>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024913C2-60F4-427C-A5FD-F4012135DEA9}"/>
    <cellStyle name="Normal 4 3 2 2 2 6 2 2 3" xfId="25025" xr:uid="{5F0769D5-2B46-43ED-8114-AEDD2DF894D6}"/>
    <cellStyle name="Normal 4 3 2 2 2 6 2 3" xfId="12360" xr:uid="{0C731C5F-9B5C-4B90-9F16-EECF56EDE6D9}"/>
    <cellStyle name="Normal 4 3 2 2 2 6 2 4" xfId="20808" xr:uid="{1002E78E-443E-4384-A1E7-77EE5A781022}"/>
    <cellStyle name="Normal 4 3 2 2 2 6 3" xfId="5983" xr:uid="{00000000-0005-0000-0000-000052140000}"/>
    <cellStyle name="Normal 4 3 2 2 2 6 3 2" xfId="14433" xr:uid="{707350A1-8A0B-4E05-B92F-5426FF676A4D}"/>
    <cellStyle name="Normal 4 3 2 2 2 6 3 3" xfId="22880" xr:uid="{9FBAC959-11AC-4D35-93A9-7F856BD0205A}"/>
    <cellStyle name="Normal 4 3 2 2 2 6 4" xfId="10215" xr:uid="{A8EA5B18-20F4-405F-90B0-3331E9693CC0}"/>
    <cellStyle name="Normal 4 3 2 2 2 6 5" xfId="18663" xr:uid="{B42B2AC3-04B2-4DB5-AFD4-C3504BCCE64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F0DC679B-C913-4046-8AD2-96AF2742DD15}"/>
    <cellStyle name="Normal 4 3 2 2 2 7 2 2 3" xfId="25438" xr:uid="{C86E5DCD-7244-4FDC-B00A-79BD984D15C6}"/>
    <cellStyle name="Normal 4 3 2 2 2 7 2 3" xfId="12773" xr:uid="{48E46534-8173-4CD2-A196-56B38BA2C860}"/>
    <cellStyle name="Normal 4 3 2 2 2 7 2 4" xfId="21221" xr:uid="{45DB6AAB-3F3D-4B77-AD72-A7EC00BE38E8}"/>
    <cellStyle name="Normal 4 3 2 2 2 7 3" xfId="6396" xr:uid="{00000000-0005-0000-0000-000056140000}"/>
    <cellStyle name="Normal 4 3 2 2 2 7 3 2" xfId="14846" xr:uid="{A7BEA03C-19DB-4C3E-AFE1-07A29C8E3231}"/>
    <cellStyle name="Normal 4 3 2 2 2 7 3 3" xfId="23293" xr:uid="{BEAAD7F1-A873-4FCC-B1D4-A5E10C0A3B6B}"/>
    <cellStyle name="Normal 4 3 2 2 2 7 4" xfId="10628" xr:uid="{FB99F192-E6D5-45A3-8A70-61019AA915A4}"/>
    <cellStyle name="Normal 4 3 2 2 2 7 5" xfId="19076" xr:uid="{484EAFE9-87B9-4028-B162-86F6F6D31414}"/>
    <cellStyle name="Normal 4 3 2 2 2 8" xfId="2526" xr:uid="{00000000-0005-0000-0000-000057140000}"/>
    <cellStyle name="Normal 4 3 2 2 2 8 2" xfId="6809" xr:uid="{00000000-0005-0000-0000-000058140000}"/>
    <cellStyle name="Normal 4 3 2 2 2 8 2 2" xfId="15259" xr:uid="{4A2EF58A-C396-4865-B753-A02463ACD6FD}"/>
    <cellStyle name="Normal 4 3 2 2 2 8 2 3" xfId="23706" xr:uid="{C160A3C8-3018-4C08-B316-C505D1E8F146}"/>
    <cellStyle name="Normal 4 3 2 2 2 8 3" xfId="11041" xr:uid="{1FCB226D-6337-46F9-AFF5-CC0141BB783B}"/>
    <cellStyle name="Normal 4 3 2 2 2 8 4" xfId="19489" xr:uid="{39403E8B-5176-4BA1-9126-7C780A8096F8}"/>
    <cellStyle name="Normal 4 3 2 2 2 9" xfId="4744" xr:uid="{00000000-0005-0000-0000-000059140000}"/>
    <cellStyle name="Normal 4 3 2 2 2 9 2" xfId="13194" xr:uid="{B0B4D6C1-4843-4E5B-9A76-25392822B5E6}"/>
    <cellStyle name="Normal 4 3 2 2 2 9 3" xfId="21641" xr:uid="{4945BBBF-820D-4946-8A40-723933996FC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897B56B1-92FB-4A3D-9DC6-6707EFD60F4E}"/>
    <cellStyle name="Normal 4 3 3 11" xfId="17428" xr:uid="{E60C6693-83D4-4CA4-8CCA-6EFD75773A45}"/>
    <cellStyle name="Normal 4 3 3 2" xfId="375" xr:uid="{00000000-0005-0000-0000-00005E140000}"/>
    <cellStyle name="Normal 4 3 3 2 10" xfId="17429" xr:uid="{D937B404-228E-4D2A-A908-CAAD9D02867C}"/>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BE60FD55-CBC4-4D97-9D3B-A02ADF9726BE}"/>
    <cellStyle name="Normal 4 3 3 2 2 2 2 2 3" xfId="24205" xr:uid="{481BFE92-511C-4627-AF77-720630F1A565}"/>
    <cellStyle name="Normal 4 3 3 2 2 2 2 3" xfId="11540" xr:uid="{53482A90-933C-4E44-AC67-42022A7BC4FA}"/>
    <cellStyle name="Normal 4 3 3 2 2 2 2 4" xfId="19988" xr:uid="{0AA838DE-3718-4A7A-A77F-990F4B7D987B}"/>
    <cellStyle name="Normal 4 3 3 2 2 2 3" xfId="5163" xr:uid="{00000000-0005-0000-0000-000063140000}"/>
    <cellStyle name="Normal 4 3 3 2 2 2 3 2" xfId="13613" xr:uid="{B6BA306B-4665-4D06-B451-608F644C8277}"/>
    <cellStyle name="Normal 4 3 3 2 2 2 3 3" xfId="22060" xr:uid="{281C2A85-7E8C-49AB-A87B-61D9817810D0}"/>
    <cellStyle name="Normal 4 3 3 2 2 2 4" xfId="9395" xr:uid="{645185AC-9E34-4EA6-9A4C-0FCF5E3B6E1F}"/>
    <cellStyle name="Normal 4 3 3 2 2 2 5" xfId="17843" xr:uid="{F3D1AAC8-6847-45C0-A2F1-898CB0DC7E4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26166DA6-A736-4F29-98D4-23F086170413}"/>
    <cellStyle name="Normal 4 3 3 2 2 3 2 2 3" xfId="24618" xr:uid="{9197B694-69C2-4AF3-A17C-47B74AB8CF4A}"/>
    <cellStyle name="Normal 4 3 3 2 2 3 2 3" xfId="11953" xr:uid="{004B770D-71AE-402B-8B33-41A25C0EA10F}"/>
    <cellStyle name="Normal 4 3 3 2 2 3 2 4" xfId="20401" xr:uid="{AD93C438-3737-4191-8475-DD45BE319621}"/>
    <cellStyle name="Normal 4 3 3 2 2 3 3" xfId="5576" xr:uid="{00000000-0005-0000-0000-000067140000}"/>
    <cellStyle name="Normal 4 3 3 2 2 3 3 2" xfId="14026" xr:uid="{B7388620-A9F3-405B-9932-8C4F6FFE4438}"/>
    <cellStyle name="Normal 4 3 3 2 2 3 3 3" xfId="22473" xr:uid="{310C919C-1623-435C-85DB-19C6805D8246}"/>
    <cellStyle name="Normal 4 3 3 2 2 3 4" xfId="9808" xr:uid="{59B2EEB3-EABF-4A91-80CF-E6B9D6A25C62}"/>
    <cellStyle name="Normal 4 3 3 2 2 3 5" xfId="18256" xr:uid="{7354B69C-02A9-48DC-9E6D-EC46125AD72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BF8A8597-F81C-48D8-A9A3-D655E4DA80F4}"/>
    <cellStyle name="Normal 4 3 3 2 2 4 2 2 3" xfId="25031" xr:uid="{F0D96710-0439-4CF2-83ED-5F68939C6633}"/>
    <cellStyle name="Normal 4 3 3 2 2 4 2 3" xfId="12366" xr:uid="{D0D68444-4FFB-4EF8-A749-B4A208CFAA13}"/>
    <cellStyle name="Normal 4 3 3 2 2 4 2 4" xfId="20814" xr:uid="{6CED185C-3DBC-4597-8E53-8B6EC7F3C7D7}"/>
    <cellStyle name="Normal 4 3 3 2 2 4 3" xfId="5989" xr:uid="{00000000-0005-0000-0000-00006B140000}"/>
    <cellStyle name="Normal 4 3 3 2 2 4 3 2" xfId="14439" xr:uid="{9024470F-9C38-46E6-AFA1-40FD96ED6A40}"/>
    <cellStyle name="Normal 4 3 3 2 2 4 3 3" xfId="22886" xr:uid="{4C841CAF-5600-4064-AF58-7996C58A81EA}"/>
    <cellStyle name="Normal 4 3 3 2 2 4 4" xfId="10221" xr:uid="{5C83EF1C-4A57-4E3F-B3EA-1ADE492FE3E9}"/>
    <cellStyle name="Normal 4 3 3 2 2 4 5" xfId="18669" xr:uid="{457C72FA-71FC-4E07-954F-640B10CC313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9B4A4378-412A-482B-AD30-419EA2F472B5}"/>
    <cellStyle name="Normal 4 3 3 2 2 5 2 2 3" xfId="25444" xr:uid="{5022814C-675B-4407-AFC5-5C0EBD19A99C}"/>
    <cellStyle name="Normal 4 3 3 2 2 5 2 3" xfId="12779" xr:uid="{C1F6BFAC-838A-4858-86F5-6490FC49076C}"/>
    <cellStyle name="Normal 4 3 3 2 2 5 2 4" xfId="21227" xr:uid="{456A6D53-7C47-4EB5-9008-8F5DF6EAD5F5}"/>
    <cellStyle name="Normal 4 3 3 2 2 5 3" xfId="6402" xr:uid="{00000000-0005-0000-0000-00006F140000}"/>
    <cellStyle name="Normal 4 3 3 2 2 5 3 2" xfId="14852" xr:uid="{FCD25180-1A14-4156-A19D-A9FCAA5AE436}"/>
    <cellStyle name="Normal 4 3 3 2 2 5 3 3" xfId="23299" xr:uid="{FCDBE985-77BD-43B0-9839-8EF9C81C54F4}"/>
    <cellStyle name="Normal 4 3 3 2 2 5 4" xfId="10634" xr:uid="{43C15EB3-4209-4D4B-A8D5-AD3030A5357C}"/>
    <cellStyle name="Normal 4 3 3 2 2 5 5" xfId="19082" xr:uid="{E9C98FA6-F573-480D-976A-8137513CEAE4}"/>
    <cellStyle name="Normal 4 3 3 2 2 6" xfId="2532" xr:uid="{00000000-0005-0000-0000-000070140000}"/>
    <cellStyle name="Normal 4 3 3 2 2 6 2" xfId="6815" xr:uid="{00000000-0005-0000-0000-000071140000}"/>
    <cellStyle name="Normal 4 3 3 2 2 6 2 2" xfId="15265" xr:uid="{28D19D66-DC49-4995-BBE3-B1DC7A5620A2}"/>
    <cellStyle name="Normal 4 3 3 2 2 6 2 3" xfId="23712" xr:uid="{859C3082-9EFC-40EF-923D-BD6B09700912}"/>
    <cellStyle name="Normal 4 3 3 2 2 6 3" xfId="11047" xr:uid="{12AB1EBF-2D6D-4844-B6E5-DF7286436CBB}"/>
    <cellStyle name="Normal 4 3 3 2 2 6 4" xfId="19495" xr:uid="{3FA90F55-1BD3-40B8-8247-D3C99E498E02}"/>
    <cellStyle name="Normal 4 3 3 2 2 7" xfId="4750" xr:uid="{00000000-0005-0000-0000-000072140000}"/>
    <cellStyle name="Normal 4 3 3 2 2 7 2" xfId="13200" xr:uid="{FA39DF09-36A0-4674-81F7-D52ACEBC5B46}"/>
    <cellStyle name="Normal 4 3 3 2 2 7 3" xfId="21647" xr:uid="{47E7D5DD-3DEB-4767-9F95-38012935DB79}"/>
    <cellStyle name="Normal 4 3 3 2 2 8" xfId="8982" xr:uid="{30C97BB7-A2A0-4DCA-8E4E-A0AD2CE41559}"/>
    <cellStyle name="Normal 4 3 3 2 2 9" xfId="17430" xr:uid="{C0921DBA-1127-42B7-BB41-ACD9F02707CD}"/>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DF8052E8-0AA6-40F0-A40F-B286187FAE69}"/>
    <cellStyle name="Normal 4 3 3 2 3 2 2 3" xfId="24204" xr:uid="{DDD4FF42-753A-434C-860E-7542FEF63BB3}"/>
    <cellStyle name="Normal 4 3 3 2 3 2 3" xfId="11539" xr:uid="{37063ADF-8EA6-4EF8-9CFB-432EC872A677}"/>
    <cellStyle name="Normal 4 3 3 2 3 2 4" xfId="19987" xr:uid="{9FFF59F0-CFF1-4664-ACEE-EA11B82D75EF}"/>
    <cellStyle name="Normal 4 3 3 2 3 3" xfId="5162" xr:uid="{00000000-0005-0000-0000-000076140000}"/>
    <cellStyle name="Normal 4 3 3 2 3 3 2" xfId="13612" xr:uid="{F57E653E-5240-40C0-B52D-1B81AD57445F}"/>
    <cellStyle name="Normal 4 3 3 2 3 3 3" xfId="22059" xr:uid="{F9EE1F32-798B-4F3F-8651-81CD813265DA}"/>
    <cellStyle name="Normal 4 3 3 2 3 4" xfId="9394" xr:uid="{319FAC91-9F43-4FE5-B430-EED42276F88C}"/>
    <cellStyle name="Normal 4 3 3 2 3 5" xfId="17842" xr:uid="{901F5582-9EF1-4AE1-AAC0-D4AAB3F429F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714D43E5-314F-4CF7-94EA-4875B2AA792B}"/>
    <cellStyle name="Normal 4 3 3 2 4 2 2 3" xfId="24617" xr:uid="{1475C40F-0717-413F-9F91-E98E5318B06E}"/>
    <cellStyle name="Normal 4 3 3 2 4 2 3" xfId="11952" xr:uid="{4A5476A3-EFB2-4B8A-B7D1-6D8A46422197}"/>
    <cellStyle name="Normal 4 3 3 2 4 2 4" xfId="20400" xr:uid="{16142FE7-2252-4400-B2BA-297ECCE943C5}"/>
    <cellStyle name="Normal 4 3 3 2 4 3" xfId="5575" xr:uid="{00000000-0005-0000-0000-00007A140000}"/>
    <cellStyle name="Normal 4 3 3 2 4 3 2" xfId="14025" xr:uid="{43ECE657-D6E6-4AC7-931E-97F9A3F18F4E}"/>
    <cellStyle name="Normal 4 3 3 2 4 3 3" xfId="22472" xr:uid="{5A9EC8F4-1DB1-4392-9D41-0F317CEEABF4}"/>
    <cellStyle name="Normal 4 3 3 2 4 4" xfId="9807" xr:uid="{344D7844-A169-4451-82A5-3642E1B01571}"/>
    <cellStyle name="Normal 4 3 3 2 4 5" xfId="18255" xr:uid="{5163238D-F758-4164-9679-41DF3529EB4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8C3B07B5-E5A7-4CCE-8122-765C470FA7BF}"/>
    <cellStyle name="Normal 4 3 3 2 5 2 2 3" xfId="25030" xr:uid="{AE8AB7A9-C1EE-4731-AC57-23D7AEA67C41}"/>
    <cellStyle name="Normal 4 3 3 2 5 2 3" xfId="12365" xr:uid="{0D111313-52D6-4577-B862-7AD8F66728A9}"/>
    <cellStyle name="Normal 4 3 3 2 5 2 4" xfId="20813" xr:uid="{E38C7020-4CE0-413D-A3D2-79EFB771645B}"/>
    <cellStyle name="Normal 4 3 3 2 5 3" xfId="5988" xr:uid="{00000000-0005-0000-0000-00007E140000}"/>
    <cellStyle name="Normal 4 3 3 2 5 3 2" xfId="14438" xr:uid="{5C691A3E-EE45-43B5-A45C-D2B729936B0A}"/>
    <cellStyle name="Normal 4 3 3 2 5 3 3" xfId="22885" xr:uid="{FD934FFB-082E-4102-9641-273FA0076B08}"/>
    <cellStyle name="Normal 4 3 3 2 5 4" xfId="10220" xr:uid="{ECE69C33-6A7A-4E81-AA32-8DDF252702CC}"/>
    <cellStyle name="Normal 4 3 3 2 5 5" xfId="18668" xr:uid="{7DD8D2BA-22C1-44B3-91BF-D79EEE68A67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FE4519EF-5882-4CB9-B652-6DCE96F2EF68}"/>
    <cellStyle name="Normal 4 3 3 2 6 2 2 3" xfId="25443" xr:uid="{C5EFC556-63FC-441B-B839-61321B0AB606}"/>
    <cellStyle name="Normal 4 3 3 2 6 2 3" xfId="12778" xr:uid="{112075D7-1FC3-432D-9900-018F2051258F}"/>
    <cellStyle name="Normal 4 3 3 2 6 2 4" xfId="21226" xr:uid="{57A8B41C-9D78-4CA1-951A-6C149C16B49E}"/>
    <cellStyle name="Normal 4 3 3 2 6 3" xfId="6401" xr:uid="{00000000-0005-0000-0000-000082140000}"/>
    <cellStyle name="Normal 4 3 3 2 6 3 2" xfId="14851" xr:uid="{952302BD-4C2C-405D-8623-C086E71315FF}"/>
    <cellStyle name="Normal 4 3 3 2 6 3 3" xfId="23298" xr:uid="{D17FD198-66AB-4CBA-B0E5-AD861B8E08E6}"/>
    <cellStyle name="Normal 4 3 3 2 6 4" xfId="10633" xr:uid="{4F8BBB2B-D28E-476A-9C15-436F8501C23B}"/>
    <cellStyle name="Normal 4 3 3 2 6 5" xfId="19081" xr:uid="{05F4754F-B118-4E65-946E-9700536115C9}"/>
    <cellStyle name="Normal 4 3 3 2 7" xfId="2531" xr:uid="{00000000-0005-0000-0000-000083140000}"/>
    <cellStyle name="Normal 4 3 3 2 7 2" xfId="6814" xr:uid="{00000000-0005-0000-0000-000084140000}"/>
    <cellStyle name="Normal 4 3 3 2 7 2 2" xfId="15264" xr:uid="{217FCF41-5476-42B2-BA14-5C441692C61A}"/>
    <cellStyle name="Normal 4 3 3 2 7 2 3" xfId="23711" xr:uid="{D9D881B2-4857-405B-B83A-2EAE5BCAB372}"/>
    <cellStyle name="Normal 4 3 3 2 7 3" xfId="11046" xr:uid="{ABCDB563-0510-4251-857A-AFB48F208889}"/>
    <cellStyle name="Normal 4 3 3 2 7 4" xfId="19494" xr:uid="{F3AB3637-C08D-41BD-BA4A-42796668CEEF}"/>
    <cellStyle name="Normal 4 3 3 2 8" xfId="4749" xr:uid="{00000000-0005-0000-0000-000085140000}"/>
    <cellStyle name="Normal 4 3 3 2 8 2" xfId="13199" xr:uid="{9A4C2374-D10B-4A76-A61C-526D241AD3D9}"/>
    <cellStyle name="Normal 4 3 3 2 8 3" xfId="21646" xr:uid="{F9CA3B7A-541D-4549-8874-248350E33194}"/>
    <cellStyle name="Normal 4 3 3 2 9" xfId="8981" xr:uid="{A82B9D27-F231-4851-A91F-025E70A7B46F}"/>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C9D32347-D70E-47B8-B072-CB3DF0B9F06A}"/>
    <cellStyle name="Normal 4 3 3 3 2 2 2 3" xfId="24206" xr:uid="{904326D0-1663-4901-8671-724747E82C06}"/>
    <cellStyle name="Normal 4 3 3 3 2 2 3" xfId="11541" xr:uid="{F320FA33-9B83-447E-89A9-AF9B50A5BA81}"/>
    <cellStyle name="Normal 4 3 3 3 2 2 4" xfId="19989" xr:uid="{01DFB8AD-3638-4E80-87F2-C35F38A2005E}"/>
    <cellStyle name="Normal 4 3 3 3 2 3" xfId="5164" xr:uid="{00000000-0005-0000-0000-00008A140000}"/>
    <cellStyle name="Normal 4 3 3 3 2 3 2" xfId="13614" xr:uid="{8C4F4EAA-9D0B-4983-BAC9-C79D6FEFAED1}"/>
    <cellStyle name="Normal 4 3 3 3 2 3 3" xfId="22061" xr:uid="{1FA238E2-F5AD-4160-8676-CA5193BBCF41}"/>
    <cellStyle name="Normal 4 3 3 3 2 4" xfId="9396" xr:uid="{35A588F8-17E6-4181-9039-26C9054600C6}"/>
    <cellStyle name="Normal 4 3 3 3 2 5" xfId="17844" xr:uid="{1DD9470F-9A35-4AFF-A50E-47E0BA21036B}"/>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7729D215-F4E9-4C89-9B0D-FBF20AB4C07F}"/>
    <cellStyle name="Normal 4 3 3 3 3 2 2 3" xfId="24619" xr:uid="{8FBBBDE5-64CF-4E94-B7EA-FCD1BDBD98EC}"/>
    <cellStyle name="Normal 4 3 3 3 3 2 3" xfId="11954" xr:uid="{EFE6D0C9-9B4D-49F7-904C-E4915A4FA0FE}"/>
    <cellStyle name="Normal 4 3 3 3 3 2 4" xfId="20402" xr:uid="{2D5FCA39-10D9-4E3C-ADE7-E1E9BE87D3D0}"/>
    <cellStyle name="Normal 4 3 3 3 3 3" xfId="5577" xr:uid="{00000000-0005-0000-0000-00008E140000}"/>
    <cellStyle name="Normal 4 3 3 3 3 3 2" xfId="14027" xr:uid="{F97F38EE-4AAA-4C30-AC81-D065A83D91F4}"/>
    <cellStyle name="Normal 4 3 3 3 3 3 3" xfId="22474" xr:uid="{49C6CB6A-9B45-4170-B993-9E8D544DAD96}"/>
    <cellStyle name="Normal 4 3 3 3 3 4" xfId="9809" xr:uid="{BD2551DF-DB62-47EA-B10A-D1E66D5EA4F3}"/>
    <cellStyle name="Normal 4 3 3 3 3 5" xfId="18257" xr:uid="{9889F23A-F591-4439-A35A-E352F337542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4D79BAAA-BC27-428F-818C-871DB540FC8B}"/>
    <cellStyle name="Normal 4 3 3 3 4 2 2 3" xfId="25032" xr:uid="{6E55C95A-7137-4A47-AF83-CFCAFB8B959D}"/>
    <cellStyle name="Normal 4 3 3 3 4 2 3" xfId="12367" xr:uid="{1C8AFDCC-167D-42DB-878B-B3D4D1CA368F}"/>
    <cellStyle name="Normal 4 3 3 3 4 2 4" xfId="20815" xr:uid="{A774AC32-348C-4713-8FE4-326CA87A60F2}"/>
    <cellStyle name="Normal 4 3 3 3 4 3" xfId="5990" xr:uid="{00000000-0005-0000-0000-000092140000}"/>
    <cellStyle name="Normal 4 3 3 3 4 3 2" xfId="14440" xr:uid="{7E128C63-B8E4-4EA0-94D8-434CF8660B0B}"/>
    <cellStyle name="Normal 4 3 3 3 4 3 3" xfId="22887" xr:uid="{FD32E711-4678-4866-88A1-932A636C3516}"/>
    <cellStyle name="Normal 4 3 3 3 4 4" xfId="10222" xr:uid="{B54C6780-4176-4F70-87D6-9999D5E09A7C}"/>
    <cellStyle name="Normal 4 3 3 3 4 5" xfId="18670" xr:uid="{43A9F4FD-00A6-442C-8311-7052DB15EF3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1EE91D53-70E3-4910-BE14-E75953ACB887}"/>
    <cellStyle name="Normal 4 3 3 3 5 2 2 3" xfId="25445" xr:uid="{5708AF87-4EE5-471F-B5FE-94F67A0064BC}"/>
    <cellStyle name="Normal 4 3 3 3 5 2 3" xfId="12780" xr:uid="{7BB99395-9EED-47D4-9058-E9AFCDC95A84}"/>
    <cellStyle name="Normal 4 3 3 3 5 2 4" xfId="21228" xr:uid="{95D22FE5-EB1D-4D3F-A516-5B27F8BD09AB}"/>
    <cellStyle name="Normal 4 3 3 3 5 3" xfId="6403" xr:uid="{00000000-0005-0000-0000-000096140000}"/>
    <cellStyle name="Normal 4 3 3 3 5 3 2" xfId="14853" xr:uid="{FF33DFCD-8E1E-4D65-81C6-06721C41B4A1}"/>
    <cellStyle name="Normal 4 3 3 3 5 3 3" xfId="23300" xr:uid="{4EE9133D-B090-4749-9717-E8FDB1C04294}"/>
    <cellStyle name="Normal 4 3 3 3 5 4" xfId="10635" xr:uid="{8F71E5A9-2BF3-4C72-B1F6-ACF48BD58FB6}"/>
    <cellStyle name="Normal 4 3 3 3 5 5" xfId="19083" xr:uid="{D573D978-8D57-4D00-AFE6-60E3F8BA95A8}"/>
    <cellStyle name="Normal 4 3 3 3 6" xfId="2533" xr:uid="{00000000-0005-0000-0000-000097140000}"/>
    <cellStyle name="Normal 4 3 3 3 6 2" xfId="6816" xr:uid="{00000000-0005-0000-0000-000098140000}"/>
    <cellStyle name="Normal 4 3 3 3 6 2 2" xfId="15266" xr:uid="{0CEBC7E8-C845-4A5F-8A6D-3C72D568EFC2}"/>
    <cellStyle name="Normal 4 3 3 3 6 2 3" xfId="23713" xr:uid="{129B33A2-1165-479E-9ACE-40B9A77D540E}"/>
    <cellStyle name="Normal 4 3 3 3 6 3" xfId="11048" xr:uid="{7E28B69E-7C2C-41E8-831C-BF8D683EDAC3}"/>
    <cellStyle name="Normal 4 3 3 3 6 4" xfId="19496" xr:uid="{DB356828-A1A6-4DF3-A792-503D813B1EC7}"/>
    <cellStyle name="Normal 4 3 3 3 7" xfId="4751" xr:uid="{00000000-0005-0000-0000-000099140000}"/>
    <cellStyle name="Normal 4 3 3 3 7 2" xfId="13201" xr:uid="{650F5753-308C-4BE5-9A75-BA7E7E0A1362}"/>
    <cellStyle name="Normal 4 3 3 3 7 3" xfId="21648" xr:uid="{E602511B-A392-41CE-9FC1-026E4F828AB2}"/>
    <cellStyle name="Normal 4 3 3 3 8" xfId="8983" xr:uid="{7BCAF2F8-61B8-49F6-A57A-D0C201158019}"/>
    <cellStyle name="Normal 4 3 3 3 9" xfId="17431" xr:uid="{F50A9E8C-752C-46BE-8F6C-CCE7732264D6}"/>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C855B9FF-C791-4315-8240-99976FC50B13}"/>
    <cellStyle name="Normal 4 3 3 4 2 2 3" xfId="24203" xr:uid="{3FE2E02A-CE6C-45E4-B1EF-EF05BC571608}"/>
    <cellStyle name="Normal 4 3 3 4 2 3" xfId="11538" xr:uid="{FE2144B0-7C70-48C3-B46B-D25B5E3D1B18}"/>
    <cellStyle name="Normal 4 3 3 4 2 4" xfId="19986" xr:uid="{855D0CF4-A75C-4DE4-9503-665D5974B406}"/>
    <cellStyle name="Normal 4 3 3 4 3" xfId="5161" xr:uid="{00000000-0005-0000-0000-00009D140000}"/>
    <cellStyle name="Normal 4 3 3 4 3 2" xfId="13611" xr:uid="{94836FF9-A5E7-4A06-AB8B-C7F672EBCCB8}"/>
    <cellStyle name="Normal 4 3 3 4 3 3" xfId="22058" xr:uid="{B67BD6FF-F6AF-4026-BE8F-ED97D93CB253}"/>
    <cellStyle name="Normal 4 3 3 4 4" xfId="9393" xr:uid="{00D69F40-01BD-4CEF-853A-E99B5028E468}"/>
    <cellStyle name="Normal 4 3 3 4 5" xfId="17841" xr:uid="{7B84785B-115F-42FF-9603-5CDD8DFAEDA3}"/>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978038B6-9498-4383-B99E-1CCAE19C9533}"/>
    <cellStyle name="Normal 4 3 3 5 2 2 3" xfId="24616" xr:uid="{BC3F9AD1-6DF4-4380-9FFA-DAE24BA569A1}"/>
    <cellStyle name="Normal 4 3 3 5 2 3" xfId="11951" xr:uid="{BC5B64D7-DDB1-424D-8628-E8FA34D99B2D}"/>
    <cellStyle name="Normal 4 3 3 5 2 4" xfId="20399" xr:uid="{122EC559-82E4-4D21-B659-9AC47C0E07E1}"/>
    <cellStyle name="Normal 4 3 3 5 3" xfId="5574" xr:uid="{00000000-0005-0000-0000-0000A1140000}"/>
    <cellStyle name="Normal 4 3 3 5 3 2" xfId="14024" xr:uid="{842FD20A-3043-41D6-B40A-298B5B8D369C}"/>
    <cellStyle name="Normal 4 3 3 5 3 3" xfId="22471" xr:uid="{5B0CB447-D443-47C0-B2A8-84342C61DA3A}"/>
    <cellStyle name="Normal 4 3 3 5 4" xfId="9806" xr:uid="{E56E0810-AF8D-4FB7-961C-1ACFDC76CB87}"/>
    <cellStyle name="Normal 4 3 3 5 5" xfId="18254" xr:uid="{D936A6DD-F4D8-40AD-BA4D-1257FEFB8CC6}"/>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C241C20-276F-4C06-8F33-212A5BF20123}"/>
    <cellStyle name="Normal 4 3 3 6 2 2 3" xfId="25029" xr:uid="{8AD3D5E0-BBB5-4B7C-8B87-F3C1E124E711}"/>
    <cellStyle name="Normal 4 3 3 6 2 3" xfId="12364" xr:uid="{FB631385-3717-4ED1-AACC-B58F793B49F3}"/>
    <cellStyle name="Normal 4 3 3 6 2 4" xfId="20812" xr:uid="{92BFD98F-36C4-4161-9CBD-E75BA239F7F3}"/>
    <cellStyle name="Normal 4 3 3 6 3" xfId="5987" xr:uid="{00000000-0005-0000-0000-0000A5140000}"/>
    <cellStyle name="Normal 4 3 3 6 3 2" xfId="14437" xr:uid="{F797F47A-50E4-4623-99DC-061A94CCF9DB}"/>
    <cellStyle name="Normal 4 3 3 6 3 3" xfId="22884" xr:uid="{37DB5F13-9A22-4272-8B1E-D086D81FF8DA}"/>
    <cellStyle name="Normal 4 3 3 6 4" xfId="10219" xr:uid="{FF156A6E-6F2A-456A-A4DF-5AA379601E8C}"/>
    <cellStyle name="Normal 4 3 3 6 5" xfId="18667" xr:uid="{4BA227A1-D85F-4573-AE51-05897CD5D57C}"/>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DFFCD197-F402-4145-93E2-0E984A8C96B5}"/>
    <cellStyle name="Normal 4 3 3 7 2 2 3" xfId="25442" xr:uid="{52825AE0-7DBA-4875-8BBE-00F616B41AAA}"/>
    <cellStyle name="Normal 4 3 3 7 2 3" xfId="12777" xr:uid="{176E74C1-D3E5-4683-B310-2C620BC2D7B7}"/>
    <cellStyle name="Normal 4 3 3 7 2 4" xfId="21225" xr:uid="{635C9EB6-D725-4EF0-9853-9DB5F68A74C8}"/>
    <cellStyle name="Normal 4 3 3 7 3" xfId="6400" xr:uid="{00000000-0005-0000-0000-0000A9140000}"/>
    <cellStyle name="Normal 4 3 3 7 3 2" xfId="14850" xr:uid="{04DE85E1-97B9-42DB-A05A-58A3A78D7231}"/>
    <cellStyle name="Normal 4 3 3 7 3 3" xfId="23297" xr:uid="{E5B577BE-F5A5-42F5-B169-D5F5F01BA601}"/>
    <cellStyle name="Normal 4 3 3 7 4" xfId="10632" xr:uid="{65CA5E03-B0BF-4685-8C60-6EAD6F4E00FC}"/>
    <cellStyle name="Normal 4 3 3 7 5" xfId="19080" xr:uid="{092E4AB9-1452-46F1-833A-C5EC45AEDAF2}"/>
    <cellStyle name="Normal 4 3 3 8" xfId="2530" xr:uid="{00000000-0005-0000-0000-0000AA140000}"/>
    <cellStyle name="Normal 4 3 3 8 2" xfId="6813" xr:uid="{00000000-0005-0000-0000-0000AB140000}"/>
    <cellStyle name="Normal 4 3 3 8 2 2" xfId="15263" xr:uid="{E41481F8-BF10-4BF0-938A-33A017A2104D}"/>
    <cellStyle name="Normal 4 3 3 8 2 3" xfId="23710" xr:uid="{A4CDC3B5-7005-432E-9812-4F4EC445818D}"/>
    <cellStyle name="Normal 4 3 3 8 3" xfId="11045" xr:uid="{9CA2248D-B53B-446D-AF9A-40DCE3C80518}"/>
    <cellStyle name="Normal 4 3 3 8 4" xfId="19493" xr:uid="{00EC495D-E251-412C-B534-D73E55D5B96A}"/>
    <cellStyle name="Normal 4 3 3 9" xfId="4748" xr:uid="{00000000-0005-0000-0000-0000AC140000}"/>
    <cellStyle name="Normal 4 3 3 9 2" xfId="13198" xr:uid="{C054A8F9-A03A-4512-A0F1-F9786A8F33C1}"/>
    <cellStyle name="Normal 4 3 3 9 3" xfId="21645" xr:uid="{F6363CEF-1806-4F4F-AF9C-05FEAAD9501D}"/>
    <cellStyle name="Normal 4 3 4" xfId="842" xr:uid="{00000000-0005-0000-0000-0000AD140000}"/>
    <cellStyle name="Normal 4 3 4 2" xfId="3079" xr:uid="{00000000-0005-0000-0000-0000AE140000}"/>
    <cellStyle name="Normal 4 3 4 2 2" xfId="7301" xr:uid="{00000000-0005-0000-0000-0000AF140000}"/>
    <cellStyle name="Normal 4 3 4 2 2 2" xfId="15751" xr:uid="{0CD2859F-C313-4366-BD84-15C4E3426A6D}"/>
    <cellStyle name="Normal 4 3 4 2 2 3" xfId="24198" xr:uid="{B99CAEDD-7F18-4D55-A999-1649FFF3014C}"/>
    <cellStyle name="Normal 4 3 4 2 3" xfId="11533" xr:uid="{533BB8D5-41C7-4BBE-BE7E-AC6A64111747}"/>
    <cellStyle name="Normal 4 3 4 2 4" xfId="19981" xr:uid="{BF93AD1C-68C9-4287-BE55-4EA51F052325}"/>
    <cellStyle name="Normal 4 3 4 3" xfId="5156" xr:uid="{00000000-0005-0000-0000-0000B0140000}"/>
    <cellStyle name="Normal 4 3 4 3 2" xfId="13606" xr:uid="{9FE1177C-3DD9-4CD2-918C-FFDC8D75C729}"/>
    <cellStyle name="Normal 4 3 4 3 3" xfId="22053" xr:uid="{C5EBF747-0365-4947-87EC-9E21A9CE9793}"/>
    <cellStyle name="Normal 4 3 4 4" xfId="9388" xr:uid="{3461B932-B0A9-4B3C-928A-21F5A4AF23E8}"/>
    <cellStyle name="Normal 4 3 4 5" xfId="17836" xr:uid="{68370AE9-CB35-4E91-8D92-F88332183228}"/>
    <cellStyle name="Normal 4 3 5" xfId="1262" xr:uid="{00000000-0005-0000-0000-0000B1140000}"/>
    <cellStyle name="Normal 4 3 5 2" xfId="3492" xr:uid="{00000000-0005-0000-0000-0000B2140000}"/>
    <cellStyle name="Normal 4 3 5 2 2" xfId="7714" xr:uid="{00000000-0005-0000-0000-0000B3140000}"/>
    <cellStyle name="Normal 4 3 5 2 2 2" xfId="16164" xr:uid="{A1F9F173-48D4-458A-BC9A-0E5C98B989C0}"/>
    <cellStyle name="Normal 4 3 5 2 2 3" xfId="24611" xr:uid="{60CD1C99-9CF1-433E-87EF-92FB4C246C83}"/>
    <cellStyle name="Normal 4 3 5 2 3" xfId="11946" xr:uid="{04998C3C-529C-40C8-A517-DED6B0D9DC7D}"/>
    <cellStyle name="Normal 4 3 5 2 4" xfId="20394" xr:uid="{B923568C-6729-40BB-95E7-107F45038F0C}"/>
    <cellStyle name="Normal 4 3 5 3" xfId="5569" xr:uid="{00000000-0005-0000-0000-0000B4140000}"/>
    <cellStyle name="Normal 4 3 5 3 2" xfId="14019" xr:uid="{71E71ED4-F825-4AD5-A777-A1314567A41A}"/>
    <cellStyle name="Normal 4 3 5 3 3" xfId="22466" xr:uid="{42AE7555-9EA9-42B2-A5BA-6DFAA59CB1A3}"/>
    <cellStyle name="Normal 4 3 5 4" xfId="9801" xr:uid="{629DB03D-B9B6-41BD-8C40-125ABB35E761}"/>
    <cellStyle name="Normal 4 3 5 5" xfId="18249" xr:uid="{00E5A73E-116A-4642-900B-8F818FEFBF99}"/>
    <cellStyle name="Normal 4 3 6" xfId="1675" xr:uid="{00000000-0005-0000-0000-0000B5140000}"/>
    <cellStyle name="Normal 4 3 6 2" xfId="3905" xr:uid="{00000000-0005-0000-0000-0000B6140000}"/>
    <cellStyle name="Normal 4 3 6 2 2" xfId="8127" xr:uid="{00000000-0005-0000-0000-0000B7140000}"/>
    <cellStyle name="Normal 4 3 6 2 2 2" xfId="16577" xr:uid="{D3217351-0980-4112-AE8D-558B3C6EA509}"/>
    <cellStyle name="Normal 4 3 6 2 2 3" xfId="25024" xr:uid="{1F264163-F92B-4046-A5F8-09E0AF36B3D4}"/>
    <cellStyle name="Normal 4 3 6 2 3" xfId="12359" xr:uid="{9C49D6B1-D835-43B7-AC08-66C770C5020D}"/>
    <cellStyle name="Normal 4 3 6 2 4" xfId="20807" xr:uid="{4BFDDC22-92F2-424F-B88A-414EC0C778A4}"/>
    <cellStyle name="Normal 4 3 6 3" xfId="5982" xr:uid="{00000000-0005-0000-0000-0000B8140000}"/>
    <cellStyle name="Normal 4 3 6 3 2" xfId="14432" xr:uid="{094556BA-DA0A-4544-816E-6E145F7FADC0}"/>
    <cellStyle name="Normal 4 3 6 3 3" xfId="22879" xr:uid="{322C699E-6C28-4753-BC45-42AA3D466081}"/>
    <cellStyle name="Normal 4 3 6 4" xfId="10214" xr:uid="{5FDCD80C-45C1-4129-A4C6-71F8D3129B5E}"/>
    <cellStyle name="Normal 4 3 6 5" xfId="18662" xr:uid="{7290F3E2-5099-4958-9936-89C43254922A}"/>
    <cellStyle name="Normal 4 3 7" xfId="2089" xr:uid="{00000000-0005-0000-0000-0000B9140000}"/>
    <cellStyle name="Normal 4 3 7 2" xfId="4318" xr:uid="{00000000-0005-0000-0000-0000BA140000}"/>
    <cellStyle name="Normal 4 3 7 2 2" xfId="8540" xr:uid="{00000000-0005-0000-0000-0000BB140000}"/>
    <cellStyle name="Normal 4 3 7 2 2 2" xfId="16990" xr:uid="{EBD272DE-4C0A-4D60-965A-475D773FD5F3}"/>
    <cellStyle name="Normal 4 3 7 2 2 3" xfId="25437" xr:uid="{6B84F9A9-AD40-47DF-9EC1-2AF309E0449E}"/>
    <cellStyle name="Normal 4 3 7 2 3" xfId="12772" xr:uid="{6E59AE78-E533-4251-8C67-14A58C8A8069}"/>
    <cellStyle name="Normal 4 3 7 2 4" xfId="21220" xr:uid="{8B75115B-23BD-4364-BF18-492D418960C8}"/>
    <cellStyle name="Normal 4 3 7 3" xfId="6395" xr:uid="{00000000-0005-0000-0000-0000BC140000}"/>
    <cellStyle name="Normal 4 3 7 3 2" xfId="14845" xr:uid="{3160640D-932E-454E-8D47-7624132B89D1}"/>
    <cellStyle name="Normal 4 3 7 3 3" xfId="23292" xr:uid="{E7E11AF9-54E9-484B-AE84-76236DBB38DF}"/>
    <cellStyle name="Normal 4 3 7 4" xfId="10627" xr:uid="{A5D6BD13-BF24-4EDF-AEB4-2B667AA825F8}"/>
    <cellStyle name="Normal 4 3 7 5" xfId="19075" xr:uid="{A8EDC990-791B-486E-8BD5-E52214543281}"/>
    <cellStyle name="Normal 4 3 8" xfId="2525" xr:uid="{00000000-0005-0000-0000-0000BD140000}"/>
    <cellStyle name="Normal 4 3 8 2" xfId="6808" xr:uid="{00000000-0005-0000-0000-0000BE140000}"/>
    <cellStyle name="Normal 4 3 8 2 2" xfId="15258" xr:uid="{BB3D8256-2564-4627-A685-128F64D54008}"/>
    <cellStyle name="Normal 4 3 8 2 3" xfId="23705" xr:uid="{B0A9F1AF-56CB-4EC8-83B2-B5DCCCBA9F91}"/>
    <cellStyle name="Normal 4 3 8 3" xfId="11040" xr:uid="{6707B7CD-D985-4D0A-ADC2-C2AED70F81E3}"/>
    <cellStyle name="Normal 4 3 8 4" xfId="19488" xr:uid="{327FC39B-3957-440E-83AA-99BF3DA3E60A}"/>
    <cellStyle name="Normal 4 3 9" xfId="4743" xr:uid="{00000000-0005-0000-0000-0000BF140000}"/>
    <cellStyle name="Normal 4 3 9 2" xfId="13193" xr:uid="{B7A78723-D195-4A9D-AEA1-A0007C19F3F6}"/>
    <cellStyle name="Normal 4 3 9 3" xfId="21640" xr:uid="{B92DA199-0182-4B85-B02A-3672E2705667}"/>
    <cellStyle name="Normal 4 4" xfId="378" xr:uid="{00000000-0005-0000-0000-0000C0140000}"/>
    <cellStyle name="Normal 4 4 10" xfId="2534" xr:uid="{00000000-0005-0000-0000-0000C1140000}"/>
    <cellStyle name="Normal 4 4 10 2" xfId="6817" xr:uid="{00000000-0005-0000-0000-0000C2140000}"/>
    <cellStyle name="Normal 4 4 10 2 2" xfId="15267" xr:uid="{6CA7B12E-F351-44D7-9F07-2C353854C2B1}"/>
    <cellStyle name="Normal 4 4 10 2 3" xfId="23714" xr:uid="{63C0475A-EBCD-4D6A-869E-D5DD05E3036B}"/>
    <cellStyle name="Normal 4 4 10 3" xfId="11049" xr:uid="{0ADC74C8-CBFB-4161-831B-E96E36EB06E0}"/>
    <cellStyle name="Normal 4 4 10 4" xfId="19497" xr:uid="{6D226C9D-49F5-48EA-8CCB-7203645EC913}"/>
    <cellStyle name="Normal 4 4 11" xfId="4752" xr:uid="{00000000-0005-0000-0000-0000C3140000}"/>
    <cellStyle name="Normal 4 4 11 2" xfId="13202" xr:uid="{3F5D1FBD-6C7A-4124-A4B9-B0B29A7B6A62}"/>
    <cellStyle name="Normal 4 4 11 3" xfId="21649" xr:uid="{FE9E263C-EF13-4211-9288-174477F282FF}"/>
    <cellStyle name="Normal 4 4 12" xfId="8984" xr:uid="{054E180A-FCC6-4381-9C35-7F311F2A65BC}"/>
    <cellStyle name="Normal 4 4 13" xfId="17432" xr:uid="{AE2D89A4-6FCC-498F-92F7-9033265205D0}"/>
    <cellStyle name="Normal 4 4 2" xfId="379" xr:uid="{00000000-0005-0000-0000-0000C4140000}"/>
    <cellStyle name="Normal 4 4 2 10" xfId="4753" xr:uid="{00000000-0005-0000-0000-0000C5140000}"/>
    <cellStyle name="Normal 4 4 2 10 2" xfId="13203" xr:uid="{8906419B-A55E-4D5D-9818-4BB00D93A462}"/>
    <cellStyle name="Normal 4 4 2 10 3" xfId="21650" xr:uid="{803528C4-49EA-42A1-B9B4-398154112D77}"/>
    <cellStyle name="Normal 4 4 2 11" xfId="8985" xr:uid="{AF07F743-6CDD-40E7-9E3B-6A2B06C6A686}"/>
    <cellStyle name="Normal 4 4 2 12" xfId="17433" xr:uid="{D2DA8B82-CF11-423B-8ADA-B0DC73FA8367}"/>
    <cellStyle name="Normal 4 4 2 2" xfId="380" xr:uid="{00000000-0005-0000-0000-0000C6140000}"/>
    <cellStyle name="Normal 4 4 2 2 10" xfId="8986" xr:uid="{FCEF103F-ECD3-4F75-A1B1-E00D9A5CB58C}"/>
    <cellStyle name="Normal 4 4 2 2 11" xfId="17434" xr:uid="{116A287C-175D-4D39-ABA5-F816F40A2643}"/>
    <cellStyle name="Normal 4 4 2 2 2" xfId="381" xr:uid="{00000000-0005-0000-0000-0000C7140000}"/>
    <cellStyle name="Normal 4 4 2 2 2 10" xfId="17435" xr:uid="{017FE323-0E4B-40AB-8C56-E7A6EAE42BAD}"/>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4A9C4027-E0AE-44AA-B7B5-8BAC214620F8}"/>
    <cellStyle name="Normal 4 4 2 2 2 2 2 2 2 3" xfId="24211" xr:uid="{BB544232-6EAC-4ECE-ACFA-9CD5BFDFD1CD}"/>
    <cellStyle name="Normal 4 4 2 2 2 2 2 2 3" xfId="11546" xr:uid="{C109F686-284E-408C-AC10-58E13572C598}"/>
    <cellStyle name="Normal 4 4 2 2 2 2 2 2 4" xfId="19994" xr:uid="{F92E4A9F-B8F2-4369-B4E7-D68D303EB229}"/>
    <cellStyle name="Normal 4 4 2 2 2 2 2 3" xfId="5169" xr:uid="{00000000-0005-0000-0000-0000CC140000}"/>
    <cellStyle name="Normal 4 4 2 2 2 2 2 3 2" xfId="13619" xr:uid="{6F4D8E7D-DBB7-4336-AFAD-28DACE158F9E}"/>
    <cellStyle name="Normal 4 4 2 2 2 2 2 3 3" xfId="22066" xr:uid="{74D14B5D-F83F-4228-AAAF-62E6E9D5639C}"/>
    <cellStyle name="Normal 4 4 2 2 2 2 2 4" xfId="9401" xr:uid="{31CCE43B-7AF4-4749-B2B9-FDFB1E815553}"/>
    <cellStyle name="Normal 4 4 2 2 2 2 2 5" xfId="17849" xr:uid="{EC09118F-DD7E-47D4-9185-897E1A8B4205}"/>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3415954F-3C33-4C36-81CF-C405B1EB22EF}"/>
    <cellStyle name="Normal 4 4 2 2 2 2 3 2 2 3" xfId="24624" xr:uid="{8A9C56CA-D8E0-4D2A-9836-C62F882D907D}"/>
    <cellStyle name="Normal 4 4 2 2 2 2 3 2 3" xfId="11959" xr:uid="{8A107725-832B-4E69-90A0-24E31D6C23FA}"/>
    <cellStyle name="Normal 4 4 2 2 2 2 3 2 4" xfId="20407" xr:uid="{9BFC30CA-7778-4AC4-BA91-F1641420B470}"/>
    <cellStyle name="Normal 4 4 2 2 2 2 3 3" xfId="5582" xr:uid="{00000000-0005-0000-0000-0000D0140000}"/>
    <cellStyle name="Normal 4 4 2 2 2 2 3 3 2" xfId="14032" xr:uid="{29AC1C15-7551-4674-8135-95C6DE609F06}"/>
    <cellStyle name="Normal 4 4 2 2 2 2 3 3 3" xfId="22479" xr:uid="{16404E81-7667-4FBD-B9A7-5093F9E5317C}"/>
    <cellStyle name="Normal 4 4 2 2 2 2 3 4" xfId="9814" xr:uid="{1786E807-C6F2-43ED-BEF0-AA6271337896}"/>
    <cellStyle name="Normal 4 4 2 2 2 2 3 5" xfId="18262" xr:uid="{642F6053-926F-4335-B858-8344310FD7F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FD7B821C-22CA-4128-BFA1-0B8664A9BC94}"/>
    <cellStyle name="Normal 4 4 2 2 2 2 4 2 2 3" xfId="25037" xr:uid="{20FC0C65-7614-47CE-87D1-D3BD7293BE78}"/>
    <cellStyle name="Normal 4 4 2 2 2 2 4 2 3" xfId="12372" xr:uid="{DE91D04C-BBEF-422B-8996-CEBBC3F35AA8}"/>
    <cellStyle name="Normal 4 4 2 2 2 2 4 2 4" xfId="20820" xr:uid="{0E2C267D-2EDE-477B-91EA-BF2AEFA46C49}"/>
    <cellStyle name="Normal 4 4 2 2 2 2 4 3" xfId="5995" xr:uid="{00000000-0005-0000-0000-0000D4140000}"/>
    <cellStyle name="Normal 4 4 2 2 2 2 4 3 2" xfId="14445" xr:uid="{05CCF693-8BC4-48A1-9C67-2E73B7A9A37B}"/>
    <cellStyle name="Normal 4 4 2 2 2 2 4 3 3" xfId="22892" xr:uid="{055FABC3-DFB4-48E3-B93B-1DCB420FE887}"/>
    <cellStyle name="Normal 4 4 2 2 2 2 4 4" xfId="10227" xr:uid="{AF0B467C-FF79-47D0-9826-5DD304BCEDB0}"/>
    <cellStyle name="Normal 4 4 2 2 2 2 4 5" xfId="18675" xr:uid="{35766401-B6C6-4CAC-BB21-D6575EE11534}"/>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BCA92029-93FD-4ECB-98BC-C532B9F0AB1F}"/>
    <cellStyle name="Normal 4 4 2 2 2 2 5 2 2 3" xfId="25450" xr:uid="{F85D2C45-3643-4EDD-8B4C-99AF61132C13}"/>
    <cellStyle name="Normal 4 4 2 2 2 2 5 2 3" xfId="12785" xr:uid="{6F3B142E-C6C0-4DBC-B5B7-B50537501F1D}"/>
    <cellStyle name="Normal 4 4 2 2 2 2 5 2 4" xfId="21233" xr:uid="{28C7B64C-BD78-41DE-B53E-91FED971B389}"/>
    <cellStyle name="Normal 4 4 2 2 2 2 5 3" xfId="6408" xr:uid="{00000000-0005-0000-0000-0000D8140000}"/>
    <cellStyle name="Normal 4 4 2 2 2 2 5 3 2" xfId="14858" xr:uid="{024C57C9-1E47-483C-A3D8-3D74CB6B69AD}"/>
    <cellStyle name="Normal 4 4 2 2 2 2 5 3 3" xfId="23305" xr:uid="{FD01A4CE-07A3-4C92-90E7-A4FC4949CF19}"/>
    <cellStyle name="Normal 4 4 2 2 2 2 5 4" xfId="10640" xr:uid="{69905E60-84B9-4B2C-8C6F-2006DEE8F92E}"/>
    <cellStyle name="Normal 4 4 2 2 2 2 5 5" xfId="19088" xr:uid="{7B22761E-1C7C-49A1-B5AC-7206541D5648}"/>
    <cellStyle name="Normal 4 4 2 2 2 2 6" xfId="2538" xr:uid="{00000000-0005-0000-0000-0000D9140000}"/>
    <cellStyle name="Normal 4 4 2 2 2 2 6 2" xfId="6821" xr:uid="{00000000-0005-0000-0000-0000DA140000}"/>
    <cellStyle name="Normal 4 4 2 2 2 2 6 2 2" xfId="15271" xr:uid="{99DDAEA1-ABF9-402E-A6CF-05C29F788E22}"/>
    <cellStyle name="Normal 4 4 2 2 2 2 6 2 3" xfId="23718" xr:uid="{42D0DE08-16D7-4378-A308-C3EB630BA15F}"/>
    <cellStyle name="Normal 4 4 2 2 2 2 6 3" xfId="11053" xr:uid="{95E92875-7709-4BD3-AB00-DB00258A4755}"/>
    <cellStyle name="Normal 4 4 2 2 2 2 6 4" xfId="19501" xr:uid="{998AD01E-8D6D-4F64-B3DC-C67542EAF6AF}"/>
    <cellStyle name="Normal 4 4 2 2 2 2 7" xfId="4756" xr:uid="{00000000-0005-0000-0000-0000DB140000}"/>
    <cellStyle name="Normal 4 4 2 2 2 2 7 2" xfId="13206" xr:uid="{8F6EE700-2915-4D29-8B57-F1A853062E41}"/>
    <cellStyle name="Normal 4 4 2 2 2 2 7 3" xfId="21653" xr:uid="{6EF4152B-2379-4D14-AEDC-020B6E39E5FD}"/>
    <cellStyle name="Normal 4 4 2 2 2 2 8" xfId="8988" xr:uid="{DDEB6CB7-9661-4371-A917-EDE3184DB81E}"/>
    <cellStyle name="Normal 4 4 2 2 2 2 9" xfId="17436" xr:uid="{B1603D57-8157-4568-8B3C-EE964B54C18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D9B35B86-0572-473B-BC62-7276D84D0CD3}"/>
    <cellStyle name="Normal 4 4 2 2 2 3 2 2 3" xfId="24210" xr:uid="{958AC503-E0BE-4050-813B-41BF28A33CE3}"/>
    <cellStyle name="Normal 4 4 2 2 2 3 2 3" xfId="11545" xr:uid="{97EB4089-A2A7-406E-BB16-99D526828855}"/>
    <cellStyle name="Normal 4 4 2 2 2 3 2 4" xfId="19993" xr:uid="{93608979-5BA6-4396-9B42-32D3CB7EE4DF}"/>
    <cellStyle name="Normal 4 4 2 2 2 3 3" xfId="5168" xr:uid="{00000000-0005-0000-0000-0000DF140000}"/>
    <cellStyle name="Normal 4 4 2 2 2 3 3 2" xfId="13618" xr:uid="{E4F931CE-0EAA-42AA-9CCC-A55A9BCA4732}"/>
    <cellStyle name="Normal 4 4 2 2 2 3 3 3" xfId="22065" xr:uid="{AED5C225-122C-4436-B23C-8E719E0DB3D9}"/>
    <cellStyle name="Normal 4 4 2 2 2 3 4" xfId="9400" xr:uid="{4E032FFB-2A22-47CE-8EB9-513A01399685}"/>
    <cellStyle name="Normal 4 4 2 2 2 3 5" xfId="17848" xr:uid="{EB36C83C-8A1C-4939-9BD3-39052FA6B50B}"/>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E8173B16-D476-4C88-A030-236D8B575C97}"/>
    <cellStyle name="Normal 4 4 2 2 2 4 2 2 3" xfId="24623" xr:uid="{9ED1A914-9595-46E3-A37D-09F3F40D676C}"/>
    <cellStyle name="Normal 4 4 2 2 2 4 2 3" xfId="11958" xr:uid="{C6FF1A8B-01CB-498E-85A3-C0E6C051B722}"/>
    <cellStyle name="Normal 4 4 2 2 2 4 2 4" xfId="20406" xr:uid="{93AA53DD-30C1-4473-84DF-997A14711187}"/>
    <cellStyle name="Normal 4 4 2 2 2 4 3" xfId="5581" xr:uid="{00000000-0005-0000-0000-0000E3140000}"/>
    <cellStyle name="Normal 4 4 2 2 2 4 3 2" xfId="14031" xr:uid="{AAE7A80D-9EEF-4FF9-8A89-382B9382BBFB}"/>
    <cellStyle name="Normal 4 4 2 2 2 4 3 3" xfId="22478" xr:uid="{6F609903-74F0-45F0-89E2-8AC963CDECDE}"/>
    <cellStyle name="Normal 4 4 2 2 2 4 4" xfId="9813" xr:uid="{3E09D94F-7ED6-4DB2-914E-F98A91ED1E3A}"/>
    <cellStyle name="Normal 4 4 2 2 2 4 5" xfId="18261" xr:uid="{6D5B8D18-2F8A-48EF-B5CF-8121E28B6937}"/>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92831F44-09A8-46E7-B539-A8C39C5B00CC}"/>
    <cellStyle name="Normal 4 4 2 2 2 5 2 2 3" xfId="25036" xr:uid="{737E93E4-30FF-4F52-923E-C6E919587C85}"/>
    <cellStyle name="Normal 4 4 2 2 2 5 2 3" xfId="12371" xr:uid="{83848FD4-748C-4DD9-BC18-77856DDB0C33}"/>
    <cellStyle name="Normal 4 4 2 2 2 5 2 4" xfId="20819" xr:uid="{FAD5AE87-7A18-4C34-889A-B853E92FFEAD}"/>
    <cellStyle name="Normal 4 4 2 2 2 5 3" xfId="5994" xr:uid="{00000000-0005-0000-0000-0000E7140000}"/>
    <cellStyle name="Normal 4 4 2 2 2 5 3 2" xfId="14444" xr:uid="{C8E35DEA-F27D-47E5-92EF-09C39198D051}"/>
    <cellStyle name="Normal 4 4 2 2 2 5 3 3" xfId="22891" xr:uid="{D1547A1B-756C-4882-8C25-9644F36B0C86}"/>
    <cellStyle name="Normal 4 4 2 2 2 5 4" xfId="10226" xr:uid="{7D92B96A-021C-4C6C-8671-A4DBBA19AC8F}"/>
    <cellStyle name="Normal 4 4 2 2 2 5 5" xfId="18674" xr:uid="{4002F0C9-FE71-45D1-80FD-EBE208FF4A7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0DC25BAD-412C-47B9-8A9E-722CF514F903}"/>
    <cellStyle name="Normal 4 4 2 2 2 6 2 2 3" xfId="25449" xr:uid="{0E787609-79E5-47C4-A7B6-9D8604502022}"/>
    <cellStyle name="Normal 4 4 2 2 2 6 2 3" xfId="12784" xr:uid="{87A4D76D-24D7-4F05-B32B-33E5A78C203E}"/>
    <cellStyle name="Normal 4 4 2 2 2 6 2 4" xfId="21232" xr:uid="{9BB152DC-C4B4-41A5-91B5-246334F42583}"/>
    <cellStyle name="Normal 4 4 2 2 2 6 3" xfId="6407" xr:uid="{00000000-0005-0000-0000-0000EB140000}"/>
    <cellStyle name="Normal 4 4 2 2 2 6 3 2" xfId="14857" xr:uid="{EC3504DB-688B-4AF3-8AE0-5CED42039A3B}"/>
    <cellStyle name="Normal 4 4 2 2 2 6 3 3" xfId="23304" xr:uid="{504646BE-3E05-4CA5-8E05-434DC9AE13A4}"/>
    <cellStyle name="Normal 4 4 2 2 2 6 4" xfId="10639" xr:uid="{B2DDE026-C6EB-4B19-BF2A-00561048B250}"/>
    <cellStyle name="Normal 4 4 2 2 2 6 5" xfId="19087" xr:uid="{F0D21484-2CEC-4DCF-9C3C-53325B1AC5AE}"/>
    <cellStyle name="Normal 4 4 2 2 2 7" xfId="2537" xr:uid="{00000000-0005-0000-0000-0000EC140000}"/>
    <cellStyle name="Normal 4 4 2 2 2 7 2" xfId="6820" xr:uid="{00000000-0005-0000-0000-0000ED140000}"/>
    <cellStyle name="Normal 4 4 2 2 2 7 2 2" xfId="15270" xr:uid="{469E54FB-B195-4962-A140-B4284208386F}"/>
    <cellStyle name="Normal 4 4 2 2 2 7 2 3" xfId="23717" xr:uid="{D3EE665D-40AC-44FB-868F-3D334030B83B}"/>
    <cellStyle name="Normal 4 4 2 2 2 7 3" xfId="11052" xr:uid="{4E148C87-8A72-403C-9D83-F75E888E7E39}"/>
    <cellStyle name="Normal 4 4 2 2 2 7 4" xfId="19500" xr:uid="{4C37264F-09AA-4E85-AD7E-C20C181C2B40}"/>
    <cellStyle name="Normal 4 4 2 2 2 8" xfId="4755" xr:uid="{00000000-0005-0000-0000-0000EE140000}"/>
    <cellStyle name="Normal 4 4 2 2 2 8 2" xfId="13205" xr:uid="{38957E66-8EC2-4542-8E02-8680C13BA0C1}"/>
    <cellStyle name="Normal 4 4 2 2 2 8 3" xfId="21652" xr:uid="{234AFD45-E0DF-40B2-969C-887B1C57F05A}"/>
    <cellStyle name="Normal 4 4 2 2 2 9" xfId="8987" xr:uid="{12B067BC-83C4-4388-B2C7-F78A7071EB9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C9D17702-1E20-445E-9DBC-D8A3FE95EE26}"/>
    <cellStyle name="Normal 4 4 2 2 3 2 2 2 3" xfId="24212" xr:uid="{31146FF6-DD0B-47F6-A235-8362273D0131}"/>
    <cellStyle name="Normal 4 4 2 2 3 2 2 3" xfId="11547" xr:uid="{8206C17D-8037-42FC-B935-18E94B43F554}"/>
    <cellStyle name="Normal 4 4 2 2 3 2 2 4" xfId="19995" xr:uid="{58B12480-FF98-46F9-A97B-A0971496BCEC}"/>
    <cellStyle name="Normal 4 4 2 2 3 2 3" xfId="5170" xr:uid="{00000000-0005-0000-0000-0000F3140000}"/>
    <cellStyle name="Normal 4 4 2 2 3 2 3 2" xfId="13620" xr:uid="{7D78B407-2E52-4E5B-B382-17EEFC6FD575}"/>
    <cellStyle name="Normal 4 4 2 2 3 2 3 3" xfId="22067" xr:uid="{D411739A-6F18-4D33-BE26-2A5F61615056}"/>
    <cellStyle name="Normal 4 4 2 2 3 2 4" xfId="9402" xr:uid="{730B7509-6851-4C68-8669-500E086444CA}"/>
    <cellStyle name="Normal 4 4 2 2 3 2 5" xfId="17850" xr:uid="{10FD2BAF-576E-436E-9C59-4D6FD7EEAB2E}"/>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282FD133-A05B-4349-8B71-2D2164704810}"/>
    <cellStyle name="Normal 4 4 2 2 3 3 2 2 3" xfId="24625" xr:uid="{7576C1FF-7F39-4C39-80C7-DBCB51310ABC}"/>
    <cellStyle name="Normal 4 4 2 2 3 3 2 3" xfId="11960" xr:uid="{23B7A760-C54B-4E62-B8C0-7DC105A4A174}"/>
    <cellStyle name="Normal 4 4 2 2 3 3 2 4" xfId="20408" xr:uid="{79C0B862-72CD-4E91-B260-9293D0D3B712}"/>
    <cellStyle name="Normal 4 4 2 2 3 3 3" xfId="5583" xr:uid="{00000000-0005-0000-0000-0000F7140000}"/>
    <cellStyle name="Normal 4 4 2 2 3 3 3 2" xfId="14033" xr:uid="{E2F0B248-9F95-4FB5-979D-9273AA83C25B}"/>
    <cellStyle name="Normal 4 4 2 2 3 3 3 3" xfId="22480" xr:uid="{46A09009-2B31-4E8E-B510-0D8EE2C2DA50}"/>
    <cellStyle name="Normal 4 4 2 2 3 3 4" xfId="9815" xr:uid="{DAB84AE7-26A9-4956-8400-1FCBD5479ED0}"/>
    <cellStyle name="Normal 4 4 2 2 3 3 5" xfId="18263" xr:uid="{AACCB3F9-9990-4698-91DD-4C6A91B46D1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3DDD016E-C960-4AA6-8245-70F4C55B40CD}"/>
    <cellStyle name="Normal 4 4 2 2 3 4 2 2 3" xfId="25038" xr:uid="{4141A53A-4697-4508-8C33-561E18657DEB}"/>
    <cellStyle name="Normal 4 4 2 2 3 4 2 3" xfId="12373" xr:uid="{C37E3CBE-C8CF-422F-A83C-2CEEEBAC0D73}"/>
    <cellStyle name="Normal 4 4 2 2 3 4 2 4" xfId="20821" xr:uid="{4B9FE7F6-AC28-44D9-8330-AF9307F966C7}"/>
    <cellStyle name="Normal 4 4 2 2 3 4 3" xfId="5996" xr:uid="{00000000-0005-0000-0000-0000FB140000}"/>
    <cellStyle name="Normal 4 4 2 2 3 4 3 2" xfId="14446" xr:uid="{C7CD6C69-4C61-4F7E-AE09-42D25D55218D}"/>
    <cellStyle name="Normal 4 4 2 2 3 4 3 3" xfId="22893" xr:uid="{C175D728-D65A-4EEB-9E0E-59D20B230163}"/>
    <cellStyle name="Normal 4 4 2 2 3 4 4" xfId="10228" xr:uid="{2946A2E6-CA47-494C-9BAE-C357F61C9C45}"/>
    <cellStyle name="Normal 4 4 2 2 3 4 5" xfId="18676" xr:uid="{3493D1A5-AABD-4EF1-894C-6361E4C00478}"/>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037CB81B-4007-41B1-8C19-D211F7AB9296}"/>
    <cellStyle name="Normal 4 4 2 2 3 5 2 2 3" xfId="25451" xr:uid="{F44FC38D-2A64-4263-9CCA-D3B0F85CC19A}"/>
    <cellStyle name="Normal 4 4 2 2 3 5 2 3" xfId="12786" xr:uid="{583275E8-CBCB-43E9-86E7-943E14110514}"/>
    <cellStyle name="Normal 4 4 2 2 3 5 2 4" xfId="21234" xr:uid="{0E195C33-504C-4B81-B68F-0512147E1B29}"/>
    <cellStyle name="Normal 4 4 2 2 3 5 3" xfId="6409" xr:uid="{00000000-0005-0000-0000-0000FF140000}"/>
    <cellStyle name="Normal 4 4 2 2 3 5 3 2" xfId="14859" xr:uid="{5FAD5689-7FA3-4189-A8DC-4A186C3455FF}"/>
    <cellStyle name="Normal 4 4 2 2 3 5 3 3" xfId="23306" xr:uid="{2DD07F61-7913-4403-92E0-10C2B07F7917}"/>
    <cellStyle name="Normal 4 4 2 2 3 5 4" xfId="10641" xr:uid="{24A319B9-FA17-4718-8AD8-955205CB6063}"/>
    <cellStyle name="Normal 4 4 2 2 3 5 5" xfId="19089" xr:uid="{B8AC6123-A35B-4474-801C-22763E75D373}"/>
    <cellStyle name="Normal 4 4 2 2 3 6" xfId="2539" xr:uid="{00000000-0005-0000-0000-000000150000}"/>
    <cellStyle name="Normal 4 4 2 2 3 6 2" xfId="6822" xr:uid="{00000000-0005-0000-0000-000001150000}"/>
    <cellStyle name="Normal 4 4 2 2 3 6 2 2" xfId="15272" xr:uid="{5E03672E-E989-4266-86E7-9551F5B1A7F6}"/>
    <cellStyle name="Normal 4 4 2 2 3 6 2 3" xfId="23719" xr:uid="{87AC7EEE-1CE8-4814-A6F6-22F9E4102B2A}"/>
    <cellStyle name="Normal 4 4 2 2 3 6 3" xfId="11054" xr:uid="{87C87A90-122C-4615-B6EA-B9C5368AE482}"/>
    <cellStyle name="Normal 4 4 2 2 3 6 4" xfId="19502" xr:uid="{497BAC99-F61A-42C7-AE6D-AFFB40593B07}"/>
    <cellStyle name="Normal 4 4 2 2 3 7" xfId="4757" xr:uid="{00000000-0005-0000-0000-000002150000}"/>
    <cellStyle name="Normal 4 4 2 2 3 7 2" xfId="13207" xr:uid="{1FA5714F-F68D-4F36-AA96-AB220292BCBA}"/>
    <cellStyle name="Normal 4 4 2 2 3 7 3" xfId="21654" xr:uid="{E6AB45A2-EAC4-4075-9E02-F5BF7587D08F}"/>
    <cellStyle name="Normal 4 4 2 2 3 8" xfId="8989" xr:uid="{3FC19E8C-24AC-4C63-9976-2AB93ABE8527}"/>
    <cellStyle name="Normal 4 4 2 2 3 9" xfId="17437" xr:uid="{DCCCA796-CD06-4501-9847-6B9611152B9D}"/>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BD164015-B918-41AA-B55A-0BEEA72E4F17}"/>
    <cellStyle name="Normal 4 4 2 2 4 2 2 3" xfId="24209" xr:uid="{8A2F0DB5-C0E5-481F-AD7E-2CA0493D2A00}"/>
    <cellStyle name="Normal 4 4 2 2 4 2 3" xfId="11544" xr:uid="{8BDB8908-8A57-4C97-A998-9B92B259384C}"/>
    <cellStyle name="Normal 4 4 2 2 4 2 4" xfId="19992" xr:uid="{3A86F7F5-7FCD-4A1F-9CBD-4BD8FF7E6C21}"/>
    <cellStyle name="Normal 4 4 2 2 4 3" xfId="5167" xr:uid="{00000000-0005-0000-0000-000006150000}"/>
    <cellStyle name="Normal 4 4 2 2 4 3 2" xfId="13617" xr:uid="{A4830E64-E3EC-49FE-8A47-AF64BA4F7512}"/>
    <cellStyle name="Normal 4 4 2 2 4 3 3" xfId="22064" xr:uid="{E43C0E87-DA48-43C6-B567-75BBBD8E082A}"/>
    <cellStyle name="Normal 4 4 2 2 4 4" xfId="9399" xr:uid="{E0E0A599-326E-4C91-BF62-6A855CF41B1A}"/>
    <cellStyle name="Normal 4 4 2 2 4 5" xfId="17847" xr:uid="{8262F5C8-D4AA-4100-A5FC-F9531348D17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D71A80B2-46BE-4E0C-9013-28B5F9B46D15}"/>
    <cellStyle name="Normal 4 4 2 2 5 2 2 3" xfId="24622" xr:uid="{E28F35D5-07F9-4DF8-834A-57C3DFF4C0B0}"/>
    <cellStyle name="Normal 4 4 2 2 5 2 3" xfId="11957" xr:uid="{E91B4307-4B35-4143-A20F-308080CF8DC5}"/>
    <cellStyle name="Normal 4 4 2 2 5 2 4" xfId="20405" xr:uid="{E33CCDC6-C81C-4EC8-ADB4-10663D1CAF64}"/>
    <cellStyle name="Normal 4 4 2 2 5 3" xfId="5580" xr:uid="{00000000-0005-0000-0000-00000A150000}"/>
    <cellStyle name="Normal 4 4 2 2 5 3 2" xfId="14030" xr:uid="{5C22EE8C-75A0-4208-AF2B-7CFD94496C58}"/>
    <cellStyle name="Normal 4 4 2 2 5 3 3" xfId="22477" xr:uid="{89CDEE72-8891-41B6-986D-D1C2AD3023B8}"/>
    <cellStyle name="Normal 4 4 2 2 5 4" xfId="9812" xr:uid="{B3783839-3EF6-48AB-B12E-DDB97CC9939B}"/>
    <cellStyle name="Normal 4 4 2 2 5 5" xfId="18260" xr:uid="{715A8F33-BB47-4100-941A-AD32A95F216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9C045D4E-4663-4130-A1B8-CF6DF5B6EF5F}"/>
    <cellStyle name="Normal 4 4 2 2 6 2 2 3" xfId="25035" xr:uid="{2F668915-46D5-4C9C-B5BA-70F5AD8B9325}"/>
    <cellStyle name="Normal 4 4 2 2 6 2 3" xfId="12370" xr:uid="{C3D00B63-A36D-4C8F-A0D5-E74560EC0393}"/>
    <cellStyle name="Normal 4 4 2 2 6 2 4" xfId="20818" xr:uid="{64F8D12D-CC41-44B7-9CC9-2181A2093FCA}"/>
    <cellStyle name="Normal 4 4 2 2 6 3" xfId="5993" xr:uid="{00000000-0005-0000-0000-00000E150000}"/>
    <cellStyle name="Normal 4 4 2 2 6 3 2" xfId="14443" xr:uid="{C0EE4E89-88B9-4E33-BE99-3652108ABEE6}"/>
    <cellStyle name="Normal 4 4 2 2 6 3 3" xfId="22890" xr:uid="{99F9D57B-C12A-42C3-9EAF-F75790E6300E}"/>
    <cellStyle name="Normal 4 4 2 2 6 4" xfId="10225" xr:uid="{633F2372-4AA0-44B0-8DA6-B09CA3558395}"/>
    <cellStyle name="Normal 4 4 2 2 6 5" xfId="18673" xr:uid="{36653905-0047-4E3F-A415-EFBE3A455E1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E26D09C1-FBE8-4FD8-BBFF-781DD7ED20AE}"/>
    <cellStyle name="Normal 4 4 2 2 7 2 2 3" xfId="25448" xr:uid="{EBAE1010-FC97-4FF7-BF06-0B5F33092ECA}"/>
    <cellStyle name="Normal 4 4 2 2 7 2 3" xfId="12783" xr:uid="{CA1E25AE-2F72-4630-BFBD-F570749EFD25}"/>
    <cellStyle name="Normal 4 4 2 2 7 2 4" xfId="21231" xr:uid="{458F5FC5-4908-4D17-9FC8-74676C521CA9}"/>
    <cellStyle name="Normal 4 4 2 2 7 3" xfId="6406" xr:uid="{00000000-0005-0000-0000-000012150000}"/>
    <cellStyle name="Normal 4 4 2 2 7 3 2" xfId="14856" xr:uid="{320E8AF4-3B59-4652-95CB-0C07789FB8FA}"/>
    <cellStyle name="Normal 4 4 2 2 7 3 3" xfId="23303" xr:uid="{411D3CC6-6DF2-42CD-87D0-CC3C995FEF8A}"/>
    <cellStyle name="Normal 4 4 2 2 7 4" xfId="10638" xr:uid="{3BF35C1E-297D-42DF-A644-643B084EA38B}"/>
    <cellStyle name="Normal 4 4 2 2 7 5" xfId="19086" xr:uid="{B7496277-E047-491B-9A8D-B24C089DBDB8}"/>
    <cellStyle name="Normal 4 4 2 2 8" xfId="2536" xr:uid="{00000000-0005-0000-0000-000013150000}"/>
    <cellStyle name="Normal 4 4 2 2 8 2" xfId="6819" xr:uid="{00000000-0005-0000-0000-000014150000}"/>
    <cellStyle name="Normal 4 4 2 2 8 2 2" xfId="15269" xr:uid="{BCCC4198-C51C-4B58-ACD4-FFAC48EE240C}"/>
    <cellStyle name="Normal 4 4 2 2 8 2 3" xfId="23716" xr:uid="{1F303499-C36A-4CA5-A99A-52AF24CF5641}"/>
    <cellStyle name="Normal 4 4 2 2 8 3" xfId="11051" xr:uid="{721D6D9A-9683-459D-AE6E-A9ADD5214582}"/>
    <cellStyle name="Normal 4 4 2 2 8 4" xfId="19499" xr:uid="{5FF85A87-FB5D-4EAF-9E53-C582390247D0}"/>
    <cellStyle name="Normal 4 4 2 2 9" xfId="4754" xr:uid="{00000000-0005-0000-0000-000015150000}"/>
    <cellStyle name="Normal 4 4 2 2 9 2" xfId="13204" xr:uid="{31C724F0-C3D1-402B-97A2-3A8A5D597393}"/>
    <cellStyle name="Normal 4 4 2 2 9 3" xfId="21651" xr:uid="{8B46A537-E4C0-4F68-9882-89749F61C6FF}"/>
    <cellStyle name="Normal 4 4 2 3" xfId="384" xr:uid="{00000000-0005-0000-0000-000016150000}"/>
    <cellStyle name="Normal 4 4 2 3 10" xfId="17438" xr:uid="{C8441A21-2293-4310-9ED0-1ABA883876FD}"/>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528C1448-18D0-40DE-8A0F-66A434BAB2AE}"/>
    <cellStyle name="Normal 4 4 2 3 2 2 2 2 3" xfId="24214" xr:uid="{B33AEBC3-6EDA-4F36-8017-AAFD5083FC17}"/>
    <cellStyle name="Normal 4 4 2 3 2 2 2 3" xfId="11549" xr:uid="{2D13DD50-5533-4645-825A-941BB3C319D4}"/>
    <cellStyle name="Normal 4 4 2 3 2 2 2 4" xfId="19997" xr:uid="{E4279011-1B8B-4476-A3CA-099BF0DDF710}"/>
    <cellStyle name="Normal 4 4 2 3 2 2 3" xfId="5172" xr:uid="{00000000-0005-0000-0000-00001B150000}"/>
    <cellStyle name="Normal 4 4 2 3 2 2 3 2" xfId="13622" xr:uid="{9E28C7E8-AB26-4896-ABE2-D2C8312F9944}"/>
    <cellStyle name="Normal 4 4 2 3 2 2 3 3" xfId="22069" xr:uid="{F8C074A7-FE93-4E13-83DD-0953C50B123B}"/>
    <cellStyle name="Normal 4 4 2 3 2 2 4" xfId="9404" xr:uid="{6F22416C-AEBF-4CBE-8F32-701B92033937}"/>
    <cellStyle name="Normal 4 4 2 3 2 2 5" xfId="17852" xr:uid="{8347728E-090A-489D-85B4-E03A91C0A0B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F8A40060-B1B7-4FC2-A8BC-80D4DC3F959E}"/>
    <cellStyle name="Normal 4 4 2 3 2 3 2 2 3" xfId="24627" xr:uid="{0A1D8DBF-C72F-4AA0-A688-3A4787BA55E1}"/>
    <cellStyle name="Normal 4 4 2 3 2 3 2 3" xfId="11962" xr:uid="{2408AB91-9DEB-48E0-94CA-A02BFC715214}"/>
    <cellStyle name="Normal 4 4 2 3 2 3 2 4" xfId="20410" xr:uid="{862A77EC-6A0E-4FC0-9EE8-D5FD454C623C}"/>
    <cellStyle name="Normal 4 4 2 3 2 3 3" xfId="5585" xr:uid="{00000000-0005-0000-0000-00001F150000}"/>
    <cellStyle name="Normal 4 4 2 3 2 3 3 2" xfId="14035" xr:uid="{F959A11A-047F-431C-B11C-6C95675C63EB}"/>
    <cellStyle name="Normal 4 4 2 3 2 3 3 3" xfId="22482" xr:uid="{7256BB4C-D5AF-48D1-B723-554AACFF931B}"/>
    <cellStyle name="Normal 4 4 2 3 2 3 4" xfId="9817" xr:uid="{4FFC774C-71CD-42A3-89DF-6B05FBEB2D74}"/>
    <cellStyle name="Normal 4 4 2 3 2 3 5" xfId="18265" xr:uid="{CEDC30A5-42BD-4138-83FA-D240E3A0BB8E}"/>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81E754D7-3DB9-480D-9B29-81AA3E0E05A4}"/>
    <cellStyle name="Normal 4 4 2 3 2 4 2 2 3" xfId="25040" xr:uid="{8C99D4F1-6757-4D80-94C9-5D430A4CFBA0}"/>
    <cellStyle name="Normal 4 4 2 3 2 4 2 3" xfId="12375" xr:uid="{0BDBF9A9-6510-4D0F-AB4D-D20A02EFB67B}"/>
    <cellStyle name="Normal 4 4 2 3 2 4 2 4" xfId="20823" xr:uid="{7B091DAF-B7B0-4DE1-9DE2-E768C72F2477}"/>
    <cellStyle name="Normal 4 4 2 3 2 4 3" xfId="5998" xr:uid="{00000000-0005-0000-0000-000023150000}"/>
    <cellStyle name="Normal 4 4 2 3 2 4 3 2" xfId="14448" xr:uid="{F76FAF73-1CAC-48F8-B68E-E397C3E948C6}"/>
    <cellStyle name="Normal 4 4 2 3 2 4 3 3" xfId="22895" xr:uid="{9F58759C-E646-4A11-B88F-1A5ACD677928}"/>
    <cellStyle name="Normal 4 4 2 3 2 4 4" xfId="10230" xr:uid="{D9BA44AB-D23A-4E99-A812-B60353C119B3}"/>
    <cellStyle name="Normal 4 4 2 3 2 4 5" xfId="18678" xr:uid="{C7995ECC-1B6E-4D9A-87B6-5F564EE5FDC9}"/>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AFFDC56B-4D61-4390-9AD3-4B7B5ED08785}"/>
    <cellStyle name="Normal 4 4 2 3 2 5 2 2 3" xfId="25453" xr:uid="{0CC3338F-4512-4D7F-8B6C-2D3A1BC8C74D}"/>
    <cellStyle name="Normal 4 4 2 3 2 5 2 3" xfId="12788" xr:uid="{585C8095-5765-4815-BB73-CFC09BC55869}"/>
    <cellStyle name="Normal 4 4 2 3 2 5 2 4" xfId="21236" xr:uid="{67CD6233-FF2A-4762-96AD-3B4852257406}"/>
    <cellStyle name="Normal 4 4 2 3 2 5 3" xfId="6411" xr:uid="{00000000-0005-0000-0000-000027150000}"/>
    <cellStyle name="Normal 4 4 2 3 2 5 3 2" xfId="14861" xr:uid="{E24C9EC7-4AF0-41F5-9F79-DBDA46D22DF0}"/>
    <cellStyle name="Normal 4 4 2 3 2 5 3 3" xfId="23308" xr:uid="{63A39E36-CA5D-4E71-B1FD-8A1537A2B386}"/>
    <cellStyle name="Normal 4 4 2 3 2 5 4" xfId="10643" xr:uid="{3A03B9B5-0273-4E76-8EAF-65309F22ED7D}"/>
    <cellStyle name="Normal 4 4 2 3 2 5 5" xfId="19091" xr:uid="{8B7D681C-D8EE-4543-913C-8E595B799668}"/>
    <cellStyle name="Normal 4 4 2 3 2 6" xfId="2541" xr:uid="{00000000-0005-0000-0000-000028150000}"/>
    <cellStyle name="Normal 4 4 2 3 2 6 2" xfId="6824" xr:uid="{00000000-0005-0000-0000-000029150000}"/>
    <cellStyle name="Normal 4 4 2 3 2 6 2 2" xfId="15274" xr:uid="{578A65B4-5DBE-405B-97A8-6A3BB2A8E2EA}"/>
    <cellStyle name="Normal 4 4 2 3 2 6 2 3" xfId="23721" xr:uid="{2E8550DB-4F51-415D-8FC6-0D5D62261733}"/>
    <cellStyle name="Normal 4 4 2 3 2 6 3" xfId="11056" xr:uid="{CCDD0330-7A2D-407E-8632-4604231D08E9}"/>
    <cellStyle name="Normal 4 4 2 3 2 6 4" xfId="19504" xr:uid="{B09D4AB0-1A91-46DC-B477-331995870CCF}"/>
    <cellStyle name="Normal 4 4 2 3 2 7" xfId="4759" xr:uid="{00000000-0005-0000-0000-00002A150000}"/>
    <cellStyle name="Normal 4 4 2 3 2 7 2" xfId="13209" xr:uid="{7DCF5582-7F36-4CB3-A533-51F31E5D1B46}"/>
    <cellStyle name="Normal 4 4 2 3 2 7 3" xfId="21656" xr:uid="{8DC0C96E-0940-4E84-8738-00F9B5A81769}"/>
    <cellStyle name="Normal 4 4 2 3 2 8" xfId="8991" xr:uid="{D3CADB58-0A17-4FE6-9FD3-4BC61292EE32}"/>
    <cellStyle name="Normal 4 4 2 3 2 9" xfId="17439" xr:uid="{99C88CFA-B7A7-4B2E-807C-0AF36CAA4DDF}"/>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DEADC5E9-F804-4556-8B31-DB2728CC4C54}"/>
    <cellStyle name="Normal 4 4 2 3 3 2 2 3" xfId="24213" xr:uid="{2E3DF154-4091-468E-AAE5-49CEB8344284}"/>
    <cellStyle name="Normal 4 4 2 3 3 2 3" xfId="11548" xr:uid="{08BECBF4-3972-4BE1-B6A4-D719061DF983}"/>
    <cellStyle name="Normal 4 4 2 3 3 2 4" xfId="19996" xr:uid="{DAC2BF2B-D534-4481-B7AE-E2E0007F4A12}"/>
    <cellStyle name="Normal 4 4 2 3 3 3" xfId="5171" xr:uid="{00000000-0005-0000-0000-00002E150000}"/>
    <cellStyle name="Normal 4 4 2 3 3 3 2" xfId="13621" xr:uid="{D0B2BE5B-0109-4642-9791-2DDE20C099FE}"/>
    <cellStyle name="Normal 4 4 2 3 3 3 3" xfId="22068" xr:uid="{D37DE3CD-8A05-4173-8FA6-96570BFA654C}"/>
    <cellStyle name="Normal 4 4 2 3 3 4" xfId="9403" xr:uid="{78278407-73AF-40CF-92D1-C342FF22B040}"/>
    <cellStyle name="Normal 4 4 2 3 3 5" xfId="17851" xr:uid="{8DAC4D96-1D6C-4DF2-8EBC-1B9221FCB162}"/>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329B1B19-58AF-446C-8938-03ABC849EBEB}"/>
    <cellStyle name="Normal 4 4 2 3 4 2 2 3" xfId="24626" xr:uid="{BD1E8064-1691-47A7-BFBB-EAB51858F463}"/>
    <cellStyle name="Normal 4 4 2 3 4 2 3" xfId="11961" xr:uid="{D7440DB6-6342-4005-8BC1-A20A27F45678}"/>
    <cellStyle name="Normal 4 4 2 3 4 2 4" xfId="20409" xr:uid="{19517D92-EFC8-4121-8AD6-31C39983AA0B}"/>
    <cellStyle name="Normal 4 4 2 3 4 3" xfId="5584" xr:uid="{00000000-0005-0000-0000-000032150000}"/>
    <cellStyle name="Normal 4 4 2 3 4 3 2" xfId="14034" xr:uid="{148EC7F7-90EF-43E5-8CAA-5BFDF3B740BD}"/>
    <cellStyle name="Normal 4 4 2 3 4 3 3" xfId="22481" xr:uid="{01F78E7C-2CE4-402E-AB83-4E717A207426}"/>
    <cellStyle name="Normal 4 4 2 3 4 4" xfId="9816" xr:uid="{15EF97E7-A6CE-4986-9D30-B33C37F4218A}"/>
    <cellStyle name="Normal 4 4 2 3 4 5" xfId="18264" xr:uid="{4F871ACE-FDB1-46D0-B21C-BF643415C99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DDEF78FE-1940-42E1-9B80-0C7625597F1D}"/>
    <cellStyle name="Normal 4 4 2 3 5 2 2 3" xfId="25039" xr:uid="{087BC03F-9B7E-47AF-8494-A2AB585D5AA6}"/>
    <cellStyle name="Normal 4 4 2 3 5 2 3" xfId="12374" xr:uid="{58321BA5-0F5F-4A48-9965-303AB92459E3}"/>
    <cellStyle name="Normal 4 4 2 3 5 2 4" xfId="20822" xr:uid="{D34E140B-19D4-4E6F-A011-C28149E69EF3}"/>
    <cellStyle name="Normal 4 4 2 3 5 3" xfId="5997" xr:uid="{00000000-0005-0000-0000-000036150000}"/>
    <cellStyle name="Normal 4 4 2 3 5 3 2" xfId="14447" xr:uid="{4E4138AF-D26D-4AAB-9AD5-89028BF901B4}"/>
    <cellStyle name="Normal 4 4 2 3 5 3 3" xfId="22894" xr:uid="{CF63DB59-CFB2-47A7-8128-D19290C2FE6B}"/>
    <cellStyle name="Normal 4 4 2 3 5 4" xfId="10229" xr:uid="{9A4CA81C-9DE2-492C-BBE0-3113A747A7DE}"/>
    <cellStyle name="Normal 4 4 2 3 5 5" xfId="18677" xr:uid="{A9F257C6-828A-4778-BADC-F375D6C4085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1651A626-FF33-414F-A622-5E2E3B488053}"/>
    <cellStyle name="Normal 4 4 2 3 6 2 2 3" xfId="25452" xr:uid="{7AE2FA67-08A6-4E83-A30D-3D7CC8D96F7E}"/>
    <cellStyle name="Normal 4 4 2 3 6 2 3" xfId="12787" xr:uid="{184CFE6C-88DC-40EE-9448-28657DFF2448}"/>
    <cellStyle name="Normal 4 4 2 3 6 2 4" xfId="21235" xr:uid="{BDDD09B0-5A33-4AC0-B2C1-49FD45C5E893}"/>
    <cellStyle name="Normal 4 4 2 3 6 3" xfId="6410" xr:uid="{00000000-0005-0000-0000-00003A150000}"/>
    <cellStyle name="Normal 4 4 2 3 6 3 2" xfId="14860" xr:uid="{F075B6BA-7FF3-4E07-B0B0-BD12F9E4EC20}"/>
    <cellStyle name="Normal 4 4 2 3 6 3 3" xfId="23307" xr:uid="{82E21ADC-4C69-48B5-9FEA-B4453BFDB027}"/>
    <cellStyle name="Normal 4 4 2 3 6 4" xfId="10642" xr:uid="{EA3C73C2-AB26-4CBC-BE7E-CFD3B611A0B5}"/>
    <cellStyle name="Normal 4 4 2 3 6 5" xfId="19090" xr:uid="{8142DF9F-E592-432C-9DA7-255F86E908F8}"/>
    <cellStyle name="Normal 4 4 2 3 7" xfId="2540" xr:uid="{00000000-0005-0000-0000-00003B150000}"/>
    <cellStyle name="Normal 4 4 2 3 7 2" xfId="6823" xr:uid="{00000000-0005-0000-0000-00003C150000}"/>
    <cellStyle name="Normal 4 4 2 3 7 2 2" xfId="15273" xr:uid="{B2B51015-B651-467B-8749-D9DD5BD70571}"/>
    <cellStyle name="Normal 4 4 2 3 7 2 3" xfId="23720" xr:uid="{4911CD9C-B4B0-4CC0-852F-22EE828BA236}"/>
    <cellStyle name="Normal 4 4 2 3 7 3" xfId="11055" xr:uid="{D56090B9-CA7E-47F6-8804-E80AFB7D1FDD}"/>
    <cellStyle name="Normal 4 4 2 3 7 4" xfId="19503" xr:uid="{757A36DD-F087-4C41-8EC4-31562344584B}"/>
    <cellStyle name="Normal 4 4 2 3 8" xfId="4758" xr:uid="{00000000-0005-0000-0000-00003D150000}"/>
    <cellStyle name="Normal 4 4 2 3 8 2" xfId="13208" xr:uid="{9528AC54-015C-49F2-A171-00CD0CE004EF}"/>
    <cellStyle name="Normal 4 4 2 3 8 3" xfId="21655" xr:uid="{D3803016-A087-4263-9B40-5491F57EAD9F}"/>
    <cellStyle name="Normal 4 4 2 3 9" xfId="8990" xr:uid="{7F36CF4D-7BDA-4581-9937-24FFEFE4AE61}"/>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78A21A9F-08BC-487E-99D7-0262226BB5AB}"/>
    <cellStyle name="Normal 4 4 2 4 2 2 2 3" xfId="24215" xr:uid="{F944FD33-DCB2-47C6-A2FB-0771FEDB71B8}"/>
    <cellStyle name="Normal 4 4 2 4 2 2 3" xfId="11550" xr:uid="{E482624D-E665-4B65-8810-E3C053374BEA}"/>
    <cellStyle name="Normal 4 4 2 4 2 2 4" xfId="19998" xr:uid="{75B9D4A9-F360-4FE7-9E1A-6F1351025A65}"/>
    <cellStyle name="Normal 4 4 2 4 2 3" xfId="5173" xr:uid="{00000000-0005-0000-0000-000042150000}"/>
    <cellStyle name="Normal 4 4 2 4 2 3 2" xfId="13623" xr:uid="{6DC4A3F7-CB08-4D63-AC37-AA49C55F5E9D}"/>
    <cellStyle name="Normal 4 4 2 4 2 3 3" xfId="22070" xr:uid="{612FFED2-0613-401A-B526-B511E352A336}"/>
    <cellStyle name="Normal 4 4 2 4 2 4" xfId="9405" xr:uid="{A8C5B863-CFC3-4379-AA17-701CD0CCC05E}"/>
    <cellStyle name="Normal 4 4 2 4 2 5" xfId="17853" xr:uid="{6B57B2BE-B311-4E0D-AB8C-C1245DDAF53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89951D50-2092-488B-93E3-0EDE76E03DE5}"/>
    <cellStyle name="Normal 4 4 2 4 3 2 2 3" xfId="24628" xr:uid="{BA60FC18-5596-44FD-BF2D-18400A2963F9}"/>
    <cellStyle name="Normal 4 4 2 4 3 2 3" xfId="11963" xr:uid="{F36E4063-2047-4F86-A211-15C366BE6563}"/>
    <cellStyle name="Normal 4 4 2 4 3 2 4" xfId="20411" xr:uid="{D098E481-660B-4265-BFF5-3AA936043C56}"/>
    <cellStyle name="Normal 4 4 2 4 3 3" xfId="5586" xr:uid="{00000000-0005-0000-0000-000046150000}"/>
    <cellStyle name="Normal 4 4 2 4 3 3 2" xfId="14036" xr:uid="{71533551-CB7C-4BC2-B2D4-A320E19B7CA7}"/>
    <cellStyle name="Normal 4 4 2 4 3 3 3" xfId="22483" xr:uid="{1DB33155-BA8E-4A50-BB72-F24F86D268E1}"/>
    <cellStyle name="Normal 4 4 2 4 3 4" xfId="9818" xr:uid="{63F22E75-B497-462E-9F09-A31F3FDD76AA}"/>
    <cellStyle name="Normal 4 4 2 4 3 5" xfId="18266" xr:uid="{9B0E809C-331A-44A4-A14F-01F9933D0ECB}"/>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CDB7A1B2-95EF-4FA3-8767-A4534D18942F}"/>
    <cellStyle name="Normal 4 4 2 4 4 2 2 3" xfId="25041" xr:uid="{1865817F-6B30-46D4-9B42-C7A7F2845260}"/>
    <cellStyle name="Normal 4 4 2 4 4 2 3" xfId="12376" xr:uid="{1F1E9474-6D7D-4102-A933-48017C831F14}"/>
    <cellStyle name="Normal 4 4 2 4 4 2 4" xfId="20824" xr:uid="{E7E5C3AD-91F4-420A-B649-18F29F0C9D59}"/>
    <cellStyle name="Normal 4 4 2 4 4 3" xfId="5999" xr:uid="{00000000-0005-0000-0000-00004A150000}"/>
    <cellStyle name="Normal 4 4 2 4 4 3 2" xfId="14449" xr:uid="{85E18C38-3C00-4F90-83E0-23C65638AFE0}"/>
    <cellStyle name="Normal 4 4 2 4 4 3 3" xfId="22896" xr:uid="{28E1C56C-1611-4A62-88BE-DE5A3731F2A5}"/>
    <cellStyle name="Normal 4 4 2 4 4 4" xfId="10231" xr:uid="{A09275EA-A3FF-4481-B500-EF112CE37288}"/>
    <cellStyle name="Normal 4 4 2 4 4 5" xfId="18679" xr:uid="{F46DD6BE-8C92-4919-99BA-FB6E4C1E886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B88B0A01-C6BC-4306-BC18-7B6666888B28}"/>
    <cellStyle name="Normal 4 4 2 4 5 2 2 3" xfId="25454" xr:uid="{E49217F6-34F2-49B9-BEFB-60C4CA39E880}"/>
    <cellStyle name="Normal 4 4 2 4 5 2 3" xfId="12789" xr:uid="{394204DF-522A-4E13-A23C-2A5066AD8F9F}"/>
    <cellStyle name="Normal 4 4 2 4 5 2 4" xfId="21237" xr:uid="{FB0C0027-049B-408A-9925-F08A7A9B9194}"/>
    <cellStyle name="Normal 4 4 2 4 5 3" xfId="6412" xr:uid="{00000000-0005-0000-0000-00004E150000}"/>
    <cellStyle name="Normal 4 4 2 4 5 3 2" xfId="14862" xr:uid="{2CF578CE-0261-4507-8423-292F974C21C9}"/>
    <cellStyle name="Normal 4 4 2 4 5 3 3" xfId="23309" xr:uid="{CCCD9966-DCE0-4499-826E-187968568B95}"/>
    <cellStyle name="Normal 4 4 2 4 5 4" xfId="10644" xr:uid="{46164D1E-D3CF-41F8-AC32-6282304DF845}"/>
    <cellStyle name="Normal 4 4 2 4 5 5" xfId="19092" xr:uid="{0FD03AD2-1D8F-408C-8D35-47920616F288}"/>
    <cellStyle name="Normal 4 4 2 4 6" xfId="2542" xr:uid="{00000000-0005-0000-0000-00004F150000}"/>
    <cellStyle name="Normal 4 4 2 4 6 2" xfId="6825" xr:uid="{00000000-0005-0000-0000-000050150000}"/>
    <cellStyle name="Normal 4 4 2 4 6 2 2" xfId="15275" xr:uid="{787109A4-42DB-4E5E-9798-77034FC8C572}"/>
    <cellStyle name="Normal 4 4 2 4 6 2 3" xfId="23722" xr:uid="{568ADFC9-B893-4B64-B550-2592A80A3AEB}"/>
    <cellStyle name="Normal 4 4 2 4 6 3" xfId="11057" xr:uid="{65EFA82B-CE38-459C-910B-DA639D07509C}"/>
    <cellStyle name="Normal 4 4 2 4 6 4" xfId="19505" xr:uid="{E75BE01C-BA98-4E53-8FEB-CA2AF2A4253E}"/>
    <cellStyle name="Normal 4 4 2 4 7" xfId="4760" xr:uid="{00000000-0005-0000-0000-000051150000}"/>
    <cellStyle name="Normal 4 4 2 4 7 2" xfId="13210" xr:uid="{2F348A16-F441-4A94-AA62-1753613D9FFB}"/>
    <cellStyle name="Normal 4 4 2 4 7 3" xfId="21657" xr:uid="{2CD21AE2-3451-4C46-AD61-FA0B2C71C9AF}"/>
    <cellStyle name="Normal 4 4 2 4 8" xfId="8992" xr:uid="{95976853-7048-4082-8E52-92B763DD7552}"/>
    <cellStyle name="Normal 4 4 2 4 9" xfId="17440" xr:uid="{E40C7098-BDDD-432B-A9C4-D0A46D6DD2FA}"/>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1DA72EC4-50E7-471B-B0F0-B22913731A19}"/>
    <cellStyle name="Normal 4 4 2 5 2 2 3" xfId="24208" xr:uid="{BB7DF158-BA4C-49B5-9AB1-BFF01738BD15}"/>
    <cellStyle name="Normal 4 4 2 5 2 3" xfId="11543" xr:uid="{6FFA963D-3FC7-4CE4-BD60-DC7CE1C1C41E}"/>
    <cellStyle name="Normal 4 4 2 5 2 4" xfId="19991" xr:uid="{C315783D-F22B-4F74-9FF6-C78D43C79A20}"/>
    <cellStyle name="Normal 4 4 2 5 3" xfId="5166" xr:uid="{00000000-0005-0000-0000-000055150000}"/>
    <cellStyle name="Normal 4 4 2 5 3 2" xfId="13616" xr:uid="{0519D838-37E1-4CD0-9546-5A72F2A5C4A4}"/>
    <cellStyle name="Normal 4 4 2 5 3 3" xfId="22063" xr:uid="{5E77B73E-8C4C-4ECB-B929-FE551B740DCD}"/>
    <cellStyle name="Normal 4 4 2 5 4" xfId="9398" xr:uid="{01078F74-D563-4B2A-936A-F15D79824729}"/>
    <cellStyle name="Normal 4 4 2 5 5" xfId="17846" xr:uid="{8A972A92-6FA3-4767-8DC5-6F023750E995}"/>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E7AA6888-D200-48BF-88F1-5F276AEE5E9C}"/>
    <cellStyle name="Normal 4 4 2 6 2 2 3" xfId="24621" xr:uid="{923F8DEE-5874-4583-AAA7-BCB16B1043D6}"/>
    <cellStyle name="Normal 4 4 2 6 2 3" xfId="11956" xr:uid="{F808E6EB-1C95-4734-B0B4-ACDC97E9C686}"/>
    <cellStyle name="Normal 4 4 2 6 2 4" xfId="20404" xr:uid="{D82BBA8E-BDDA-4EBF-A719-3822F9241BE7}"/>
    <cellStyle name="Normal 4 4 2 6 3" xfId="5579" xr:uid="{00000000-0005-0000-0000-000059150000}"/>
    <cellStyle name="Normal 4 4 2 6 3 2" xfId="14029" xr:uid="{C56BC1D9-A069-4BEE-9AA9-4DC0F524CB4A}"/>
    <cellStyle name="Normal 4 4 2 6 3 3" xfId="22476" xr:uid="{639B5859-808D-47EE-BF65-D0205A6DB061}"/>
    <cellStyle name="Normal 4 4 2 6 4" xfId="9811" xr:uid="{03CF2652-2C78-4526-A102-904DAFBF48A1}"/>
    <cellStyle name="Normal 4 4 2 6 5" xfId="18259" xr:uid="{85B62BF2-3F8A-4A0F-AC2E-8D02C7F2691B}"/>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8ACF6517-1A2F-46D7-8BC7-6EC637B73D9E}"/>
    <cellStyle name="Normal 4 4 2 7 2 2 3" xfId="25034" xr:uid="{B0582864-A2FE-48BB-BD70-277784E9AE71}"/>
    <cellStyle name="Normal 4 4 2 7 2 3" xfId="12369" xr:uid="{C4FCF4E4-859E-4AC1-87E2-104D423ED8A2}"/>
    <cellStyle name="Normal 4 4 2 7 2 4" xfId="20817" xr:uid="{276785E1-910D-4EF9-AC3A-777597137790}"/>
    <cellStyle name="Normal 4 4 2 7 3" xfId="5992" xr:uid="{00000000-0005-0000-0000-00005D150000}"/>
    <cellStyle name="Normal 4 4 2 7 3 2" xfId="14442" xr:uid="{F6F563B9-A683-45C1-818B-B376D9E81CD1}"/>
    <cellStyle name="Normal 4 4 2 7 3 3" xfId="22889" xr:uid="{706E176E-5574-4F44-A55D-0906BD186977}"/>
    <cellStyle name="Normal 4 4 2 7 4" xfId="10224" xr:uid="{F9935ED8-2EE4-4FFF-9438-52C0F948CC15}"/>
    <cellStyle name="Normal 4 4 2 7 5" xfId="18672" xr:uid="{7FD9B1F8-A3A5-4F88-B26B-1E398A78869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52535DFB-9C94-4C2E-850E-518C59B5E765}"/>
    <cellStyle name="Normal 4 4 2 8 2 2 3" xfId="25447" xr:uid="{7CBC123C-EDEF-4404-A7E3-C30280DC5773}"/>
    <cellStyle name="Normal 4 4 2 8 2 3" xfId="12782" xr:uid="{33E86DD2-79C8-467E-B95D-30CF8D3C5A07}"/>
    <cellStyle name="Normal 4 4 2 8 2 4" xfId="21230" xr:uid="{7B289C80-870B-41B6-BFDC-70E730E627B5}"/>
    <cellStyle name="Normal 4 4 2 8 3" xfId="6405" xr:uid="{00000000-0005-0000-0000-000061150000}"/>
    <cellStyle name="Normal 4 4 2 8 3 2" xfId="14855" xr:uid="{458AB6EF-AC05-4359-BEBC-5EC772985687}"/>
    <cellStyle name="Normal 4 4 2 8 3 3" xfId="23302" xr:uid="{496BA43F-D9AA-4655-99CC-938FB196AC3D}"/>
    <cellStyle name="Normal 4 4 2 8 4" xfId="10637" xr:uid="{0B788003-7149-445B-9E4C-10686388D20F}"/>
    <cellStyle name="Normal 4 4 2 8 5" xfId="19085" xr:uid="{4FE86419-A33C-43FA-914F-CA8C300017AE}"/>
    <cellStyle name="Normal 4 4 2 9" xfId="2535" xr:uid="{00000000-0005-0000-0000-000062150000}"/>
    <cellStyle name="Normal 4 4 2 9 2" xfId="6818" xr:uid="{00000000-0005-0000-0000-000063150000}"/>
    <cellStyle name="Normal 4 4 2 9 2 2" xfId="15268" xr:uid="{834063F6-EDA6-4B48-9A9B-4B755995F6F4}"/>
    <cellStyle name="Normal 4 4 2 9 2 3" xfId="23715" xr:uid="{41E426C3-2350-45F7-B329-ED8EFDE0ACC9}"/>
    <cellStyle name="Normal 4 4 2 9 3" xfId="11050" xr:uid="{C2BB5CE6-6527-4620-8809-F6E371A6FC16}"/>
    <cellStyle name="Normal 4 4 2 9 4" xfId="19498" xr:uid="{03EF131D-8743-4AE4-AD5E-D5E80DBC90B0}"/>
    <cellStyle name="Normal 4 4 3" xfId="387" xr:uid="{00000000-0005-0000-0000-000064150000}"/>
    <cellStyle name="Normal 4 4 3 10" xfId="8993" xr:uid="{20A56E7A-BB27-4669-B984-1F775CDD8CA0}"/>
    <cellStyle name="Normal 4 4 3 11" xfId="17441" xr:uid="{5EDB4898-64A1-4BEF-A379-13395F4C8A55}"/>
    <cellStyle name="Normal 4 4 3 2" xfId="388" xr:uid="{00000000-0005-0000-0000-000065150000}"/>
    <cellStyle name="Normal 4 4 3 2 10" xfId="17442" xr:uid="{F99E1546-7630-4F2A-B8F6-07D5C5F51A03}"/>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1758F044-52E5-4554-9299-13CEB2FF0C18}"/>
    <cellStyle name="Normal 4 4 3 2 2 2 2 2 3" xfId="24218" xr:uid="{02404D64-6F2E-4FDC-9FE9-51C59A57EDA5}"/>
    <cellStyle name="Normal 4 4 3 2 2 2 2 3" xfId="11553" xr:uid="{1319F72D-440F-43F3-B0DA-036DF81C79B7}"/>
    <cellStyle name="Normal 4 4 3 2 2 2 2 4" xfId="20001" xr:uid="{00ECF513-2D5B-4634-B9F3-9F7D0B61692E}"/>
    <cellStyle name="Normal 4 4 3 2 2 2 3" xfId="5176" xr:uid="{00000000-0005-0000-0000-00006A150000}"/>
    <cellStyle name="Normal 4 4 3 2 2 2 3 2" xfId="13626" xr:uid="{C601E5AD-F2AE-4465-BA44-668759D2B208}"/>
    <cellStyle name="Normal 4 4 3 2 2 2 3 3" xfId="22073" xr:uid="{8CB2C13B-C2C2-4B94-9BDC-EB3571FFD5B3}"/>
    <cellStyle name="Normal 4 4 3 2 2 2 4" xfId="9408" xr:uid="{77B125C6-4ED9-4B36-AE00-1B49399EE62C}"/>
    <cellStyle name="Normal 4 4 3 2 2 2 5" xfId="17856" xr:uid="{D777132C-8517-4C3C-B880-86B1872F9778}"/>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DE765A27-5992-431E-9133-D6C14669B285}"/>
    <cellStyle name="Normal 4 4 3 2 2 3 2 2 3" xfId="24631" xr:uid="{3DDA6FBE-3EC8-433A-88B4-BACE967072BA}"/>
    <cellStyle name="Normal 4 4 3 2 2 3 2 3" xfId="11966" xr:uid="{BAB942B3-4496-48D2-9EDE-3A4E06E294A1}"/>
    <cellStyle name="Normal 4 4 3 2 2 3 2 4" xfId="20414" xr:uid="{142515CA-5AD6-4AF9-858B-E42D6EAA79AE}"/>
    <cellStyle name="Normal 4 4 3 2 2 3 3" xfId="5589" xr:uid="{00000000-0005-0000-0000-00006E150000}"/>
    <cellStyle name="Normal 4 4 3 2 2 3 3 2" xfId="14039" xr:uid="{0DEEFE13-C23B-4F38-BEB2-2FEC76770DD3}"/>
    <cellStyle name="Normal 4 4 3 2 2 3 3 3" xfId="22486" xr:uid="{C0577E80-E45D-4CDB-A139-4931B2C1FF08}"/>
    <cellStyle name="Normal 4 4 3 2 2 3 4" xfId="9821" xr:uid="{5D022E1E-789D-4682-8790-A6629D57D201}"/>
    <cellStyle name="Normal 4 4 3 2 2 3 5" xfId="18269" xr:uid="{09BE3295-61F9-45CA-BC35-E965B66E4A5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455A0E94-084F-4460-8D1C-B88D629F0B6C}"/>
    <cellStyle name="Normal 4 4 3 2 2 4 2 2 3" xfId="25044" xr:uid="{C128EEE4-36F0-4CEB-924E-10A9DFA9AD29}"/>
    <cellStyle name="Normal 4 4 3 2 2 4 2 3" xfId="12379" xr:uid="{6E8D7427-7AFA-4B6D-A344-5B29F3DA9204}"/>
    <cellStyle name="Normal 4 4 3 2 2 4 2 4" xfId="20827" xr:uid="{E31B9FF2-AF47-44F7-8AEE-235F73237FDA}"/>
    <cellStyle name="Normal 4 4 3 2 2 4 3" xfId="6002" xr:uid="{00000000-0005-0000-0000-000072150000}"/>
    <cellStyle name="Normal 4 4 3 2 2 4 3 2" xfId="14452" xr:uid="{CC725F85-170D-493D-96A6-FFACA5CCCB78}"/>
    <cellStyle name="Normal 4 4 3 2 2 4 3 3" xfId="22899" xr:uid="{B3C471B3-CE3E-4D95-98C1-80BE3941946B}"/>
    <cellStyle name="Normal 4 4 3 2 2 4 4" xfId="10234" xr:uid="{2E1E7084-1A9B-4D63-B5DA-2F0B28417BF0}"/>
    <cellStyle name="Normal 4 4 3 2 2 4 5" xfId="18682" xr:uid="{F2DB8FF6-312C-4514-8108-64F60905284E}"/>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8DF6CB66-BEE2-4568-932C-E27298C733CC}"/>
    <cellStyle name="Normal 4 4 3 2 2 5 2 2 3" xfId="25457" xr:uid="{8C61505B-7E86-4179-9AF2-F4F4F5C32833}"/>
    <cellStyle name="Normal 4 4 3 2 2 5 2 3" xfId="12792" xr:uid="{73CA13D1-AFD8-4EE9-8194-B0F795153C46}"/>
    <cellStyle name="Normal 4 4 3 2 2 5 2 4" xfId="21240" xr:uid="{6DB6CB96-F9E0-4699-94FF-434224AE5D2F}"/>
    <cellStyle name="Normal 4 4 3 2 2 5 3" xfId="6415" xr:uid="{00000000-0005-0000-0000-000076150000}"/>
    <cellStyle name="Normal 4 4 3 2 2 5 3 2" xfId="14865" xr:uid="{AEE15D56-6BA5-4A06-A9B0-82DB53CF9D53}"/>
    <cellStyle name="Normal 4 4 3 2 2 5 3 3" xfId="23312" xr:uid="{21A0C6D1-5F16-45A4-8CED-7251E4BF0BBD}"/>
    <cellStyle name="Normal 4 4 3 2 2 5 4" xfId="10647" xr:uid="{CB6CC1C9-C86F-4259-8BC4-7116C33C7C6E}"/>
    <cellStyle name="Normal 4 4 3 2 2 5 5" xfId="19095" xr:uid="{EA3E15C0-B257-4E62-AF86-A65B2FCA70DE}"/>
    <cellStyle name="Normal 4 4 3 2 2 6" xfId="2545" xr:uid="{00000000-0005-0000-0000-000077150000}"/>
    <cellStyle name="Normal 4 4 3 2 2 6 2" xfId="6828" xr:uid="{00000000-0005-0000-0000-000078150000}"/>
    <cellStyle name="Normal 4 4 3 2 2 6 2 2" xfId="15278" xr:uid="{EB4D6E1A-58E8-42B3-9380-ECC55F300301}"/>
    <cellStyle name="Normal 4 4 3 2 2 6 2 3" xfId="23725" xr:uid="{7E81B7C2-89CF-4FF1-9831-617DB5784C84}"/>
    <cellStyle name="Normal 4 4 3 2 2 6 3" xfId="11060" xr:uid="{133AFD2B-4872-4D5C-A10D-630DE2B6B007}"/>
    <cellStyle name="Normal 4 4 3 2 2 6 4" xfId="19508" xr:uid="{4417D4C2-9CEE-4DDA-B0D4-6AA703459925}"/>
    <cellStyle name="Normal 4 4 3 2 2 7" xfId="4763" xr:uid="{00000000-0005-0000-0000-000079150000}"/>
    <cellStyle name="Normal 4 4 3 2 2 7 2" xfId="13213" xr:uid="{357C8BEA-1439-4229-87E6-C67367A8F0DC}"/>
    <cellStyle name="Normal 4 4 3 2 2 7 3" xfId="21660" xr:uid="{1AFE1DCD-24C0-49BE-B4EF-5BC7AFF2B34D}"/>
    <cellStyle name="Normal 4 4 3 2 2 8" xfId="8995" xr:uid="{97B33319-1527-456B-8FF4-56B3D562DE1A}"/>
    <cellStyle name="Normal 4 4 3 2 2 9" xfId="17443" xr:uid="{B99F5DF9-C20E-419A-BB86-5D5782F0E67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87B0A034-AD6F-45DB-8F85-95A42C3A0CAD}"/>
    <cellStyle name="Normal 4 4 3 2 3 2 2 3" xfId="24217" xr:uid="{1D8039CF-79F8-45FB-A4BC-2F1F9FB1A1D6}"/>
    <cellStyle name="Normal 4 4 3 2 3 2 3" xfId="11552" xr:uid="{A533D9A1-BC54-4770-BE3A-A90EFE62BE8D}"/>
    <cellStyle name="Normal 4 4 3 2 3 2 4" xfId="20000" xr:uid="{E8CF99DF-6400-49D0-9762-65B68B7D2064}"/>
    <cellStyle name="Normal 4 4 3 2 3 3" xfId="5175" xr:uid="{00000000-0005-0000-0000-00007D150000}"/>
    <cellStyle name="Normal 4 4 3 2 3 3 2" xfId="13625" xr:uid="{D1F065C2-BA59-4FC1-9C67-B85575C4A169}"/>
    <cellStyle name="Normal 4 4 3 2 3 3 3" xfId="22072" xr:uid="{D9963094-45CA-4BB1-8916-E4BD36973EEA}"/>
    <cellStyle name="Normal 4 4 3 2 3 4" xfId="9407" xr:uid="{4F912D94-53B4-40D3-B03B-6A3AC3AE9A62}"/>
    <cellStyle name="Normal 4 4 3 2 3 5" xfId="17855" xr:uid="{00C355A7-4980-4D20-94C8-8A9CD550DBEF}"/>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03248040-7499-45B3-A79E-5128624BC918}"/>
    <cellStyle name="Normal 4 4 3 2 4 2 2 3" xfId="24630" xr:uid="{48B5C917-DB3B-4542-9E21-F06F9811F2B7}"/>
    <cellStyle name="Normal 4 4 3 2 4 2 3" xfId="11965" xr:uid="{CFFF62F2-565B-452F-AA5B-9539CA8B8906}"/>
    <cellStyle name="Normal 4 4 3 2 4 2 4" xfId="20413" xr:uid="{8CC1D99B-B155-441D-98DD-EC9167F8378A}"/>
    <cellStyle name="Normal 4 4 3 2 4 3" xfId="5588" xr:uid="{00000000-0005-0000-0000-000081150000}"/>
    <cellStyle name="Normal 4 4 3 2 4 3 2" xfId="14038" xr:uid="{37AF72BD-8FCB-486C-9DE5-BAF040DDF05A}"/>
    <cellStyle name="Normal 4 4 3 2 4 3 3" xfId="22485" xr:uid="{68E9159B-C3FC-4C1E-A187-00AA0747A1EC}"/>
    <cellStyle name="Normal 4 4 3 2 4 4" xfId="9820" xr:uid="{1F2DCC6F-B0D9-4725-AC58-30B3433D7B44}"/>
    <cellStyle name="Normal 4 4 3 2 4 5" xfId="18268" xr:uid="{A172E391-FF6B-4C95-8389-6FAA3C1F84B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761CEF2E-23F3-468E-AB8A-CF52B1C1BDB2}"/>
    <cellStyle name="Normal 4 4 3 2 5 2 2 3" xfId="25043" xr:uid="{220493F7-0426-42E1-A9DD-48F4E76AA928}"/>
    <cellStyle name="Normal 4 4 3 2 5 2 3" xfId="12378" xr:uid="{49AB1840-62CF-4C59-BFAA-8C1FECB28B1F}"/>
    <cellStyle name="Normal 4 4 3 2 5 2 4" xfId="20826" xr:uid="{9CDBCD5C-9BDE-4D47-8896-98B35F49653F}"/>
    <cellStyle name="Normal 4 4 3 2 5 3" xfId="6001" xr:uid="{00000000-0005-0000-0000-000085150000}"/>
    <cellStyle name="Normal 4 4 3 2 5 3 2" xfId="14451" xr:uid="{4E7CC0F0-B5A6-4101-9407-BCD1AFFB47A1}"/>
    <cellStyle name="Normal 4 4 3 2 5 3 3" xfId="22898" xr:uid="{AC209471-90CF-41AB-A32B-F8B0162E714A}"/>
    <cellStyle name="Normal 4 4 3 2 5 4" xfId="10233" xr:uid="{BCCC2181-A24C-4782-9AD0-E0FE8D521B81}"/>
    <cellStyle name="Normal 4 4 3 2 5 5" xfId="18681" xr:uid="{613A4693-2FF2-4A93-BA32-E1FC73A81892}"/>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46DBDCBD-C159-4216-800D-C8BAE16D51E3}"/>
    <cellStyle name="Normal 4 4 3 2 6 2 2 3" xfId="25456" xr:uid="{85F66F52-6E35-407B-BC7C-6461DD62DEA4}"/>
    <cellStyle name="Normal 4 4 3 2 6 2 3" xfId="12791" xr:uid="{388DF78F-8B08-4288-A6F8-4FBFBFE9395B}"/>
    <cellStyle name="Normal 4 4 3 2 6 2 4" xfId="21239" xr:uid="{CEE25AD3-C1FB-4335-AB8F-17CB5DCFABE5}"/>
    <cellStyle name="Normal 4 4 3 2 6 3" xfId="6414" xr:uid="{00000000-0005-0000-0000-000089150000}"/>
    <cellStyle name="Normal 4 4 3 2 6 3 2" xfId="14864" xr:uid="{C0C943E6-ED9E-48BE-9256-614FB759D4DB}"/>
    <cellStyle name="Normal 4 4 3 2 6 3 3" xfId="23311" xr:uid="{E76746B6-9E8C-47BD-9329-1C01728DB371}"/>
    <cellStyle name="Normal 4 4 3 2 6 4" xfId="10646" xr:uid="{5B3CCEC7-632F-478A-B4E5-7B585CD386FD}"/>
    <cellStyle name="Normal 4 4 3 2 6 5" xfId="19094" xr:uid="{0FDC77E2-F805-4CE6-8B88-C6A063605A8E}"/>
    <cellStyle name="Normal 4 4 3 2 7" xfId="2544" xr:uid="{00000000-0005-0000-0000-00008A150000}"/>
    <cellStyle name="Normal 4 4 3 2 7 2" xfId="6827" xr:uid="{00000000-0005-0000-0000-00008B150000}"/>
    <cellStyle name="Normal 4 4 3 2 7 2 2" xfId="15277" xr:uid="{320B06E0-F207-4E3F-90C2-EB681C8E9E06}"/>
    <cellStyle name="Normal 4 4 3 2 7 2 3" xfId="23724" xr:uid="{12216EA8-00E0-41EB-8241-1B1CFBCEF75B}"/>
    <cellStyle name="Normal 4 4 3 2 7 3" xfId="11059" xr:uid="{65122167-835B-43BF-BC94-C8722B3A2A5C}"/>
    <cellStyle name="Normal 4 4 3 2 7 4" xfId="19507" xr:uid="{69E57ABD-9A82-4B15-84D9-B264D143278F}"/>
    <cellStyle name="Normal 4 4 3 2 8" xfId="4762" xr:uid="{00000000-0005-0000-0000-00008C150000}"/>
    <cellStyle name="Normal 4 4 3 2 8 2" xfId="13212" xr:uid="{8CD0F290-4A89-43B0-80D5-8DD323B17DDB}"/>
    <cellStyle name="Normal 4 4 3 2 8 3" xfId="21659" xr:uid="{085564F1-28FA-49AE-AC01-5EB669AADAEF}"/>
    <cellStyle name="Normal 4 4 3 2 9" xfId="8994" xr:uid="{36D80C45-F76E-440E-805E-9ECEA20BE9A1}"/>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69EBC231-6372-4145-BE6D-00D0C555420B}"/>
    <cellStyle name="Normal 4 4 3 3 2 2 2 3" xfId="24219" xr:uid="{8C352ACB-FC11-4C36-91E4-1C64F1833301}"/>
    <cellStyle name="Normal 4 4 3 3 2 2 3" xfId="11554" xr:uid="{BFBC484D-287B-4E0E-895E-7344470B2A93}"/>
    <cellStyle name="Normal 4 4 3 3 2 2 4" xfId="20002" xr:uid="{590F4DD6-DF5B-4988-BEEF-202BA2AE41BC}"/>
    <cellStyle name="Normal 4 4 3 3 2 3" xfId="5177" xr:uid="{00000000-0005-0000-0000-000091150000}"/>
    <cellStyle name="Normal 4 4 3 3 2 3 2" xfId="13627" xr:uid="{C2C3E28F-7C8A-4100-BB6C-570C1DBC7258}"/>
    <cellStyle name="Normal 4 4 3 3 2 3 3" xfId="22074" xr:uid="{9C2A4EA3-B893-4491-83B6-6623AA068756}"/>
    <cellStyle name="Normal 4 4 3 3 2 4" xfId="9409" xr:uid="{745B4EB8-60DA-45A2-8FA3-611229FB668A}"/>
    <cellStyle name="Normal 4 4 3 3 2 5" xfId="17857" xr:uid="{781B5905-628B-4B47-85A4-2C1549A08280}"/>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5BC9DEB2-044D-4F13-A030-AE5C64F64E83}"/>
    <cellStyle name="Normal 4 4 3 3 3 2 2 3" xfId="24632" xr:uid="{FFAB018D-86B4-49FE-9624-B1521FFCDDB3}"/>
    <cellStyle name="Normal 4 4 3 3 3 2 3" xfId="11967" xr:uid="{46AE203C-FC37-4A66-A91C-866C703276E5}"/>
    <cellStyle name="Normal 4 4 3 3 3 2 4" xfId="20415" xr:uid="{35A0F3DC-5697-40C4-823A-3FC416C6C8E4}"/>
    <cellStyle name="Normal 4 4 3 3 3 3" xfId="5590" xr:uid="{00000000-0005-0000-0000-000095150000}"/>
    <cellStyle name="Normal 4 4 3 3 3 3 2" xfId="14040" xr:uid="{DDE3CEE4-8B5A-4058-89C6-6122A63A8A2B}"/>
    <cellStyle name="Normal 4 4 3 3 3 3 3" xfId="22487" xr:uid="{54C14966-397B-49F1-8C24-2FBBEDF82069}"/>
    <cellStyle name="Normal 4 4 3 3 3 4" xfId="9822" xr:uid="{87D587A6-7E52-44D8-A1EE-AB1F0486EA39}"/>
    <cellStyle name="Normal 4 4 3 3 3 5" xfId="18270" xr:uid="{6E27E0D0-F5D4-4BDD-9936-9A9F6C919144}"/>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5A3EA119-4E82-4C02-BE20-129C3680723C}"/>
    <cellStyle name="Normal 4 4 3 3 4 2 2 3" xfId="25045" xr:uid="{8D0A0E1E-3B43-4960-B007-B4CDA088C051}"/>
    <cellStyle name="Normal 4 4 3 3 4 2 3" xfId="12380" xr:uid="{F45378C5-B3F8-4E1C-B969-BF27D3A154A7}"/>
    <cellStyle name="Normal 4 4 3 3 4 2 4" xfId="20828" xr:uid="{B28D8C02-6084-4080-9869-7F5B4A84F9BA}"/>
    <cellStyle name="Normal 4 4 3 3 4 3" xfId="6003" xr:uid="{00000000-0005-0000-0000-000099150000}"/>
    <cellStyle name="Normal 4 4 3 3 4 3 2" xfId="14453" xr:uid="{968875A8-521E-40F8-B22B-F45FC5F2BB68}"/>
    <cellStyle name="Normal 4 4 3 3 4 3 3" xfId="22900" xr:uid="{25FD5FE0-3E69-4E99-A95D-9B2E48D68F0B}"/>
    <cellStyle name="Normal 4 4 3 3 4 4" xfId="10235" xr:uid="{2503C68A-5F00-43B0-ACC3-C86B5488DBAF}"/>
    <cellStyle name="Normal 4 4 3 3 4 5" xfId="18683" xr:uid="{001EB818-4DF9-4B60-853D-2B4EB74CD2C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45DB2B08-72C6-4F31-AA7A-CA51682440F3}"/>
    <cellStyle name="Normal 4 4 3 3 5 2 2 3" xfId="25458" xr:uid="{2F7EA69C-A191-4196-942D-AA3E878CA1B5}"/>
    <cellStyle name="Normal 4 4 3 3 5 2 3" xfId="12793" xr:uid="{0924F03B-4C88-4AC3-8C33-BB5BC8A41BCD}"/>
    <cellStyle name="Normal 4 4 3 3 5 2 4" xfId="21241" xr:uid="{69C66BDC-112C-489E-AD80-8956BBF1D4CD}"/>
    <cellStyle name="Normal 4 4 3 3 5 3" xfId="6416" xr:uid="{00000000-0005-0000-0000-00009D150000}"/>
    <cellStyle name="Normal 4 4 3 3 5 3 2" xfId="14866" xr:uid="{F3E1A7F1-CFD4-4D5F-9A70-714AACA1E966}"/>
    <cellStyle name="Normal 4 4 3 3 5 3 3" xfId="23313" xr:uid="{F231F9BD-5CDE-4CC7-8892-E33F872C5B88}"/>
    <cellStyle name="Normal 4 4 3 3 5 4" xfId="10648" xr:uid="{3CEBEFE9-E8E8-4050-A473-EB48D74D8A71}"/>
    <cellStyle name="Normal 4 4 3 3 5 5" xfId="19096" xr:uid="{B72C793D-BD84-47F1-AE30-92D723C35587}"/>
    <cellStyle name="Normal 4 4 3 3 6" xfId="2546" xr:uid="{00000000-0005-0000-0000-00009E150000}"/>
    <cellStyle name="Normal 4 4 3 3 6 2" xfId="6829" xr:uid="{00000000-0005-0000-0000-00009F150000}"/>
    <cellStyle name="Normal 4 4 3 3 6 2 2" xfId="15279" xr:uid="{1A54C574-202F-43D3-B258-9B1FED9158E4}"/>
    <cellStyle name="Normal 4 4 3 3 6 2 3" xfId="23726" xr:uid="{E6266059-FCB0-48C7-A5D6-D8E5E3C1E9DF}"/>
    <cellStyle name="Normal 4 4 3 3 6 3" xfId="11061" xr:uid="{0F991DC3-A1D9-4117-8A07-B572A2D14773}"/>
    <cellStyle name="Normal 4 4 3 3 6 4" xfId="19509" xr:uid="{93168DFD-8F95-4D86-9A34-FB9510BF8574}"/>
    <cellStyle name="Normal 4 4 3 3 7" xfId="4764" xr:uid="{00000000-0005-0000-0000-0000A0150000}"/>
    <cellStyle name="Normal 4 4 3 3 7 2" xfId="13214" xr:uid="{92508912-8CA0-40A7-AE4C-86ACF088F03F}"/>
    <cellStyle name="Normal 4 4 3 3 7 3" xfId="21661" xr:uid="{F8AB5AF2-F306-490A-A43E-CB0EA2766C56}"/>
    <cellStyle name="Normal 4 4 3 3 8" xfId="8996" xr:uid="{89041A90-F4D2-44F6-B3D7-9351FCE74BB2}"/>
    <cellStyle name="Normal 4 4 3 3 9" xfId="17444" xr:uid="{6BCCC13F-8C20-42AE-8B26-2EC8E6AF7289}"/>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6BA2DC9E-213B-4FE8-97C0-50CDE3831329}"/>
    <cellStyle name="Normal 4 4 3 4 2 2 3" xfId="24216" xr:uid="{F8BDDAF2-E7A5-46E9-A901-C3AF088311B3}"/>
    <cellStyle name="Normal 4 4 3 4 2 3" xfId="11551" xr:uid="{023AED2F-2FF3-4C98-B9D1-94AD79BA179F}"/>
    <cellStyle name="Normal 4 4 3 4 2 4" xfId="19999" xr:uid="{C1F9F479-D658-4DB5-8609-58002E5DEF43}"/>
    <cellStyle name="Normal 4 4 3 4 3" xfId="5174" xr:uid="{00000000-0005-0000-0000-0000A4150000}"/>
    <cellStyle name="Normal 4 4 3 4 3 2" xfId="13624" xr:uid="{CE99CF07-E068-4FA1-8CF7-EAD5E9038F9B}"/>
    <cellStyle name="Normal 4 4 3 4 3 3" xfId="22071" xr:uid="{933E5AD0-C156-4BA4-A83D-9C5E23CE1266}"/>
    <cellStyle name="Normal 4 4 3 4 4" xfId="9406" xr:uid="{B7947B97-C72A-48DD-A9F1-ADA72EFC95B7}"/>
    <cellStyle name="Normal 4 4 3 4 5" xfId="17854" xr:uid="{4F366AB0-ECC6-4F1C-A717-25F243B918F3}"/>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1FD59258-30F2-49B4-9026-1C991D360818}"/>
    <cellStyle name="Normal 4 4 3 5 2 2 3" xfId="24629" xr:uid="{5D4D18E8-7310-4378-B43C-5FCBCA3B7F2D}"/>
    <cellStyle name="Normal 4 4 3 5 2 3" xfId="11964" xr:uid="{C234D3B2-85FB-4DC3-B766-9DB1CC2F1C23}"/>
    <cellStyle name="Normal 4 4 3 5 2 4" xfId="20412" xr:uid="{48DB311F-6E9D-4721-950B-229157787249}"/>
    <cellStyle name="Normal 4 4 3 5 3" xfId="5587" xr:uid="{00000000-0005-0000-0000-0000A8150000}"/>
    <cellStyle name="Normal 4 4 3 5 3 2" xfId="14037" xr:uid="{98CE3488-B62E-41CC-9783-9E31A41FEAC1}"/>
    <cellStyle name="Normal 4 4 3 5 3 3" xfId="22484" xr:uid="{4E159346-1D3C-4AF9-B41C-4B25D7916AFA}"/>
    <cellStyle name="Normal 4 4 3 5 4" xfId="9819" xr:uid="{FCE12A6B-3FE6-4F78-9D70-DAE9B4426070}"/>
    <cellStyle name="Normal 4 4 3 5 5" xfId="18267" xr:uid="{35D83E8E-D4B1-40DF-891D-9A3B4B0AFFDE}"/>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BDD9B3D6-3C1D-41B1-B78C-F8B48E1EEC0F}"/>
    <cellStyle name="Normal 4 4 3 6 2 2 3" xfId="25042" xr:uid="{83434AB9-77EE-4BEE-99E8-DE18ADB8A809}"/>
    <cellStyle name="Normal 4 4 3 6 2 3" xfId="12377" xr:uid="{4319FEAA-5BDB-4ED1-B39C-C7BAAD0F60D1}"/>
    <cellStyle name="Normal 4 4 3 6 2 4" xfId="20825" xr:uid="{B6F50CD0-AABD-4F9D-B308-28CE9A777D52}"/>
    <cellStyle name="Normal 4 4 3 6 3" xfId="6000" xr:uid="{00000000-0005-0000-0000-0000AC150000}"/>
    <cellStyle name="Normal 4 4 3 6 3 2" xfId="14450" xr:uid="{905A35DA-2DE8-4747-9358-24DA95B8CF03}"/>
    <cellStyle name="Normal 4 4 3 6 3 3" xfId="22897" xr:uid="{8B82A928-51F0-4893-9218-A7E0A006C68B}"/>
    <cellStyle name="Normal 4 4 3 6 4" xfId="10232" xr:uid="{03FBD5BF-DA4E-402E-BFEE-59CDCC1FC603}"/>
    <cellStyle name="Normal 4 4 3 6 5" xfId="18680" xr:uid="{60782066-6398-4517-827D-D970567A95A0}"/>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0F9B7936-5744-41CC-998A-B8F7A1C1030D}"/>
    <cellStyle name="Normal 4 4 3 7 2 2 3" xfId="25455" xr:uid="{805C85AA-FFA9-4EDB-87DA-AE6BDB1EB988}"/>
    <cellStyle name="Normal 4 4 3 7 2 3" xfId="12790" xr:uid="{1A135445-A1D1-4356-9C2E-56A9F3478615}"/>
    <cellStyle name="Normal 4 4 3 7 2 4" xfId="21238" xr:uid="{FF0E7DB8-8E2A-4825-A640-9E9CAAA7E59B}"/>
    <cellStyle name="Normal 4 4 3 7 3" xfId="6413" xr:uid="{00000000-0005-0000-0000-0000B0150000}"/>
    <cellStyle name="Normal 4 4 3 7 3 2" xfId="14863" xr:uid="{BEB56136-0B9F-4B7A-9742-823132DB36AE}"/>
    <cellStyle name="Normal 4 4 3 7 3 3" xfId="23310" xr:uid="{0E771988-964C-496D-BC44-557F65B1ED90}"/>
    <cellStyle name="Normal 4 4 3 7 4" xfId="10645" xr:uid="{D4B48041-1FF6-4B11-8653-5D954F176EAA}"/>
    <cellStyle name="Normal 4 4 3 7 5" xfId="19093" xr:uid="{992DF477-50B4-4466-9F2F-972D0DB84AC8}"/>
    <cellStyle name="Normal 4 4 3 8" xfId="2543" xr:uid="{00000000-0005-0000-0000-0000B1150000}"/>
    <cellStyle name="Normal 4 4 3 8 2" xfId="6826" xr:uid="{00000000-0005-0000-0000-0000B2150000}"/>
    <cellStyle name="Normal 4 4 3 8 2 2" xfId="15276" xr:uid="{6CF526D4-55E6-4B8A-A5F1-A861447B477D}"/>
    <cellStyle name="Normal 4 4 3 8 2 3" xfId="23723" xr:uid="{D3F5D214-1480-43B4-BFAE-8DF80A39B67E}"/>
    <cellStyle name="Normal 4 4 3 8 3" xfId="11058" xr:uid="{A7D12BC6-0F42-4308-AE12-63258F4B5022}"/>
    <cellStyle name="Normal 4 4 3 8 4" xfId="19506" xr:uid="{1EF6D8D9-144A-475B-878F-7D4DB3916401}"/>
    <cellStyle name="Normal 4 4 3 9" xfId="4761" xr:uid="{00000000-0005-0000-0000-0000B3150000}"/>
    <cellStyle name="Normal 4 4 3 9 2" xfId="13211" xr:uid="{502706F4-1E61-4456-A977-6084F93D1546}"/>
    <cellStyle name="Normal 4 4 3 9 3" xfId="21658" xr:uid="{E905577F-1CC3-4B5C-8EBF-EF50FADE273E}"/>
    <cellStyle name="Normal 4 4 4" xfId="391" xr:uid="{00000000-0005-0000-0000-0000B4150000}"/>
    <cellStyle name="Normal 4 4 4 10" xfId="17445" xr:uid="{8E806051-7026-41B2-9039-37FC2904F824}"/>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2A1FC972-B889-4512-B139-20420F2866ED}"/>
    <cellStyle name="Normal 4 4 4 2 2 2 2 3" xfId="24221" xr:uid="{0F463778-634D-4040-9FC1-90801820DF8F}"/>
    <cellStyle name="Normal 4 4 4 2 2 2 3" xfId="11556" xr:uid="{0002E8AA-3454-4FC8-9799-C9F747FD4E04}"/>
    <cellStyle name="Normal 4 4 4 2 2 2 4" xfId="20004" xr:uid="{1C706BFA-D854-45D9-92B1-8F2FC04E45BE}"/>
    <cellStyle name="Normal 4 4 4 2 2 3" xfId="5179" xr:uid="{00000000-0005-0000-0000-0000B9150000}"/>
    <cellStyle name="Normal 4 4 4 2 2 3 2" xfId="13629" xr:uid="{94D1997F-43B5-4425-8C1A-F1554C015587}"/>
    <cellStyle name="Normal 4 4 4 2 2 3 3" xfId="22076" xr:uid="{0D5DB5E3-1D7B-4A4B-A99E-B4313F150F56}"/>
    <cellStyle name="Normal 4 4 4 2 2 4" xfId="9411" xr:uid="{296806B1-11CA-4BFA-9D06-AB3C1D66E9E6}"/>
    <cellStyle name="Normal 4 4 4 2 2 5" xfId="17859" xr:uid="{CD2AC035-E60E-4838-8610-8111F7991FA5}"/>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B2859F28-831B-4FC7-9823-84634BED63E2}"/>
    <cellStyle name="Normal 4 4 4 2 3 2 2 3" xfId="24634" xr:uid="{73054490-ECA0-45EF-8575-385B5AA647F9}"/>
    <cellStyle name="Normal 4 4 4 2 3 2 3" xfId="11969" xr:uid="{899E66DF-1260-4AD9-AC87-2A8262E8D664}"/>
    <cellStyle name="Normal 4 4 4 2 3 2 4" xfId="20417" xr:uid="{911BDAC9-9518-4E2E-BFA3-C2122F155624}"/>
    <cellStyle name="Normal 4 4 4 2 3 3" xfId="5592" xr:uid="{00000000-0005-0000-0000-0000BD150000}"/>
    <cellStyle name="Normal 4 4 4 2 3 3 2" xfId="14042" xr:uid="{E167F1E8-17DA-43F8-896A-82F80C34DC75}"/>
    <cellStyle name="Normal 4 4 4 2 3 3 3" xfId="22489" xr:uid="{C6A4B0FB-10AA-4632-90B2-27C53ACA206F}"/>
    <cellStyle name="Normal 4 4 4 2 3 4" xfId="9824" xr:uid="{ECD0AD77-9682-4C85-A996-8C6EB1BFE72C}"/>
    <cellStyle name="Normal 4 4 4 2 3 5" xfId="18272" xr:uid="{4CA53BF4-F508-4442-82E2-B94172BBE96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F46675C1-6A1C-434C-A02B-5BC6B62F1668}"/>
    <cellStyle name="Normal 4 4 4 2 4 2 2 3" xfId="25047" xr:uid="{E0B1EB33-BD85-464C-8605-8DB776BF8C13}"/>
    <cellStyle name="Normal 4 4 4 2 4 2 3" xfId="12382" xr:uid="{41B4BFEC-826A-4A9F-9856-2EF6F54CBE62}"/>
    <cellStyle name="Normal 4 4 4 2 4 2 4" xfId="20830" xr:uid="{CAB8B350-E561-4A16-BAB6-88E21E561B7B}"/>
    <cellStyle name="Normal 4 4 4 2 4 3" xfId="6005" xr:uid="{00000000-0005-0000-0000-0000C1150000}"/>
    <cellStyle name="Normal 4 4 4 2 4 3 2" xfId="14455" xr:uid="{08E51F4F-B5B2-4D13-B69F-38333C27C549}"/>
    <cellStyle name="Normal 4 4 4 2 4 3 3" xfId="22902" xr:uid="{2E16CDDF-BCC6-4219-AA12-22C1AC63E29B}"/>
    <cellStyle name="Normal 4 4 4 2 4 4" xfId="10237" xr:uid="{E77FCE5A-177C-463B-982B-9A8F151E4653}"/>
    <cellStyle name="Normal 4 4 4 2 4 5" xfId="18685" xr:uid="{F34E4591-6272-49BC-91EB-71F2F7FAF5BA}"/>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51667464-B7B0-403A-8669-35C17F4AD5DF}"/>
    <cellStyle name="Normal 4 4 4 2 5 2 2 3" xfId="25460" xr:uid="{7536C2D1-9F35-41A8-B878-4DC90D9CE0FB}"/>
    <cellStyle name="Normal 4 4 4 2 5 2 3" xfId="12795" xr:uid="{D97F9F60-9399-400C-BC96-6777111DF7F0}"/>
    <cellStyle name="Normal 4 4 4 2 5 2 4" xfId="21243" xr:uid="{1AE2C2AE-4C22-456A-81E2-D7242AAA898D}"/>
    <cellStyle name="Normal 4 4 4 2 5 3" xfId="6418" xr:uid="{00000000-0005-0000-0000-0000C5150000}"/>
    <cellStyle name="Normal 4 4 4 2 5 3 2" xfId="14868" xr:uid="{72950D0D-BCAF-403B-A98A-E89E2587CF0F}"/>
    <cellStyle name="Normal 4 4 4 2 5 3 3" xfId="23315" xr:uid="{862302DF-BADA-4AE2-9166-95EA4E52430E}"/>
    <cellStyle name="Normal 4 4 4 2 5 4" xfId="10650" xr:uid="{BDB62859-1DF4-4356-98C8-F4853E8BD7AA}"/>
    <cellStyle name="Normal 4 4 4 2 5 5" xfId="19098" xr:uid="{B1C06995-7307-45F7-AE34-B80E643D3C6D}"/>
    <cellStyle name="Normal 4 4 4 2 6" xfId="2548" xr:uid="{00000000-0005-0000-0000-0000C6150000}"/>
    <cellStyle name="Normal 4 4 4 2 6 2" xfId="6831" xr:uid="{00000000-0005-0000-0000-0000C7150000}"/>
    <cellStyle name="Normal 4 4 4 2 6 2 2" xfId="15281" xr:uid="{FBB9A6A1-7C98-495C-827F-FC47FD3864C8}"/>
    <cellStyle name="Normal 4 4 4 2 6 2 3" xfId="23728" xr:uid="{68A0AB43-8E29-45F1-9D77-FAFC17FEA95C}"/>
    <cellStyle name="Normal 4 4 4 2 6 3" xfId="11063" xr:uid="{1BDA3506-C2AA-456D-A3F1-EF18581DD4D3}"/>
    <cellStyle name="Normal 4 4 4 2 6 4" xfId="19511" xr:uid="{AA6F21DC-7F0D-4F68-BBF3-867393D92501}"/>
    <cellStyle name="Normal 4 4 4 2 7" xfId="4766" xr:uid="{00000000-0005-0000-0000-0000C8150000}"/>
    <cellStyle name="Normal 4 4 4 2 7 2" xfId="13216" xr:uid="{5D0C1806-5983-4537-9FF3-F20602F30BC9}"/>
    <cellStyle name="Normal 4 4 4 2 7 3" xfId="21663" xr:uid="{1F5C9D33-4F89-4A43-8BF7-3414D4CD8FBF}"/>
    <cellStyle name="Normal 4 4 4 2 8" xfId="8998" xr:uid="{5F56F602-FF39-40D9-960B-82F1A121FBCF}"/>
    <cellStyle name="Normal 4 4 4 2 9" xfId="17446" xr:uid="{FAD839C0-0E7C-4C98-89C7-B70EB004EBAE}"/>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EFDEB5B5-7792-4F74-AE63-97F5DAEF0086}"/>
    <cellStyle name="Normal 4 4 4 3 2 2 3" xfId="24220" xr:uid="{DA91CD0A-FE71-46D5-96EC-2B33B8CAF8DB}"/>
    <cellStyle name="Normal 4 4 4 3 2 3" xfId="11555" xr:uid="{CC1C562E-CB44-461D-975B-73EB0E0DB9D8}"/>
    <cellStyle name="Normal 4 4 4 3 2 4" xfId="20003" xr:uid="{E338F0E2-3A21-4CC9-A441-E6DB241AECBF}"/>
    <cellStyle name="Normal 4 4 4 3 3" xfId="5178" xr:uid="{00000000-0005-0000-0000-0000CC150000}"/>
    <cellStyle name="Normal 4 4 4 3 3 2" xfId="13628" xr:uid="{A6D3BCE9-C729-4EA2-8FD7-639B6CFD9A6E}"/>
    <cellStyle name="Normal 4 4 4 3 3 3" xfId="22075" xr:uid="{F52A6BFD-AB6D-4493-A885-111C7C78D830}"/>
    <cellStyle name="Normal 4 4 4 3 4" xfId="9410" xr:uid="{D5453AF2-52F8-4428-AC24-F889FE793B9B}"/>
    <cellStyle name="Normal 4 4 4 3 5" xfId="17858" xr:uid="{A54B5E9F-7F31-41BF-85BB-C47EF6829EF8}"/>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1CA1AA8F-676B-401B-A597-C93C35F53017}"/>
    <cellStyle name="Normal 4 4 4 4 2 2 3" xfId="24633" xr:uid="{EAF02655-E3A4-42F0-9148-D4DFF2F636DA}"/>
    <cellStyle name="Normal 4 4 4 4 2 3" xfId="11968" xr:uid="{8AF24ADC-BFA5-40F6-A4A9-B6B86735EE41}"/>
    <cellStyle name="Normal 4 4 4 4 2 4" xfId="20416" xr:uid="{D1E42D8B-E5B4-4725-8D36-7D35B3F1F4F2}"/>
    <cellStyle name="Normal 4 4 4 4 3" xfId="5591" xr:uid="{00000000-0005-0000-0000-0000D0150000}"/>
    <cellStyle name="Normal 4 4 4 4 3 2" xfId="14041" xr:uid="{04C80EDC-36F2-4843-B6C8-BA93F289FBE7}"/>
    <cellStyle name="Normal 4 4 4 4 3 3" xfId="22488" xr:uid="{E25E41E6-CAF9-47EC-9B71-4D7AC5978B97}"/>
    <cellStyle name="Normal 4 4 4 4 4" xfId="9823" xr:uid="{FBC4906F-E243-4812-9083-511C3974B07E}"/>
    <cellStyle name="Normal 4 4 4 4 5" xfId="18271" xr:uid="{16E80779-3E9F-48B4-8452-6A8AE4CA8A38}"/>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32950A2B-570C-46CF-AE0C-64650DDE9DA0}"/>
    <cellStyle name="Normal 4 4 4 5 2 2 3" xfId="25046" xr:uid="{AFA11540-10AA-46FB-8DD9-ED5F55674957}"/>
    <cellStyle name="Normal 4 4 4 5 2 3" xfId="12381" xr:uid="{D2CA2C60-B1A9-459B-AED2-8CB5554E706D}"/>
    <cellStyle name="Normal 4 4 4 5 2 4" xfId="20829" xr:uid="{DE8E25CF-7CEC-49C1-8BF4-C573C945283E}"/>
    <cellStyle name="Normal 4 4 4 5 3" xfId="6004" xr:uid="{00000000-0005-0000-0000-0000D4150000}"/>
    <cellStyle name="Normal 4 4 4 5 3 2" xfId="14454" xr:uid="{C7ABD99C-DA7E-4C91-8E56-A3DA4E00C2AF}"/>
    <cellStyle name="Normal 4 4 4 5 3 3" xfId="22901" xr:uid="{ABED1C3B-1B90-4FCF-8847-5529DFF4FA53}"/>
    <cellStyle name="Normal 4 4 4 5 4" xfId="10236" xr:uid="{F4E7DC33-EFA9-4BC0-ADC8-AE4BED4430EA}"/>
    <cellStyle name="Normal 4 4 4 5 5" xfId="18684" xr:uid="{60159E55-E4B7-4104-ABD4-32B552355E6A}"/>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541BC9AC-B687-43D5-9CB3-9F8E1DFB5FE7}"/>
    <cellStyle name="Normal 4 4 4 6 2 2 3" xfId="25459" xr:uid="{80764340-9F54-43E7-B06C-F6942B634B0A}"/>
    <cellStyle name="Normal 4 4 4 6 2 3" xfId="12794" xr:uid="{F0BD50CC-139A-4455-85FD-D3EE4EF2A86D}"/>
    <cellStyle name="Normal 4 4 4 6 2 4" xfId="21242" xr:uid="{868B7F46-E448-45B1-B20C-B632AE1ED848}"/>
    <cellStyle name="Normal 4 4 4 6 3" xfId="6417" xr:uid="{00000000-0005-0000-0000-0000D8150000}"/>
    <cellStyle name="Normal 4 4 4 6 3 2" xfId="14867" xr:uid="{A1A6C669-5750-4690-AA93-28B176CFECDA}"/>
    <cellStyle name="Normal 4 4 4 6 3 3" xfId="23314" xr:uid="{71528517-30BD-493F-9D9C-E45F60054313}"/>
    <cellStyle name="Normal 4 4 4 6 4" xfId="10649" xr:uid="{4913EA80-FE89-4F58-927A-0FD9EAC24A1F}"/>
    <cellStyle name="Normal 4 4 4 6 5" xfId="19097" xr:uid="{82057B45-E6AD-460E-B575-0CCA80EC85EB}"/>
    <cellStyle name="Normal 4 4 4 7" xfId="2547" xr:uid="{00000000-0005-0000-0000-0000D9150000}"/>
    <cellStyle name="Normal 4 4 4 7 2" xfId="6830" xr:uid="{00000000-0005-0000-0000-0000DA150000}"/>
    <cellStyle name="Normal 4 4 4 7 2 2" xfId="15280" xr:uid="{9DAE78CC-E75B-4D0F-B445-1ED4566EBE13}"/>
    <cellStyle name="Normal 4 4 4 7 2 3" xfId="23727" xr:uid="{A3F15BEB-7075-41A0-B3F2-750F93568384}"/>
    <cellStyle name="Normal 4 4 4 7 3" xfId="11062" xr:uid="{1EB019B4-77D3-49E4-8F60-C978953FA1B5}"/>
    <cellStyle name="Normal 4 4 4 7 4" xfId="19510" xr:uid="{68B2901F-0021-495D-A2DE-EAC79F9D9BA0}"/>
    <cellStyle name="Normal 4 4 4 8" xfId="4765" xr:uid="{00000000-0005-0000-0000-0000DB150000}"/>
    <cellStyle name="Normal 4 4 4 8 2" xfId="13215" xr:uid="{D1E8518D-78BD-48FF-8270-EE67AFCA3760}"/>
    <cellStyle name="Normal 4 4 4 8 3" xfId="21662" xr:uid="{63E5EA11-D524-4517-A91A-8285953CFF1C}"/>
    <cellStyle name="Normal 4 4 4 9" xfId="8997" xr:uid="{60132F3A-82FE-480F-96CA-191643356C3E}"/>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F1566695-4EAF-4C6B-82FE-DC4A24409D2D}"/>
    <cellStyle name="Normal 4 4 5 2 2 2 3" xfId="24222" xr:uid="{0D8E8823-B3EB-4585-B58B-DABCEB4AC066}"/>
    <cellStyle name="Normal 4 4 5 2 2 3" xfId="11557" xr:uid="{B6E4EF5F-58C4-4525-85FD-DE167FA1A3BD}"/>
    <cellStyle name="Normal 4 4 5 2 2 4" xfId="20005" xr:uid="{DE951A83-5FAB-4585-8AA8-A83C7F98A8B3}"/>
    <cellStyle name="Normal 4 4 5 2 3" xfId="5180" xr:uid="{00000000-0005-0000-0000-0000E0150000}"/>
    <cellStyle name="Normal 4 4 5 2 3 2" xfId="13630" xr:uid="{EE94B5EA-6398-4C3A-91AE-3BC1DBC1F09C}"/>
    <cellStyle name="Normal 4 4 5 2 3 3" xfId="22077" xr:uid="{4FD32765-DD03-4099-A39E-49EECDA4784C}"/>
    <cellStyle name="Normal 4 4 5 2 4" xfId="9412" xr:uid="{996C7D79-FBD4-4B49-B3ED-3FCD8EAEC54E}"/>
    <cellStyle name="Normal 4 4 5 2 5" xfId="17860" xr:uid="{C000FBEC-F8EB-492A-B58E-6F828B525455}"/>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F376C874-5CC1-4D14-8915-D76930011A1A}"/>
    <cellStyle name="Normal 4 4 5 3 2 2 3" xfId="24635" xr:uid="{6B9BB8CA-44CE-4DFF-A8FD-2E9CCDD2AF00}"/>
    <cellStyle name="Normal 4 4 5 3 2 3" xfId="11970" xr:uid="{E1EC0E10-B964-4108-84D6-7A17FFE49EBC}"/>
    <cellStyle name="Normal 4 4 5 3 2 4" xfId="20418" xr:uid="{44FA0E4F-39B1-45D2-8BFD-5A6E7C25019A}"/>
    <cellStyle name="Normal 4 4 5 3 3" xfId="5593" xr:uid="{00000000-0005-0000-0000-0000E4150000}"/>
    <cellStyle name="Normal 4 4 5 3 3 2" xfId="14043" xr:uid="{9854AF82-3293-455F-91FE-A4B4E148639D}"/>
    <cellStyle name="Normal 4 4 5 3 3 3" xfId="22490" xr:uid="{0B36C2C1-E42F-4483-80CB-3ADD9009D890}"/>
    <cellStyle name="Normal 4 4 5 3 4" xfId="9825" xr:uid="{666C3A88-58B4-4680-98EB-C69106AB391D}"/>
    <cellStyle name="Normal 4 4 5 3 5" xfId="18273" xr:uid="{873E1606-2585-4976-B782-B76F8F21356B}"/>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D4377564-8163-4E39-A0F9-EE33B911CDC2}"/>
    <cellStyle name="Normal 4 4 5 4 2 2 3" xfId="25048" xr:uid="{562699E5-33F2-4CE6-9E2B-0593ABC3137A}"/>
    <cellStyle name="Normal 4 4 5 4 2 3" xfId="12383" xr:uid="{C74409C3-0860-45F4-888E-02F242198C5C}"/>
    <cellStyle name="Normal 4 4 5 4 2 4" xfId="20831" xr:uid="{64AB17EC-4F4B-4282-984C-74410F978265}"/>
    <cellStyle name="Normal 4 4 5 4 3" xfId="6006" xr:uid="{00000000-0005-0000-0000-0000E8150000}"/>
    <cellStyle name="Normal 4 4 5 4 3 2" xfId="14456" xr:uid="{89AB4F2D-5B52-4D97-B360-7890BF7BD701}"/>
    <cellStyle name="Normal 4 4 5 4 3 3" xfId="22903" xr:uid="{4BC82EC1-33E2-4485-A148-BB58CD1E8027}"/>
    <cellStyle name="Normal 4 4 5 4 4" xfId="10238" xr:uid="{B8B8FC91-4E9A-437A-B7E8-3BD79ED65E0F}"/>
    <cellStyle name="Normal 4 4 5 4 5" xfId="18686" xr:uid="{83908FDF-83E0-49A4-8F77-7EE82EEDBC12}"/>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197842A5-650E-4A87-A84F-AAB98FE095BE}"/>
    <cellStyle name="Normal 4 4 5 5 2 2 3" xfId="25461" xr:uid="{1DCA4EB2-B93C-4A61-B679-75ED6F990BF2}"/>
    <cellStyle name="Normal 4 4 5 5 2 3" xfId="12796" xr:uid="{047C7290-355B-433C-A54C-50702707BDBD}"/>
    <cellStyle name="Normal 4 4 5 5 2 4" xfId="21244" xr:uid="{E2B1D8AE-CB83-4EB5-9C4C-F3F6A01711AE}"/>
    <cellStyle name="Normal 4 4 5 5 3" xfId="6419" xr:uid="{00000000-0005-0000-0000-0000EC150000}"/>
    <cellStyle name="Normal 4 4 5 5 3 2" xfId="14869" xr:uid="{CF07F1B2-3764-4CE5-BCE5-9DE871421D17}"/>
    <cellStyle name="Normal 4 4 5 5 3 3" xfId="23316" xr:uid="{714F8A22-7D94-4A4A-8865-883E262B7F67}"/>
    <cellStyle name="Normal 4 4 5 5 4" xfId="10651" xr:uid="{D2830B0F-577B-4EE1-A545-59F7026C1BF9}"/>
    <cellStyle name="Normal 4 4 5 5 5" xfId="19099" xr:uid="{66033085-DAA7-4475-AE1C-2EAD62BE612F}"/>
    <cellStyle name="Normal 4 4 5 6" xfId="2549" xr:uid="{00000000-0005-0000-0000-0000ED150000}"/>
    <cellStyle name="Normal 4 4 5 6 2" xfId="6832" xr:uid="{00000000-0005-0000-0000-0000EE150000}"/>
    <cellStyle name="Normal 4 4 5 6 2 2" xfId="15282" xr:uid="{6A05CBDA-E7E5-4EB0-9708-FFA32EBD5046}"/>
    <cellStyle name="Normal 4 4 5 6 2 3" xfId="23729" xr:uid="{01E9CF17-47F2-4692-A859-5DA01D467BB8}"/>
    <cellStyle name="Normal 4 4 5 6 3" xfId="11064" xr:uid="{4E17921F-6323-4BFF-A1E4-2256D0410496}"/>
    <cellStyle name="Normal 4 4 5 6 4" xfId="19512" xr:uid="{6303AA22-EF32-4358-AA88-584D25D64946}"/>
    <cellStyle name="Normal 4 4 5 7" xfId="4767" xr:uid="{00000000-0005-0000-0000-0000EF150000}"/>
    <cellStyle name="Normal 4 4 5 7 2" xfId="13217" xr:uid="{49D9975B-C511-4599-8A63-575BD4A340F3}"/>
    <cellStyle name="Normal 4 4 5 7 3" xfId="21664" xr:uid="{60505FBB-1F0E-4303-A35D-597B65EA551C}"/>
    <cellStyle name="Normal 4 4 5 8" xfId="8999" xr:uid="{CBB23738-15E8-4094-A5BF-D711FFEE163C}"/>
    <cellStyle name="Normal 4 4 5 9" xfId="17447" xr:uid="{BDF638CC-C818-4860-B8A9-855C097611B8}"/>
    <cellStyle name="Normal 4 4 6" xfId="853" xr:uid="{00000000-0005-0000-0000-0000F0150000}"/>
    <cellStyle name="Normal 4 4 6 2" xfId="3088" xr:uid="{00000000-0005-0000-0000-0000F1150000}"/>
    <cellStyle name="Normal 4 4 6 2 2" xfId="7310" xr:uid="{00000000-0005-0000-0000-0000F2150000}"/>
    <cellStyle name="Normal 4 4 6 2 2 2" xfId="15760" xr:uid="{F36AB890-F69E-47FF-8D39-89B42CCC9E72}"/>
    <cellStyle name="Normal 4 4 6 2 2 3" xfId="24207" xr:uid="{48B81119-7A6D-4B41-858B-353C26B02CB0}"/>
    <cellStyle name="Normal 4 4 6 2 3" xfId="11542" xr:uid="{DFA9D8D1-B9F2-4226-A430-ABA0F518179E}"/>
    <cellStyle name="Normal 4 4 6 2 4" xfId="19990" xr:uid="{6DBAE911-0132-4A40-AAF2-1A51F8B36DE3}"/>
    <cellStyle name="Normal 4 4 6 3" xfId="5165" xr:uid="{00000000-0005-0000-0000-0000F3150000}"/>
    <cellStyle name="Normal 4 4 6 3 2" xfId="13615" xr:uid="{7BF319A8-E6F5-4642-A034-6EBD852E79C9}"/>
    <cellStyle name="Normal 4 4 6 3 3" xfId="22062" xr:uid="{177C4650-D1D6-4F7C-99D9-0C2CF63495DB}"/>
    <cellStyle name="Normal 4 4 6 4" xfId="9397" xr:uid="{AD7E0300-664D-4DFA-801E-72838E3E8CF8}"/>
    <cellStyle name="Normal 4 4 6 5" xfId="17845" xr:uid="{4843BCE9-8393-41EA-939C-301D3AFC4D1E}"/>
    <cellStyle name="Normal 4 4 7" xfId="1271" xr:uid="{00000000-0005-0000-0000-0000F4150000}"/>
    <cellStyle name="Normal 4 4 7 2" xfId="3501" xr:uid="{00000000-0005-0000-0000-0000F5150000}"/>
    <cellStyle name="Normal 4 4 7 2 2" xfId="7723" xr:uid="{00000000-0005-0000-0000-0000F6150000}"/>
    <cellStyle name="Normal 4 4 7 2 2 2" xfId="16173" xr:uid="{B4C508EB-D984-4E33-A4A5-5E5B13CCAF11}"/>
    <cellStyle name="Normal 4 4 7 2 2 3" xfId="24620" xr:uid="{3946769F-EAAB-4CEF-A559-315B5B248B64}"/>
    <cellStyle name="Normal 4 4 7 2 3" xfId="11955" xr:uid="{9EB8C617-8737-4A26-9C6D-712BE5F677B7}"/>
    <cellStyle name="Normal 4 4 7 2 4" xfId="20403" xr:uid="{BC7EEE48-D8F5-4129-B331-00A2186334D8}"/>
    <cellStyle name="Normal 4 4 7 3" xfId="5578" xr:uid="{00000000-0005-0000-0000-0000F7150000}"/>
    <cellStyle name="Normal 4 4 7 3 2" xfId="14028" xr:uid="{586371D4-E728-4C08-82C0-FFB8896A09A9}"/>
    <cellStyle name="Normal 4 4 7 3 3" xfId="22475" xr:uid="{EADD4B1F-9C7E-4F5F-92B8-2AB5D475393F}"/>
    <cellStyle name="Normal 4 4 7 4" xfId="9810" xr:uid="{36A58311-30E3-4B3F-84F7-62B6B745E7C4}"/>
    <cellStyle name="Normal 4 4 7 5" xfId="18258" xr:uid="{F03C23B3-B561-4A67-A7C9-AF4F47D73A20}"/>
    <cellStyle name="Normal 4 4 8" xfId="1684" xr:uid="{00000000-0005-0000-0000-0000F8150000}"/>
    <cellStyle name="Normal 4 4 8 2" xfId="3914" xr:uid="{00000000-0005-0000-0000-0000F9150000}"/>
    <cellStyle name="Normal 4 4 8 2 2" xfId="8136" xr:uid="{00000000-0005-0000-0000-0000FA150000}"/>
    <cellStyle name="Normal 4 4 8 2 2 2" xfId="16586" xr:uid="{CB440492-55DA-4736-A5D6-706B717D3E89}"/>
    <cellStyle name="Normal 4 4 8 2 2 3" xfId="25033" xr:uid="{F2F44FDE-F9AB-4FB5-9239-F0C852CC3349}"/>
    <cellStyle name="Normal 4 4 8 2 3" xfId="12368" xr:uid="{051034DD-B1E0-4AE6-90E0-038D88FF51CA}"/>
    <cellStyle name="Normal 4 4 8 2 4" xfId="20816" xr:uid="{FC0A03F7-01F3-4DD1-B4C8-3139EC7D542A}"/>
    <cellStyle name="Normal 4 4 8 3" xfId="5991" xr:uid="{00000000-0005-0000-0000-0000FB150000}"/>
    <cellStyle name="Normal 4 4 8 3 2" xfId="14441" xr:uid="{F47AD486-0488-4FF6-9322-0FF52673B2DD}"/>
    <cellStyle name="Normal 4 4 8 3 3" xfId="22888" xr:uid="{407F5D1E-F000-44DF-8447-4422F921C1FD}"/>
    <cellStyle name="Normal 4 4 8 4" xfId="10223" xr:uid="{C589E4FA-96A4-4733-9992-36EA53751013}"/>
    <cellStyle name="Normal 4 4 8 5" xfId="18671" xr:uid="{BF073935-2C93-42C5-8AEE-853E9F6E5C09}"/>
    <cellStyle name="Normal 4 4 9" xfId="2098" xr:uid="{00000000-0005-0000-0000-0000FC150000}"/>
    <cellStyle name="Normal 4 4 9 2" xfId="4327" xr:uid="{00000000-0005-0000-0000-0000FD150000}"/>
    <cellStyle name="Normal 4 4 9 2 2" xfId="8549" xr:uid="{00000000-0005-0000-0000-0000FE150000}"/>
    <cellStyle name="Normal 4 4 9 2 2 2" xfId="16999" xr:uid="{F80A8F8C-3936-4919-9E15-3DE44FAC8CDC}"/>
    <cellStyle name="Normal 4 4 9 2 2 3" xfId="25446" xr:uid="{85483A59-2324-486F-AC58-EB1854FE837E}"/>
    <cellStyle name="Normal 4 4 9 2 3" xfId="12781" xr:uid="{02390459-7E2E-4E7E-BE19-42345656F223}"/>
    <cellStyle name="Normal 4 4 9 2 4" xfId="21229" xr:uid="{43DB5B07-8771-4680-A239-803F35F40B6E}"/>
    <cellStyle name="Normal 4 4 9 3" xfId="6404" xr:uid="{00000000-0005-0000-0000-0000FF150000}"/>
    <cellStyle name="Normal 4 4 9 3 2" xfId="14854" xr:uid="{CE27C61C-80F6-49C9-B7E1-DC6D1A1203FC}"/>
    <cellStyle name="Normal 4 4 9 3 3" xfId="23301" xr:uid="{F40F27CD-8F7B-4B11-B440-8B83EF1B4335}"/>
    <cellStyle name="Normal 4 4 9 4" xfId="10636" xr:uid="{8933031D-77B3-48FC-A74F-ED47941CA770}"/>
    <cellStyle name="Normal 4 4 9 5" xfId="19084" xr:uid="{C9A4EB6A-1F0B-4FB8-8ABE-D7A2071146EE}"/>
    <cellStyle name="Normal 4 5" xfId="394" xr:uid="{00000000-0005-0000-0000-000000160000}"/>
    <cellStyle name="Normal 4 6" xfId="395" xr:uid="{00000000-0005-0000-0000-000001160000}"/>
    <cellStyle name="Normal 4 6 10" xfId="4768" xr:uid="{00000000-0005-0000-0000-000002160000}"/>
    <cellStyle name="Normal 4 6 10 2" xfId="13218" xr:uid="{38317439-4219-41F3-809F-5F4151DD8A82}"/>
    <cellStyle name="Normal 4 6 10 3" xfId="21665" xr:uid="{B9E7B1E0-D9DA-45D3-A0FF-1BF90236EFEF}"/>
    <cellStyle name="Normal 4 6 11" xfId="9000" xr:uid="{5D170DBC-AC74-426E-9B2D-8A2C23EB2C78}"/>
    <cellStyle name="Normal 4 6 12" xfId="17448" xr:uid="{BE3EF366-2759-40BA-899D-59140AB11B9D}"/>
    <cellStyle name="Normal 4 6 2" xfId="396" xr:uid="{00000000-0005-0000-0000-000003160000}"/>
    <cellStyle name="Normal 4 6 2 10" xfId="9001" xr:uid="{824E35B4-013D-4154-A9AA-9FE70011C25F}"/>
    <cellStyle name="Normal 4 6 2 11" xfId="17449" xr:uid="{8E4C7ABC-921E-41CA-9C0C-9708F2B2A802}"/>
    <cellStyle name="Normal 4 6 2 2" xfId="397" xr:uid="{00000000-0005-0000-0000-000004160000}"/>
    <cellStyle name="Normal 4 6 2 2 10" xfId="17450" xr:uid="{4E270FD0-E959-4E16-ACE1-11EA04FC1BF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D3CA2494-D83D-44BE-964B-F341D3B02828}"/>
    <cellStyle name="Normal 4 6 2 2 2 2 2 2 3" xfId="24226" xr:uid="{5CF781E6-23FE-4691-B5EC-B6F82F8E2F93}"/>
    <cellStyle name="Normal 4 6 2 2 2 2 2 3" xfId="11561" xr:uid="{F0B7D9BF-8061-442E-B0A9-FB17412D6584}"/>
    <cellStyle name="Normal 4 6 2 2 2 2 2 4" xfId="20009" xr:uid="{9559AEC6-E3A7-4120-8EE8-E03BC284F7EA}"/>
    <cellStyle name="Normal 4 6 2 2 2 2 3" xfId="5184" xr:uid="{00000000-0005-0000-0000-000009160000}"/>
    <cellStyle name="Normal 4 6 2 2 2 2 3 2" xfId="13634" xr:uid="{C673D5FA-2918-4800-BA76-E66EF6A76DB2}"/>
    <cellStyle name="Normal 4 6 2 2 2 2 3 3" xfId="22081" xr:uid="{032F7E27-828B-4833-91F6-4A3304674374}"/>
    <cellStyle name="Normal 4 6 2 2 2 2 4" xfId="9416" xr:uid="{5A1CE4EC-C0A3-4288-8CE6-F0D37C9617F1}"/>
    <cellStyle name="Normal 4 6 2 2 2 2 5" xfId="17864" xr:uid="{C90C8399-E5A3-4B0C-9C13-8C607295B4B7}"/>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1DE1A6D1-EA72-4724-B76F-E084D0C9EDCA}"/>
    <cellStyle name="Normal 4 6 2 2 2 3 2 2 3" xfId="24639" xr:uid="{81506482-CECC-43C2-9178-31582D65C279}"/>
    <cellStyle name="Normal 4 6 2 2 2 3 2 3" xfId="11974" xr:uid="{7FB44B08-94B1-4F00-9E57-CCD39E7B6F70}"/>
    <cellStyle name="Normal 4 6 2 2 2 3 2 4" xfId="20422" xr:uid="{DF676D8C-40D4-4DEB-9CDE-92620F56B2CF}"/>
    <cellStyle name="Normal 4 6 2 2 2 3 3" xfId="5597" xr:uid="{00000000-0005-0000-0000-00000D160000}"/>
    <cellStyle name="Normal 4 6 2 2 2 3 3 2" xfId="14047" xr:uid="{2DF867EE-40DD-4B4B-900B-2EA5CD0F014F}"/>
    <cellStyle name="Normal 4 6 2 2 2 3 3 3" xfId="22494" xr:uid="{39491B2C-7CE5-44B8-A1A4-B66D9DDEAEA4}"/>
    <cellStyle name="Normal 4 6 2 2 2 3 4" xfId="9829" xr:uid="{AEED475F-9B25-4E45-A3C4-A5CECAC6D7D7}"/>
    <cellStyle name="Normal 4 6 2 2 2 3 5" xfId="18277" xr:uid="{E7BBBEC2-23A9-405B-AA11-19A11902960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79816D7C-5A19-408B-9714-DE61274704A9}"/>
    <cellStyle name="Normal 4 6 2 2 2 4 2 2 3" xfId="25052" xr:uid="{0FADC4F1-8F31-4B18-B5F0-1744C983E12D}"/>
    <cellStyle name="Normal 4 6 2 2 2 4 2 3" xfId="12387" xr:uid="{F837594F-9DED-46BC-B150-165E0EE5D87C}"/>
    <cellStyle name="Normal 4 6 2 2 2 4 2 4" xfId="20835" xr:uid="{A41B3EF6-CF02-4150-9BE8-8BE6B2BEC18A}"/>
    <cellStyle name="Normal 4 6 2 2 2 4 3" xfId="6010" xr:uid="{00000000-0005-0000-0000-000011160000}"/>
    <cellStyle name="Normal 4 6 2 2 2 4 3 2" xfId="14460" xr:uid="{85783666-9099-4429-9D99-81ADB9868589}"/>
    <cellStyle name="Normal 4 6 2 2 2 4 3 3" xfId="22907" xr:uid="{8BFEFB78-6150-4AEF-BCD0-834D44A4B668}"/>
    <cellStyle name="Normal 4 6 2 2 2 4 4" xfId="10242" xr:uid="{90B33F3C-19C0-408C-B2DF-DF0201561577}"/>
    <cellStyle name="Normal 4 6 2 2 2 4 5" xfId="18690" xr:uid="{F1574B81-F545-428D-AEA6-E8D7E5EB0085}"/>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1F4FC751-C8E1-4326-B93D-F61B2FF43827}"/>
    <cellStyle name="Normal 4 6 2 2 2 5 2 2 3" xfId="25465" xr:uid="{117F687E-E22A-41F5-B88F-0946B9C7D4AD}"/>
    <cellStyle name="Normal 4 6 2 2 2 5 2 3" xfId="12800" xr:uid="{91236F70-BD1D-4BED-B9B2-828107ED7D91}"/>
    <cellStyle name="Normal 4 6 2 2 2 5 2 4" xfId="21248" xr:uid="{EA7D17F9-C6B8-4685-A253-6B69DFD8FF02}"/>
    <cellStyle name="Normal 4 6 2 2 2 5 3" xfId="6423" xr:uid="{00000000-0005-0000-0000-000015160000}"/>
    <cellStyle name="Normal 4 6 2 2 2 5 3 2" xfId="14873" xr:uid="{007979EC-0A82-4DC0-A433-518708C053D3}"/>
    <cellStyle name="Normal 4 6 2 2 2 5 3 3" xfId="23320" xr:uid="{C7D74F46-D14F-49E3-922B-AC876695D99A}"/>
    <cellStyle name="Normal 4 6 2 2 2 5 4" xfId="10655" xr:uid="{3356FA0A-CD69-4B18-A87A-E6A575A58A8E}"/>
    <cellStyle name="Normal 4 6 2 2 2 5 5" xfId="19103" xr:uid="{3BDE7027-78A8-4F77-9100-C8E01C710547}"/>
    <cellStyle name="Normal 4 6 2 2 2 6" xfId="2553" xr:uid="{00000000-0005-0000-0000-000016160000}"/>
    <cellStyle name="Normal 4 6 2 2 2 6 2" xfId="6836" xr:uid="{00000000-0005-0000-0000-000017160000}"/>
    <cellStyle name="Normal 4 6 2 2 2 6 2 2" xfId="15286" xr:uid="{2EA13BA1-5C5F-4A1A-A795-5A59D28554D2}"/>
    <cellStyle name="Normal 4 6 2 2 2 6 2 3" xfId="23733" xr:uid="{E280BBA7-1294-4DC6-B5FA-84447126069F}"/>
    <cellStyle name="Normal 4 6 2 2 2 6 3" xfId="11068" xr:uid="{3BC0B023-F94D-4CB0-BF6F-F52B45380077}"/>
    <cellStyle name="Normal 4 6 2 2 2 6 4" xfId="19516" xr:uid="{92C212DB-D2D4-480D-A403-238485ECDF9D}"/>
    <cellStyle name="Normal 4 6 2 2 2 7" xfId="4771" xr:uid="{00000000-0005-0000-0000-000018160000}"/>
    <cellStyle name="Normal 4 6 2 2 2 7 2" xfId="13221" xr:uid="{9428C09D-48BE-4F81-8530-46D8EE2C358E}"/>
    <cellStyle name="Normal 4 6 2 2 2 7 3" xfId="21668" xr:uid="{1E3B7CB7-6AFF-48E0-A6C2-A8205093A33D}"/>
    <cellStyle name="Normal 4 6 2 2 2 8" xfId="9003" xr:uid="{60118836-C1E2-45AB-9234-0E14451D416D}"/>
    <cellStyle name="Normal 4 6 2 2 2 9" xfId="17451" xr:uid="{C9E8BF04-2022-4F4F-A974-C8E8A9EBDEE1}"/>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7553A9B8-E399-4C10-9065-788DC26643C8}"/>
    <cellStyle name="Normal 4 6 2 2 3 2 2 3" xfId="24225" xr:uid="{E442B40B-D088-44D3-BD0C-BA548D442256}"/>
    <cellStyle name="Normal 4 6 2 2 3 2 3" xfId="11560" xr:uid="{44396822-860A-4E93-8BF7-81460A26FB93}"/>
    <cellStyle name="Normal 4 6 2 2 3 2 4" xfId="20008" xr:uid="{B54F7CA9-C74B-4B5D-BBC7-13EBD1B643D8}"/>
    <cellStyle name="Normal 4 6 2 2 3 3" xfId="5183" xr:uid="{00000000-0005-0000-0000-00001C160000}"/>
    <cellStyle name="Normal 4 6 2 2 3 3 2" xfId="13633" xr:uid="{28E3B62F-181C-4C90-B0CB-69189DCFD640}"/>
    <cellStyle name="Normal 4 6 2 2 3 3 3" xfId="22080" xr:uid="{2EB7235C-FBED-47B7-8999-A51C876C6923}"/>
    <cellStyle name="Normal 4 6 2 2 3 4" xfId="9415" xr:uid="{B9ACCD7D-765F-43FC-97CD-188C6C21ACBF}"/>
    <cellStyle name="Normal 4 6 2 2 3 5" xfId="17863" xr:uid="{76CB7668-BB37-434C-81C6-10741902D20F}"/>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56F9BEBA-541B-4CB7-A442-37B58157D0D3}"/>
    <cellStyle name="Normal 4 6 2 2 4 2 2 3" xfId="24638" xr:uid="{BAE86852-2165-4EA8-9291-B5FFC61E3739}"/>
    <cellStyle name="Normal 4 6 2 2 4 2 3" xfId="11973" xr:uid="{7C6FA542-3664-48CB-8A06-94AE9758FDE4}"/>
    <cellStyle name="Normal 4 6 2 2 4 2 4" xfId="20421" xr:uid="{C437C56D-8581-4596-A0D7-8D7D56F11770}"/>
    <cellStyle name="Normal 4 6 2 2 4 3" xfId="5596" xr:uid="{00000000-0005-0000-0000-000020160000}"/>
    <cellStyle name="Normal 4 6 2 2 4 3 2" xfId="14046" xr:uid="{FD6D276E-EC35-4DCC-BC4F-0C39304A1087}"/>
    <cellStyle name="Normal 4 6 2 2 4 3 3" xfId="22493" xr:uid="{6B46CA24-D878-4D91-B1C1-92A76DA4B2A8}"/>
    <cellStyle name="Normal 4 6 2 2 4 4" xfId="9828" xr:uid="{CDBE888B-5A7F-452C-9BC4-32B0B9EB61F5}"/>
    <cellStyle name="Normal 4 6 2 2 4 5" xfId="18276" xr:uid="{161C936D-DFDE-484C-9895-1DF5072DB7EE}"/>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FC8B3A5A-4F1C-4EE2-BC9D-A1D25AE6188D}"/>
    <cellStyle name="Normal 4 6 2 2 5 2 2 3" xfId="25051" xr:uid="{9BB9A014-E387-4BAD-BD84-DA0CF719B342}"/>
    <cellStyle name="Normal 4 6 2 2 5 2 3" xfId="12386" xr:uid="{2CC55E84-94CE-4B1C-99B3-8702F93F9E8A}"/>
    <cellStyle name="Normal 4 6 2 2 5 2 4" xfId="20834" xr:uid="{7DCF2148-2A14-454D-A602-7147948D1357}"/>
    <cellStyle name="Normal 4 6 2 2 5 3" xfId="6009" xr:uid="{00000000-0005-0000-0000-000024160000}"/>
    <cellStyle name="Normal 4 6 2 2 5 3 2" xfId="14459" xr:uid="{9A6C1826-D5DE-4146-A912-B94E7D7B18CB}"/>
    <cellStyle name="Normal 4 6 2 2 5 3 3" xfId="22906" xr:uid="{A4AD9527-22C7-41DD-ADCE-E9B0417C258B}"/>
    <cellStyle name="Normal 4 6 2 2 5 4" xfId="10241" xr:uid="{003C0D91-1A96-4AC4-B859-BBDE2A817431}"/>
    <cellStyle name="Normal 4 6 2 2 5 5" xfId="18689" xr:uid="{60AE2BD6-5F36-40E1-8404-3876EA5B1F19}"/>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101684B3-D920-44DD-A3B7-9A9382381623}"/>
    <cellStyle name="Normal 4 6 2 2 6 2 2 3" xfId="25464" xr:uid="{8FAC4666-7602-47CE-965B-F076E5648884}"/>
    <cellStyle name="Normal 4 6 2 2 6 2 3" xfId="12799" xr:uid="{079C4D2E-901B-4F04-907D-B2589165FD8C}"/>
    <cellStyle name="Normal 4 6 2 2 6 2 4" xfId="21247" xr:uid="{262B5900-E1C3-4EC0-ADA3-16DF65D2ED3E}"/>
    <cellStyle name="Normal 4 6 2 2 6 3" xfId="6422" xr:uid="{00000000-0005-0000-0000-000028160000}"/>
    <cellStyle name="Normal 4 6 2 2 6 3 2" xfId="14872" xr:uid="{267E78D0-475F-4837-8F48-8CA3A3E27E57}"/>
    <cellStyle name="Normal 4 6 2 2 6 3 3" xfId="23319" xr:uid="{18787407-EC0B-49EA-A449-285820FFB206}"/>
    <cellStyle name="Normal 4 6 2 2 6 4" xfId="10654" xr:uid="{6234A51C-028B-4EBD-ACF9-93E3D3E09AFF}"/>
    <cellStyle name="Normal 4 6 2 2 6 5" xfId="19102" xr:uid="{428CA5BA-76CE-482B-9AD1-A32A11A86BE8}"/>
    <cellStyle name="Normal 4 6 2 2 7" xfId="2552" xr:uid="{00000000-0005-0000-0000-000029160000}"/>
    <cellStyle name="Normal 4 6 2 2 7 2" xfId="6835" xr:uid="{00000000-0005-0000-0000-00002A160000}"/>
    <cellStyle name="Normal 4 6 2 2 7 2 2" xfId="15285" xr:uid="{7AC9A4DC-92FF-4863-AD26-D68C44CC8795}"/>
    <cellStyle name="Normal 4 6 2 2 7 2 3" xfId="23732" xr:uid="{3C5FE634-9F92-4A89-BB5D-912D851D0D67}"/>
    <cellStyle name="Normal 4 6 2 2 7 3" xfId="11067" xr:uid="{5BB2EA7F-AD13-4656-9686-2DCCCDB0C38D}"/>
    <cellStyle name="Normal 4 6 2 2 7 4" xfId="19515" xr:uid="{F94227B7-656B-438C-941C-854AE73C8700}"/>
    <cellStyle name="Normal 4 6 2 2 8" xfId="4770" xr:uid="{00000000-0005-0000-0000-00002B160000}"/>
    <cellStyle name="Normal 4 6 2 2 8 2" xfId="13220" xr:uid="{0F8BCD36-ECE9-4CC7-8F66-98F6D24B6261}"/>
    <cellStyle name="Normal 4 6 2 2 8 3" xfId="21667" xr:uid="{6AEB60F8-7F83-4038-A446-965C4A824114}"/>
    <cellStyle name="Normal 4 6 2 2 9" xfId="9002" xr:uid="{1C26B6AC-5D0C-443E-A4FE-A1F992E59519}"/>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198BD88C-F2CD-494B-92AA-6929D04C8186}"/>
    <cellStyle name="Normal 4 6 2 3 2 2 2 3" xfId="24227" xr:uid="{62E3A707-97FB-44B6-9076-B131C23C41B4}"/>
    <cellStyle name="Normal 4 6 2 3 2 2 3" xfId="11562" xr:uid="{30F6B498-08A1-4E22-A9EF-842CB40DB386}"/>
    <cellStyle name="Normal 4 6 2 3 2 2 4" xfId="20010" xr:uid="{0E266B74-2131-4EA1-8193-C6131B68D170}"/>
    <cellStyle name="Normal 4 6 2 3 2 3" xfId="5185" xr:uid="{00000000-0005-0000-0000-000030160000}"/>
    <cellStyle name="Normal 4 6 2 3 2 3 2" xfId="13635" xr:uid="{8E590DF3-D98A-4094-81DB-1C2F6AF59DA0}"/>
    <cellStyle name="Normal 4 6 2 3 2 3 3" xfId="22082" xr:uid="{0E7998C1-438F-42B2-BFE1-EAEA59DDB17E}"/>
    <cellStyle name="Normal 4 6 2 3 2 4" xfId="9417" xr:uid="{30C0FEB1-6656-4C24-98BC-D1076DF3457C}"/>
    <cellStyle name="Normal 4 6 2 3 2 5" xfId="17865" xr:uid="{0B4BF7C3-9464-43F6-B466-201549D1600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F917B924-5311-4959-9AD5-0CBA61388264}"/>
    <cellStyle name="Normal 4 6 2 3 3 2 2 3" xfId="24640" xr:uid="{6EDFC05A-F45F-4557-A036-75F59B9BB1AE}"/>
    <cellStyle name="Normal 4 6 2 3 3 2 3" xfId="11975" xr:uid="{57941A02-1356-46F6-AE1E-7AB5A67ABA7D}"/>
    <cellStyle name="Normal 4 6 2 3 3 2 4" xfId="20423" xr:uid="{3BCABAAC-114F-47FD-B7FF-29A1FE59F314}"/>
    <cellStyle name="Normal 4 6 2 3 3 3" xfId="5598" xr:uid="{00000000-0005-0000-0000-000034160000}"/>
    <cellStyle name="Normal 4 6 2 3 3 3 2" xfId="14048" xr:uid="{12C20174-1AFA-4461-BC3E-6E5CA82F523B}"/>
    <cellStyle name="Normal 4 6 2 3 3 3 3" xfId="22495" xr:uid="{DC574610-F5D7-47FA-A741-A3AB0863A235}"/>
    <cellStyle name="Normal 4 6 2 3 3 4" xfId="9830" xr:uid="{10E6841D-D9C3-495F-885B-33751E30B4DB}"/>
    <cellStyle name="Normal 4 6 2 3 3 5" xfId="18278" xr:uid="{D695D6D7-43D8-4932-870C-4929AC81EEE5}"/>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59C7164A-C1A3-4F2B-9400-4F84B927EE6D}"/>
    <cellStyle name="Normal 4 6 2 3 4 2 2 3" xfId="25053" xr:uid="{90770EEB-F8FA-42FA-AC27-1FA09F257A7F}"/>
    <cellStyle name="Normal 4 6 2 3 4 2 3" xfId="12388" xr:uid="{10F715B9-61A0-4297-97FF-DC04C4522054}"/>
    <cellStyle name="Normal 4 6 2 3 4 2 4" xfId="20836" xr:uid="{4500E6FC-D144-4068-85A9-307E46BEFDB0}"/>
    <cellStyle name="Normal 4 6 2 3 4 3" xfId="6011" xr:uid="{00000000-0005-0000-0000-000038160000}"/>
    <cellStyle name="Normal 4 6 2 3 4 3 2" xfId="14461" xr:uid="{07D37895-D246-450E-9AC9-C8B4E1CC4E71}"/>
    <cellStyle name="Normal 4 6 2 3 4 3 3" xfId="22908" xr:uid="{C12FC36E-C186-49DC-BAA7-A84454F6F131}"/>
    <cellStyle name="Normal 4 6 2 3 4 4" xfId="10243" xr:uid="{E4918F99-0F5B-41D2-9DA6-0795C7B5EE45}"/>
    <cellStyle name="Normal 4 6 2 3 4 5" xfId="18691" xr:uid="{5B4071AB-57BA-4943-AAFD-0CCB74DDC85C}"/>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AC21CEB5-EC5B-4E83-81D1-64AE59A87F13}"/>
    <cellStyle name="Normal 4 6 2 3 5 2 2 3" xfId="25466" xr:uid="{307CFA7C-9A47-4882-B2B2-F17E00445001}"/>
    <cellStyle name="Normal 4 6 2 3 5 2 3" xfId="12801" xr:uid="{7955A967-FBC6-449D-9A0D-9D676FE60040}"/>
    <cellStyle name="Normal 4 6 2 3 5 2 4" xfId="21249" xr:uid="{EA38DF10-3E0C-4E67-80F2-38C379E8CACE}"/>
    <cellStyle name="Normal 4 6 2 3 5 3" xfId="6424" xr:uid="{00000000-0005-0000-0000-00003C160000}"/>
    <cellStyle name="Normal 4 6 2 3 5 3 2" xfId="14874" xr:uid="{36F72AD5-2A7B-4DFC-9CD5-1EEAC9A3604E}"/>
    <cellStyle name="Normal 4 6 2 3 5 3 3" xfId="23321" xr:uid="{0D4B424D-7D91-4D65-BA2B-469007B85EA4}"/>
    <cellStyle name="Normal 4 6 2 3 5 4" xfId="10656" xr:uid="{0856D514-E774-4B78-8CF9-E2AA2E89087E}"/>
    <cellStyle name="Normal 4 6 2 3 5 5" xfId="19104" xr:uid="{1C7FB754-7DFF-4994-9C2C-083310E84C79}"/>
    <cellStyle name="Normal 4 6 2 3 6" xfId="2554" xr:uid="{00000000-0005-0000-0000-00003D160000}"/>
    <cellStyle name="Normal 4 6 2 3 6 2" xfId="6837" xr:uid="{00000000-0005-0000-0000-00003E160000}"/>
    <cellStyle name="Normal 4 6 2 3 6 2 2" xfId="15287" xr:uid="{62825615-E4E2-4A84-9DDB-F77731587F22}"/>
    <cellStyle name="Normal 4 6 2 3 6 2 3" xfId="23734" xr:uid="{557D7205-E1E8-470F-ADA4-5E4038B376EB}"/>
    <cellStyle name="Normal 4 6 2 3 6 3" xfId="11069" xr:uid="{746DBA63-9552-4A87-8297-A323C1B25638}"/>
    <cellStyle name="Normal 4 6 2 3 6 4" xfId="19517" xr:uid="{722C6DCE-ACD0-45D4-A94E-7E7B4B2E4805}"/>
    <cellStyle name="Normal 4 6 2 3 7" xfId="4772" xr:uid="{00000000-0005-0000-0000-00003F160000}"/>
    <cellStyle name="Normal 4 6 2 3 7 2" xfId="13222" xr:uid="{9F6E8E73-D2A7-4AC0-8090-9806577F540E}"/>
    <cellStyle name="Normal 4 6 2 3 7 3" xfId="21669" xr:uid="{15868A62-1918-475F-847A-5420552C99E0}"/>
    <cellStyle name="Normal 4 6 2 3 8" xfId="9004" xr:uid="{F5F35C2A-D667-4DA4-BCA3-5516F3176F7F}"/>
    <cellStyle name="Normal 4 6 2 3 9" xfId="17452" xr:uid="{22A970BF-8158-4078-98D0-030C4F4E610A}"/>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3A6960DC-5782-420C-BC50-3C1C77290793}"/>
    <cellStyle name="Normal 4 6 2 4 2 2 3" xfId="24224" xr:uid="{F1818881-AF21-4E7B-B5A3-65427F4C0595}"/>
    <cellStyle name="Normal 4 6 2 4 2 3" xfId="11559" xr:uid="{B54F7B5D-F263-475E-8AF0-00F2A793CDA7}"/>
    <cellStyle name="Normal 4 6 2 4 2 4" xfId="20007" xr:uid="{CF243A1B-204E-4C59-A2E7-BC10C019D3C9}"/>
    <cellStyle name="Normal 4 6 2 4 3" xfId="5182" xr:uid="{00000000-0005-0000-0000-000043160000}"/>
    <cellStyle name="Normal 4 6 2 4 3 2" xfId="13632" xr:uid="{7E53E8E3-640B-4E28-BBE7-EE8D2B1AC55F}"/>
    <cellStyle name="Normal 4 6 2 4 3 3" xfId="22079" xr:uid="{B7878F12-392D-4AE6-A13C-9F3B542A470A}"/>
    <cellStyle name="Normal 4 6 2 4 4" xfId="9414" xr:uid="{4CBF63A9-CB0F-42E6-BC2F-91691E636207}"/>
    <cellStyle name="Normal 4 6 2 4 5" xfId="17862" xr:uid="{66D841A5-EC74-4238-B50D-034F5C5BF174}"/>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B62E6414-124B-4C9C-9147-D97326356342}"/>
    <cellStyle name="Normal 4 6 2 5 2 2 3" xfId="24637" xr:uid="{C249507F-1484-45E9-83DF-44BA52647E0C}"/>
    <cellStyle name="Normal 4 6 2 5 2 3" xfId="11972" xr:uid="{4D956088-EE76-4569-A055-0EDCEC801D14}"/>
    <cellStyle name="Normal 4 6 2 5 2 4" xfId="20420" xr:uid="{98429C7A-8882-4272-BB04-BAB344795E37}"/>
    <cellStyle name="Normal 4 6 2 5 3" xfId="5595" xr:uid="{00000000-0005-0000-0000-000047160000}"/>
    <cellStyle name="Normal 4 6 2 5 3 2" xfId="14045" xr:uid="{2887AA30-8969-4073-A7FC-2F6C18053EA3}"/>
    <cellStyle name="Normal 4 6 2 5 3 3" xfId="22492" xr:uid="{C39005D4-9A3E-4AE5-920B-208E901E8A6A}"/>
    <cellStyle name="Normal 4 6 2 5 4" xfId="9827" xr:uid="{95A795A5-B228-46FD-B248-627755A53632}"/>
    <cellStyle name="Normal 4 6 2 5 5" xfId="18275" xr:uid="{F5C4DA8D-4955-475E-B517-618F1285F7B9}"/>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BDEE5272-32A7-4950-8588-B80515F36BA2}"/>
    <cellStyle name="Normal 4 6 2 6 2 2 3" xfId="25050" xr:uid="{5FA8ABAA-A968-4B49-A92A-29936207F51C}"/>
    <cellStyle name="Normal 4 6 2 6 2 3" xfId="12385" xr:uid="{90941146-C25A-474E-8BF1-F51493B57AB7}"/>
    <cellStyle name="Normal 4 6 2 6 2 4" xfId="20833" xr:uid="{D406D418-08A4-4C4D-BB01-E1D18E3E647E}"/>
    <cellStyle name="Normal 4 6 2 6 3" xfId="6008" xr:uid="{00000000-0005-0000-0000-00004B160000}"/>
    <cellStyle name="Normal 4 6 2 6 3 2" xfId="14458" xr:uid="{65A88470-F525-4643-9CB6-D5713941C12A}"/>
    <cellStyle name="Normal 4 6 2 6 3 3" xfId="22905" xr:uid="{4AC9445D-8241-45EB-9E20-54AAFAF51E99}"/>
    <cellStyle name="Normal 4 6 2 6 4" xfId="10240" xr:uid="{E283D354-8542-4F38-B0E8-C070AE706FBF}"/>
    <cellStyle name="Normal 4 6 2 6 5" xfId="18688" xr:uid="{9C55D644-2DD4-4EF8-96A2-07A66CE9CF22}"/>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59B4F0B3-CA7B-403A-BB48-4B1F716F882B}"/>
    <cellStyle name="Normal 4 6 2 7 2 2 3" xfId="25463" xr:uid="{7270FCB1-4B19-475F-8ABD-CF3A1FEB54FA}"/>
    <cellStyle name="Normal 4 6 2 7 2 3" xfId="12798" xr:uid="{E96525BA-9882-4C61-A44E-9129B1E8A336}"/>
    <cellStyle name="Normal 4 6 2 7 2 4" xfId="21246" xr:uid="{C4635E47-9B90-481A-B651-25410EF00ABE}"/>
    <cellStyle name="Normal 4 6 2 7 3" xfId="6421" xr:uid="{00000000-0005-0000-0000-00004F160000}"/>
    <cellStyle name="Normal 4 6 2 7 3 2" xfId="14871" xr:uid="{ECC6F0E5-2A60-487F-AF7F-FC2606CF0D13}"/>
    <cellStyle name="Normal 4 6 2 7 3 3" xfId="23318" xr:uid="{721D74D9-6293-482A-A352-ADD3670ED204}"/>
    <cellStyle name="Normal 4 6 2 7 4" xfId="10653" xr:uid="{A38EA277-DEC8-46DE-9EFA-738263161A0B}"/>
    <cellStyle name="Normal 4 6 2 7 5" xfId="19101" xr:uid="{910556A2-2027-48BD-83B7-5052CFD29044}"/>
    <cellStyle name="Normal 4 6 2 8" xfId="2551" xr:uid="{00000000-0005-0000-0000-000050160000}"/>
    <cellStyle name="Normal 4 6 2 8 2" xfId="6834" xr:uid="{00000000-0005-0000-0000-000051160000}"/>
    <cellStyle name="Normal 4 6 2 8 2 2" xfId="15284" xr:uid="{A9285708-07C8-4444-B7C3-F8A23BE9C0D9}"/>
    <cellStyle name="Normal 4 6 2 8 2 3" xfId="23731" xr:uid="{F12B818D-70D2-4535-AA81-3304F2865CDF}"/>
    <cellStyle name="Normal 4 6 2 8 3" xfId="11066" xr:uid="{30DBD752-1DE3-4662-949E-EA77D42A9205}"/>
    <cellStyle name="Normal 4 6 2 8 4" xfId="19514" xr:uid="{2EE76967-3D4D-4B73-83D7-A520991CD572}"/>
    <cellStyle name="Normal 4 6 2 9" xfId="4769" xr:uid="{00000000-0005-0000-0000-000052160000}"/>
    <cellStyle name="Normal 4 6 2 9 2" xfId="13219" xr:uid="{CA19CF6F-6705-4459-8992-1AEB9443FCD8}"/>
    <cellStyle name="Normal 4 6 2 9 3" xfId="21666" xr:uid="{162523D7-7076-44B4-AEED-607FDA262C5E}"/>
    <cellStyle name="Normal 4 6 3" xfId="400" xr:uid="{00000000-0005-0000-0000-000053160000}"/>
    <cellStyle name="Normal 4 6 3 10" xfId="17453" xr:uid="{2194EF9A-705C-45D1-B966-820697698B6D}"/>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215054D2-DC0C-4AF7-974F-6CE671659E01}"/>
    <cellStyle name="Normal 4 6 3 2 2 2 2 3" xfId="24229" xr:uid="{0627DBC0-9615-4F05-BE3A-99FEB81BB382}"/>
    <cellStyle name="Normal 4 6 3 2 2 2 3" xfId="11564" xr:uid="{08D2FC16-1498-4541-B0B1-04681D097565}"/>
    <cellStyle name="Normal 4 6 3 2 2 2 4" xfId="20012" xr:uid="{E1576A18-D7AB-4A51-85C2-1E3D6101945E}"/>
    <cellStyle name="Normal 4 6 3 2 2 3" xfId="5187" xr:uid="{00000000-0005-0000-0000-000058160000}"/>
    <cellStyle name="Normal 4 6 3 2 2 3 2" xfId="13637" xr:uid="{FD0C453A-EFEE-497F-811F-D25F190A9B38}"/>
    <cellStyle name="Normal 4 6 3 2 2 3 3" xfId="22084" xr:uid="{CDD82BE9-4EAB-41E9-8A22-1040429FA004}"/>
    <cellStyle name="Normal 4 6 3 2 2 4" xfId="9419" xr:uid="{F191A90F-0DD8-4DBD-882C-9E08DDF5F188}"/>
    <cellStyle name="Normal 4 6 3 2 2 5" xfId="17867" xr:uid="{D2E2D9FF-ABC2-415F-A0AB-6289C9EE956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9D6425E1-2A3C-498A-A44F-09334312DB9D}"/>
    <cellStyle name="Normal 4 6 3 2 3 2 2 3" xfId="24642" xr:uid="{637269A4-A06E-4AB7-851A-6FCCE29B80A3}"/>
    <cellStyle name="Normal 4 6 3 2 3 2 3" xfId="11977" xr:uid="{CE19DF88-27CF-44CD-A0DB-80F0AD8EEA1C}"/>
    <cellStyle name="Normal 4 6 3 2 3 2 4" xfId="20425" xr:uid="{236F80C2-7310-48F5-8FD2-7E11B9AA3A40}"/>
    <cellStyle name="Normal 4 6 3 2 3 3" xfId="5600" xr:uid="{00000000-0005-0000-0000-00005C160000}"/>
    <cellStyle name="Normal 4 6 3 2 3 3 2" xfId="14050" xr:uid="{BDDF668D-3DFB-4476-9715-7388423207A0}"/>
    <cellStyle name="Normal 4 6 3 2 3 3 3" xfId="22497" xr:uid="{4A6B6765-DDC0-4A5C-A4B6-E777CB65906A}"/>
    <cellStyle name="Normal 4 6 3 2 3 4" xfId="9832" xr:uid="{67D40AB0-7290-4061-911E-A845AA109B75}"/>
    <cellStyle name="Normal 4 6 3 2 3 5" xfId="18280" xr:uid="{B9DEFD6C-446A-4905-9D42-3850C2749A6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C74E70F6-FF43-49A5-97CC-4258FE01DD4C}"/>
    <cellStyle name="Normal 4 6 3 2 4 2 2 3" xfId="25055" xr:uid="{720E1098-6E23-4A55-AB9A-77CE812DDF41}"/>
    <cellStyle name="Normal 4 6 3 2 4 2 3" xfId="12390" xr:uid="{AE1C3330-0148-4478-81CD-E69BB11796D1}"/>
    <cellStyle name="Normal 4 6 3 2 4 2 4" xfId="20838" xr:uid="{3D56C910-FF51-44B5-B427-8987870F9A74}"/>
    <cellStyle name="Normal 4 6 3 2 4 3" xfId="6013" xr:uid="{00000000-0005-0000-0000-000060160000}"/>
    <cellStyle name="Normal 4 6 3 2 4 3 2" xfId="14463" xr:uid="{CF362BE6-9649-4309-B272-8D10C7CB41ED}"/>
    <cellStyle name="Normal 4 6 3 2 4 3 3" xfId="22910" xr:uid="{F05F4430-7FAC-403E-ACEE-2A1BA273130A}"/>
    <cellStyle name="Normal 4 6 3 2 4 4" xfId="10245" xr:uid="{C2595307-F901-4BEE-9CFF-9CE3003ECF62}"/>
    <cellStyle name="Normal 4 6 3 2 4 5" xfId="18693" xr:uid="{1ADF63D7-85F0-459A-9347-0DD3EC7174BC}"/>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4DC8B348-61E6-4841-B493-5CEC3C8FB271}"/>
    <cellStyle name="Normal 4 6 3 2 5 2 2 3" xfId="25468" xr:uid="{2D032B4E-2E63-4513-9EC2-8F78C93F4930}"/>
    <cellStyle name="Normal 4 6 3 2 5 2 3" xfId="12803" xr:uid="{100E9D1C-FDAA-40C0-951C-6DD5E150C5A6}"/>
    <cellStyle name="Normal 4 6 3 2 5 2 4" xfId="21251" xr:uid="{8F486A2A-49C6-4CF5-A4D8-F56BB2690DDC}"/>
    <cellStyle name="Normal 4 6 3 2 5 3" xfId="6426" xr:uid="{00000000-0005-0000-0000-000064160000}"/>
    <cellStyle name="Normal 4 6 3 2 5 3 2" xfId="14876" xr:uid="{35F6E55E-EED0-4B1E-983D-93045E4DDDBA}"/>
    <cellStyle name="Normal 4 6 3 2 5 3 3" xfId="23323" xr:uid="{B00A31E5-2D3F-47B1-B252-5B0CCEAFF083}"/>
    <cellStyle name="Normal 4 6 3 2 5 4" xfId="10658" xr:uid="{F8DDF571-3B52-45D3-BFCD-B9543649CD21}"/>
    <cellStyle name="Normal 4 6 3 2 5 5" xfId="19106" xr:uid="{2C1BF180-8675-4AB7-8F19-6B6515594091}"/>
    <cellStyle name="Normal 4 6 3 2 6" xfId="2556" xr:uid="{00000000-0005-0000-0000-000065160000}"/>
    <cellStyle name="Normal 4 6 3 2 6 2" xfId="6839" xr:uid="{00000000-0005-0000-0000-000066160000}"/>
    <cellStyle name="Normal 4 6 3 2 6 2 2" xfId="15289" xr:uid="{EB2A6A2E-DF96-4751-82A0-C7D0DA6A7BD3}"/>
    <cellStyle name="Normal 4 6 3 2 6 2 3" xfId="23736" xr:uid="{2CF63F26-2321-4256-84E3-5EAD0D915887}"/>
    <cellStyle name="Normal 4 6 3 2 6 3" xfId="11071" xr:uid="{50CAE958-D369-481A-9162-D327475F26FF}"/>
    <cellStyle name="Normal 4 6 3 2 6 4" xfId="19519" xr:uid="{4A5EBA90-DAEB-499B-9641-860AE7091398}"/>
    <cellStyle name="Normal 4 6 3 2 7" xfId="4774" xr:uid="{00000000-0005-0000-0000-000067160000}"/>
    <cellStyle name="Normal 4 6 3 2 7 2" xfId="13224" xr:uid="{47B43F04-6728-4755-9EA1-F1CC794AF74E}"/>
    <cellStyle name="Normal 4 6 3 2 7 3" xfId="21671" xr:uid="{10E17B7C-4846-4FF1-90C4-AD3A462FF378}"/>
    <cellStyle name="Normal 4 6 3 2 8" xfId="9006" xr:uid="{7EFE9001-0BD9-4BE5-9977-64C412B5BD60}"/>
    <cellStyle name="Normal 4 6 3 2 9" xfId="17454" xr:uid="{26AB538B-AF37-41EE-87B0-C3E0D40FD9CE}"/>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395BF3EC-75D9-4720-9399-60766DF39DD9}"/>
    <cellStyle name="Normal 4 6 3 3 2 2 3" xfId="24228" xr:uid="{B861D4B4-D320-4A99-9C01-B8E4FF3A58BE}"/>
    <cellStyle name="Normal 4 6 3 3 2 3" xfId="11563" xr:uid="{13BC4613-F75A-463A-AFD5-218554A28214}"/>
    <cellStyle name="Normal 4 6 3 3 2 4" xfId="20011" xr:uid="{905C9231-B13A-48E8-A65D-5A57A2E01E17}"/>
    <cellStyle name="Normal 4 6 3 3 3" xfId="5186" xr:uid="{00000000-0005-0000-0000-00006B160000}"/>
    <cellStyle name="Normal 4 6 3 3 3 2" xfId="13636" xr:uid="{60ED14B2-5FC3-43D3-A653-AD577939E3CE}"/>
    <cellStyle name="Normal 4 6 3 3 3 3" xfId="22083" xr:uid="{DF1A32BC-B51D-45D2-9744-5300C5CA7871}"/>
    <cellStyle name="Normal 4 6 3 3 4" xfId="9418" xr:uid="{50865B63-892D-411D-968E-EF89E6822A89}"/>
    <cellStyle name="Normal 4 6 3 3 5" xfId="17866" xr:uid="{615A1F07-0510-4A90-8D1A-16811D5944F2}"/>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744FA47C-603B-4FD7-8BD4-747A1F6DE1BB}"/>
    <cellStyle name="Normal 4 6 3 4 2 2 3" xfId="24641" xr:uid="{9599D490-A342-445D-BF84-4E1009AA814A}"/>
    <cellStyle name="Normal 4 6 3 4 2 3" xfId="11976" xr:uid="{D96D0F45-72F8-4A36-9E60-F9D86CBC09A2}"/>
    <cellStyle name="Normal 4 6 3 4 2 4" xfId="20424" xr:uid="{40DE4593-B55C-42B5-AD3F-1EEEF048E3CF}"/>
    <cellStyle name="Normal 4 6 3 4 3" xfId="5599" xr:uid="{00000000-0005-0000-0000-00006F160000}"/>
    <cellStyle name="Normal 4 6 3 4 3 2" xfId="14049" xr:uid="{BEEA3D1D-B2CC-4EA2-AC4C-B1998A68B01D}"/>
    <cellStyle name="Normal 4 6 3 4 3 3" xfId="22496" xr:uid="{63678720-9ADF-4CE9-8428-C1375CBC4861}"/>
    <cellStyle name="Normal 4 6 3 4 4" xfId="9831" xr:uid="{53E22F4A-D46C-4289-9223-BDAB7C749066}"/>
    <cellStyle name="Normal 4 6 3 4 5" xfId="18279" xr:uid="{8115557E-B80D-4127-AB38-639480F1210E}"/>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F2C40B67-337D-4007-AF85-874AEB49E670}"/>
    <cellStyle name="Normal 4 6 3 5 2 2 3" xfId="25054" xr:uid="{117DAF9A-EC54-4454-9850-42391B98D117}"/>
    <cellStyle name="Normal 4 6 3 5 2 3" xfId="12389" xr:uid="{1BD116C3-4686-4B1D-9E74-299CC772D6EB}"/>
    <cellStyle name="Normal 4 6 3 5 2 4" xfId="20837" xr:uid="{CC430505-2140-4AE4-9D9B-3971EC7FAF18}"/>
    <cellStyle name="Normal 4 6 3 5 3" xfId="6012" xr:uid="{00000000-0005-0000-0000-000073160000}"/>
    <cellStyle name="Normal 4 6 3 5 3 2" xfId="14462" xr:uid="{2F4622D8-1C07-4D44-9F8F-E15285C9A025}"/>
    <cellStyle name="Normal 4 6 3 5 3 3" xfId="22909" xr:uid="{3A30E859-D768-456B-BCF0-061D55DFEE80}"/>
    <cellStyle name="Normal 4 6 3 5 4" xfId="10244" xr:uid="{B64FF581-1254-4AF0-B1F8-9266F4ED2746}"/>
    <cellStyle name="Normal 4 6 3 5 5" xfId="18692" xr:uid="{2F992D75-9B74-40E6-AC88-705EF9AC544A}"/>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076B2DB1-352E-4FF2-A95C-1E0EAC964BC4}"/>
    <cellStyle name="Normal 4 6 3 6 2 2 3" xfId="25467" xr:uid="{3D993E4B-F869-440A-829F-19A37A87A748}"/>
    <cellStyle name="Normal 4 6 3 6 2 3" xfId="12802" xr:uid="{ED215EA3-66D8-48BC-A5C2-B75FFF3B139E}"/>
    <cellStyle name="Normal 4 6 3 6 2 4" xfId="21250" xr:uid="{903DDCC9-CB0F-41E7-9EF7-92FBF68F669F}"/>
    <cellStyle name="Normal 4 6 3 6 3" xfId="6425" xr:uid="{00000000-0005-0000-0000-000077160000}"/>
    <cellStyle name="Normal 4 6 3 6 3 2" xfId="14875" xr:uid="{C3380CE7-20D1-4992-A54A-2148A8467224}"/>
    <cellStyle name="Normal 4 6 3 6 3 3" xfId="23322" xr:uid="{FB8B3AAF-53AD-460B-9066-259171DE67FD}"/>
    <cellStyle name="Normal 4 6 3 6 4" xfId="10657" xr:uid="{1C257054-03DB-402C-A625-9A10370F5FAD}"/>
    <cellStyle name="Normal 4 6 3 6 5" xfId="19105" xr:uid="{BCB1DA21-60F1-4E53-A990-E6BA9BB8B202}"/>
    <cellStyle name="Normal 4 6 3 7" xfId="2555" xr:uid="{00000000-0005-0000-0000-000078160000}"/>
    <cellStyle name="Normal 4 6 3 7 2" xfId="6838" xr:uid="{00000000-0005-0000-0000-000079160000}"/>
    <cellStyle name="Normal 4 6 3 7 2 2" xfId="15288" xr:uid="{F361FECB-92BE-4355-9D80-E034AB2D9A3C}"/>
    <cellStyle name="Normal 4 6 3 7 2 3" xfId="23735" xr:uid="{B253BE58-7594-4098-B0E8-EF9424EECD7A}"/>
    <cellStyle name="Normal 4 6 3 7 3" xfId="11070" xr:uid="{4F734B34-F87A-4BBE-B0A3-87A66A815DBE}"/>
    <cellStyle name="Normal 4 6 3 7 4" xfId="19518" xr:uid="{682B4E2D-F60D-44D3-A05F-975840181D6C}"/>
    <cellStyle name="Normal 4 6 3 8" xfId="4773" xr:uid="{00000000-0005-0000-0000-00007A160000}"/>
    <cellStyle name="Normal 4 6 3 8 2" xfId="13223" xr:uid="{32C6D36D-7D32-4D79-8399-6BC43AEF75FA}"/>
    <cellStyle name="Normal 4 6 3 8 3" xfId="21670" xr:uid="{3F1359AF-53B2-4AFF-B39D-C794E3637156}"/>
    <cellStyle name="Normal 4 6 3 9" xfId="9005" xr:uid="{D05E9034-9FAB-480F-99FE-C19942EDA76E}"/>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51DE6EC8-C41E-4F4A-88DC-CFC72DF02230}"/>
    <cellStyle name="Normal 4 6 4 2 2 2 3" xfId="24230" xr:uid="{1C71EF74-FDA4-45B0-8E8A-E827903C1065}"/>
    <cellStyle name="Normal 4 6 4 2 2 3" xfId="11565" xr:uid="{0BB396C7-8752-42E4-AE7C-0A87BD79BD62}"/>
    <cellStyle name="Normal 4 6 4 2 2 4" xfId="20013" xr:uid="{CDE73A28-8963-44AA-872A-9EA91A76936E}"/>
    <cellStyle name="Normal 4 6 4 2 3" xfId="5188" xr:uid="{00000000-0005-0000-0000-00007F160000}"/>
    <cellStyle name="Normal 4 6 4 2 3 2" xfId="13638" xr:uid="{BF9DBF01-EB18-4FB6-9433-36C990CCD014}"/>
    <cellStyle name="Normal 4 6 4 2 3 3" xfId="22085" xr:uid="{796B1A53-639C-4D31-AE24-C42F1654FC1B}"/>
    <cellStyle name="Normal 4 6 4 2 4" xfId="9420" xr:uid="{AFCBB991-99FC-4CC4-82D0-3A41389E38B1}"/>
    <cellStyle name="Normal 4 6 4 2 5" xfId="17868" xr:uid="{685FAA39-FC2C-474C-9285-6BD6D0E2E592}"/>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D1EF772B-3D2A-494A-9FE6-B6866F6411EF}"/>
    <cellStyle name="Normal 4 6 4 3 2 2 3" xfId="24643" xr:uid="{FFB06771-9E50-4BD2-BF65-4D2FAA6427E4}"/>
    <cellStyle name="Normal 4 6 4 3 2 3" xfId="11978" xr:uid="{AB5A5DE2-1F03-4347-9D95-463309417F74}"/>
    <cellStyle name="Normal 4 6 4 3 2 4" xfId="20426" xr:uid="{A3A221C6-414D-4438-B746-951A7B036BA5}"/>
    <cellStyle name="Normal 4 6 4 3 3" xfId="5601" xr:uid="{00000000-0005-0000-0000-000083160000}"/>
    <cellStyle name="Normal 4 6 4 3 3 2" xfId="14051" xr:uid="{0DB7171A-ABB4-48D7-9A55-42D0AA4C134F}"/>
    <cellStyle name="Normal 4 6 4 3 3 3" xfId="22498" xr:uid="{1E05D1E4-08BB-4753-BC11-A293F4EBF0B2}"/>
    <cellStyle name="Normal 4 6 4 3 4" xfId="9833" xr:uid="{630F5C45-C3AF-4FF2-B749-846AD6B274A6}"/>
    <cellStyle name="Normal 4 6 4 3 5" xfId="18281" xr:uid="{72F1A87D-357C-4340-B3F6-CA7EA17B4A33}"/>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969740C9-B0E5-4583-B48B-533B04116700}"/>
    <cellStyle name="Normal 4 6 4 4 2 2 3" xfId="25056" xr:uid="{90FF952B-BD82-4C09-AE32-838D4AC42553}"/>
    <cellStyle name="Normal 4 6 4 4 2 3" xfId="12391" xr:uid="{7320A275-FAE6-45AD-A06A-D564844ED931}"/>
    <cellStyle name="Normal 4 6 4 4 2 4" xfId="20839" xr:uid="{D6AA8EC4-F4BF-40C1-8757-55DEA982BE08}"/>
    <cellStyle name="Normal 4 6 4 4 3" xfId="6014" xr:uid="{00000000-0005-0000-0000-000087160000}"/>
    <cellStyle name="Normal 4 6 4 4 3 2" xfId="14464" xr:uid="{AC2660AA-EFCB-495E-9DA3-1674E5B9B327}"/>
    <cellStyle name="Normal 4 6 4 4 3 3" xfId="22911" xr:uid="{4066C9C8-74C2-4E60-815E-9D063B9E3F00}"/>
    <cellStyle name="Normal 4 6 4 4 4" xfId="10246" xr:uid="{9283E4E9-4549-4EAF-8AA8-3F208838E9E8}"/>
    <cellStyle name="Normal 4 6 4 4 5" xfId="18694" xr:uid="{8FAF3CCD-9DB8-48EA-A9E5-608B873598A8}"/>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81D4C701-4BE5-4904-9F10-618136A05045}"/>
    <cellStyle name="Normal 4 6 4 5 2 2 3" xfId="25469" xr:uid="{5291141C-9AC1-4365-BED1-CAFF8ADD8873}"/>
    <cellStyle name="Normal 4 6 4 5 2 3" xfId="12804" xr:uid="{8430F45C-D3CD-46BA-AF2D-12C8DFE408AE}"/>
    <cellStyle name="Normal 4 6 4 5 2 4" xfId="21252" xr:uid="{F6ABE35A-C485-472F-804B-B08A3AC2AA22}"/>
    <cellStyle name="Normal 4 6 4 5 3" xfId="6427" xr:uid="{00000000-0005-0000-0000-00008B160000}"/>
    <cellStyle name="Normal 4 6 4 5 3 2" xfId="14877" xr:uid="{8BE5CF3A-6B8B-4B06-9414-8852491A46C1}"/>
    <cellStyle name="Normal 4 6 4 5 3 3" xfId="23324" xr:uid="{132D0A40-5CE7-4B95-A457-113FB1306DAC}"/>
    <cellStyle name="Normal 4 6 4 5 4" xfId="10659" xr:uid="{8E0E5C62-5515-4A20-9C05-D07F93AE7644}"/>
    <cellStyle name="Normal 4 6 4 5 5" xfId="19107" xr:uid="{C0CCCFB6-AF04-4538-890D-78A9795E53D4}"/>
    <cellStyle name="Normal 4 6 4 6" xfId="2557" xr:uid="{00000000-0005-0000-0000-00008C160000}"/>
    <cellStyle name="Normal 4 6 4 6 2" xfId="6840" xr:uid="{00000000-0005-0000-0000-00008D160000}"/>
    <cellStyle name="Normal 4 6 4 6 2 2" xfId="15290" xr:uid="{4AA44847-56BF-42DD-87C0-61818ACF9AD7}"/>
    <cellStyle name="Normal 4 6 4 6 2 3" xfId="23737" xr:uid="{5295B522-13F9-4366-B362-7C91E04C8E10}"/>
    <cellStyle name="Normal 4 6 4 6 3" xfId="11072" xr:uid="{CBD73945-FFB5-496F-A8FE-9C31D9E0F9A7}"/>
    <cellStyle name="Normal 4 6 4 6 4" xfId="19520" xr:uid="{D594B3F4-1E98-4E27-AFAA-675A38DBDE21}"/>
    <cellStyle name="Normal 4 6 4 7" xfId="4775" xr:uid="{00000000-0005-0000-0000-00008E160000}"/>
    <cellStyle name="Normal 4 6 4 7 2" xfId="13225" xr:uid="{02DE588C-27F1-4A32-B82D-5D5C1D4AD557}"/>
    <cellStyle name="Normal 4 6 4 7 3" xfId="21672" xr:uid="{FC489F28-5853-48E6-BF68-4D3F7C229C65}"/>
    <cellStyle name="Normal 4 6 4 8" xfId="9007" xr:uid="{BB5C1531-729D-45DF-AC8F-95E2006F5CF5}"/>
    <cellStyle name="Normal 4 6 4 9" xfId="17455" xr:uid="{979F47C0-FD10-4767-B78C-F0E2DD51E67C}"/>
    <cellStyle name="Normal 4 6 5" xfId="869" xr:uid="{00000000-0005-0000-0000-00008F160000}"/>
    <cellStyle name="Normal 4 6 5 2" xfId="3104" xr:uid="{00000000-0005-0000-0000-000090160000}"/>
    <cellStyle name="Normal 4 6 5 2 2" xfId="7326" xr:uid="{00000000-0005-0000-0000-000091160000}"/>
    <cellStyle name="Normal 4 6 5 2 2 2" xfId="15776" xr:uid="{8AA5EC5A-A671-47B1-9F4B-4540485C12B7}"/>
    <cellStyle name="Normal 4 6 5 2 2 3" xfId="24223" xr:uid="{01B18797-C60F-49A7-BB55-7A38A45AF5EF}"/>
    <cellStyle name="Normal 4 6 5 2 3" xfId="11558" xr:uid="{0FD760F7-3A94-4507-8F20-95BC0F2C371B}"/>
    <cellStyle name="Normal 4 6 5 2 4" xfId="20006" xr:uid="{F6D77BF7-4080-4A15-876A-B7ACAD2F5019}"/>
    <cellStyle name="Normal 4 6 5 3" xfId="5181" xr:uid="{00000000-0005-0000-0000-000092160000}"/>
    <cellStyle name="Normal 4 6 5 3 2" xfId="13631" xr:uid="{ADB25E74-B8E5-4B99-892E-A5784159CDF9}"/>
    <cellStyle name="Normal 4 6 5 3 3" xfId="22078" xr:uid="{0DAE3A9F-C987-41B4-B89F-964B3442A10B}"/>
    <cellStyle name="Normal 4 6 5 4" xfId="9413" xr:uid="{315C0C61-D9C2-4292-9CBD-835CCDB40314}"/>
    <cellStyle name="Normal 4 6 5 5" xfId="17861" xr:uid="{DCFF9035-8836-4DB6-913A-F501C95E056B}"/>
    <cellStyle name="Normal 4 6 6" xfId="1287" xr:uid="{00000000-0005-0000-0000-000093160000}"/>
    <cellStyle name="Normal 4 6 6 2" xfId="3517" xr:uid="{00000000-0005-0000-0000-000094160000}"/>
    <cellStyle name="Normal 4 6 6 2 2" xfId="7739" xr:uid="{00000000-0005-0000-0000-000095160000}"/>
    <cellStyle name="Normal 4 6 6 2 2 2" xfId="16189" xr:uid="{9F2265C9-1595-4E4E-9FF8-7B9C6399D8F7}"/>
    <cellStyle name="Normal 4 6 6 2 2 3" xfId="24636" xr:uid="{06AD5838-9ADA-4806-93C5-962539FD426F}"/>
    <cellStyle name="Normal 4 6 6 2 3" xfId="11971" xr:uid="{0D85E893-6009-4D8E-AC74-8A6B818E42BC}"/>
    <cellStyle name="Normal 4 6 6 2 4" xfId="20419" xr:uid="{EED6EE8F-F0BD-4179-AC35-3960E892153F}"/>
    <cellStyle name="Normal 4 6 6 3" xfId="5594" xr:uid="{00000000-0005-0000-0000-000096160000}"/>
    <cellStyle name="Normal 4 6 6 3 2" xfId="14044" xr:uid="{0F5955CE-BD0E-4018-A31B-BD2AFB7507FE}"/>
    <cellStyle name="Normal 4 6 6 3 3" xfId="22491" xr:uid="{1F8529FE-6748-441A-AC63-B8549FDC8510}"/>
    <cellStyle name="Normal 4 6 6 4" xfId="9826" xr:uid="{C703FED7-2F8E-46D1-A271-84494621326C}"/>
    <cellStyle name="Normal 4 6 6 5" xfId="18274" xr:uid="{3235A1F1-4FBE-43AD-ABBC-9BF6ABDDAD77}"/>
    <cellStyle name="Normal 4 6 7" xfId="1700" xr:uid="{00000000-0005-0000-0000-000097160000}"/>
    <cellStyle name="Normal 4 6 7 2" xfId="3930" xr:uid="{00000000-0005-0000-0000-000098160000}"/>
    <cellStyle name="Normal 4 6 7 2 2" xfId="8152" xr:uid="{00000000-0005-0000-0000-000099160000}"/>
    <cellStyle name="Normal 4 6 7 2 2 2" xfId="16602" xr:uid="{846B9587-B6BA-4A7B-A185-07A614D45991}"/>
    <cellStyle name="Normal 4 6 7 2 2 3" xfId="25049" xr:uid="{BC220A6A-4F75-4365-9BD8-C6046A072F30}"/>
    <cellStyle name="Normal 4 6 7 2 3" xfId="12384" xr:uid="{CC0588F3-1DE2-4AB7-81EA-783457D6C925}"/>
    <cellStyle name="Normal 4 6 7 2 4" xfId="20832" xr:uid="{5547907C-2D7C-49AA-AC5D-B164625D42C8}"/>
    <cellStyle name="Normal 4 6 7 3" xfId="6007" xr:uid="{00000000-0005-0000-0000-00009A160000}"/>
    <cellStyle name="Normal 4 6 7 3 2" xfId="14457" xr:uid="{7376509B-BC64-44E2-ABA9-4530CA94CE88}"/>
    <cellStyle name="Normal 4 6 7 3 3" xfId="22904" xr:uid="{97033CBF-53C1-4457-AAB0-8A8A57E963E4}"/>
    <cellStyle name="Normal 4 6 7 4" xfId="10239" xr:uid="{014F462E-243E-4CA7-BCDF-73F315CEC3A3}"/>
    <cellStyle name="Normal 4 6 7 5" xfId="18687" xr:uid="{0DC806AD-7F12-4510-82C2-13DABCE677DC}"/>
    <cellStyle name="Normal 4 6 8" xfId="2114" xr:uid="{00000000-0005-0000-0000-00009B160000}"/>
    <cellStyle name="Normal 4 6 8 2" xfId="4343" xr:uid="{00000000-0005-0000-0000-00009C160000}"/>
    <cellStyle name="Normal 4 6 8 2 2" xfId="8565" xr:uid="{00000000-0005-0000-0000-00009D160000}"/>
    <cellStyle name="Normal 4 6 8 2 2 2" xfId="17015" xr:uid="{E6086A3E-7EE3-4838-B506-1B493422EEE6}"/>
    <cellStyle name="Normal 4 6 8 2 2 3" xfId="25462" xr:uid="{BDBF2042-0148-4D3D-8C38-6452C0A816DC}"/>
    <cellStyle name="Normal 4 6 8 2 3" xfId="12797" xr:uid="{73208598-D180-486B-B587-012B2572AD3F}"/>
    <cellStyle name="Normal 4 6 8 2 4" xfId="21245" xr:uid="{6F6F8B5C-E5D4-4BB1-9DA7-1BB9DFAEB5C2}"/>
    <cellStyle name="Normal 4 6 8 3" xfId="6420" xr:uid="{00000000-0005-0000-0000-00009E160000}"/>
    <cellStyle name="Normal 4 6 8 3 2" xfId="14870" xr:uid="{A298CA4F-9C48-4270-BA6F-81B6D2B9B8A2}"/>
    <cellStyle name="Normal 4 6 8 3 3" xfId="23317" xr:uid="{A748DA23-5FD1-4A00-9870-23A1D6A1A2D5}"/>
    <cellStyle name="Normal 4 6 8 4" xfId="10652" xr:uid="{0D52D7C0-E0AF-4E5F-A47B-4402750D38B3}"/>
    <cellStyle name="Normal 4 6 8 5" xfId="19100" xr:uid="{164D845C-BAC0-47E0-8505-572EF82A3F7B}"/>
    <cellStyle name="Normal 4 6 9" xfId="2550" xr:uid="{00000000-0005-0000-0000-00009F160000}"/>
    <cellStyle name="Normal 4 6 9 2" xfId="6833" xr:uid="{00000000-0005-0000-0000-0000A0160000}"/>
    <cellStyle name="Normal 4 6 9 2 2" xfId="15283" xr:uid="{F338C6DE-EE27-410D-8578-576768A72B10}"/>
    <cellStyle name="Normal 4 6 9 2 3" xfId="23730" xr:uid="{E00532D3-6552-4506-8701-3AD774E91F34}"/>
    <cellStyle name="Normal 4 6 9 3" xfId="11065" xr:uid="{86C05E96-BAA6-4AF2-9A94-74DAA8A9AC59}"/>
    <cellStyle name="Normal 4 6 9 4" xfId="19513" xr:uid="{71A9A449-B458-4803-8E44-2AFD188A84DE}"/>
    <cellStyle name="Normal 4 7" xfId="403" xr:uid="{00000000-0005-0000-0000-0000A1160000}"/>
    <cellStyle name="Normal 4 7 10" xfId="17456" xr:uid="{B77B87F6-C904-4D9A-ABD5-E59590C0DFE8}"/>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AE464DF2-A404-4CB5-93D8-2F7A3DAB1592}"/>
    <cellStyle name="Normal 4 7 2 2 2 2 3" xfId="24232" xr:uid="{436A2440-08E5-4576-B7B8-6DB3F1D0288D}"/>
    <cellStyle name="Normal 4 7 2 2 2 3" xfId="11567" xr:uid="{69517980-CA6C-4687-8603-D017D1F4823D}"/>
    <cellStyle name="Normal 4 7 2 2 2 4" xfId="20015" xr:uid="{A648AE38-99AE-4F5B-BD01-886EFF6AB75E}"/>
    <cellStyle name="Normal 4 7 2 2 3" xfId="5190" xr:uid="{00000000-0005-0000-0000-0000A6160000}"/>
    <cellStyle name="Normal 4 7 2 2 3 2" xfId="13640" xr:uid="{B6D47514-1A47-4A33-9CE4-7C3196F377FD}"/>
    <cellStyle name="Normal 4 7 2 2 3 3" xfId="22087" xr:uid="{2F8DBE8B-A737-487C-9E65-55E01110B664}"/>
    <cellStyle name="Normal 4 7 2 2 4" xfId="9422" xr:uid="{C82E37F3-0B54-4E93-ABA2-64037CA1606B}"/>
    <cellStyle name="Normal 4 7 2 2 5" xfId="17870" xr:uid="{9707DF09-A802-47E9-90BA-A0CA07E6FF7F}"/>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06642406-D0D7-4065-B83E-28D491AF4139}"/>
    <cellStyle name="Normal 4 7 2 3 2 2 3" xfId="24645" xr:uid="{9832DB95-26D9-4A27-AD04-553E0C5F9B40}"/>
    <cellStyle name="Normal 4 7 2 3 2 3" xfId="11980" xr:uid="{879C19F1-2B7C-4A50-813B-8C7956829217}"/>
    <cellStyle name="Normal 4 7 2 3 2 4" xfId="20428" xr:uid="{3B0BCFE8-70F3-46FF-81E2-BC1534A43828}"/>
    <cellStyle name="Normal 4 7 2 3 3" xfId="5603" xr:uid="{00000000-0005-0000-0000-0000AA160000}"/>
    <cellStyle name="Normal 4 7 2 3 3 2" xfId="14053" xr:uid="{59F5E12A-8E5A-4506-B7AF-3BB8C84B859C}"/>
    <cellStyle name="Normal 4 7 2 3 3 3" xfId="22500" xr:uid="{220F8C75-5CBD-427E-B75B-78C9BC89A7A5}"/>
    <cellStyle name="Normal 4 7 2 3 4" xfId="9835" xr:uid="{D76E3A1F-3831-4928-B9FD-FBFD8773F57B}"/>
    <cellStyle name="Normal 4 7 2 3 5" xfId="18283" xr:uid="{F637D400-C86F-4168-8E4D-482965D81FC1}"/>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C4BDBDB7-062B-4EB1-9253-F00D66319152}"/>
    <cellStyle name="Normal 4 7 2 4 2 2 3" xfId="25058" xr:uid="{30E3831C-6DA2-408C-9C83-633E7FC7082B}"/>
    <cellStyle name="Normal 4 7 2 4 2 3" xfId="12393" xr:uid="{CDFE04AD-60F9-472A-8EF7-173A858C9D97}"/>
    <cellStyle name="Normal 4 7 2 4 2 4" xfId="20841" xr:uid="{593A9939-436B-4726-8056-B6C931B16BBF}"/>
    <cellStyle name="Normal 4 7 2 4 3" xfId="6016" xr:uid="{00000000-0005-0000-0000-0000AE160000}"/>
    <cellStyle name="Normal 4 7 2 4 3 2" xfId="14466" xr:uid="{B4058662-211A-42A7-BC76-58D1B30D755B}"/>
    <cellStyle name="Normal 4 7 2 4 3 3" xfId="22913" xr:uid="{74F505EF-A3F3-438A-A8FE-A2203E915ED6}"/>
    <cellStyle name="Normal 4 7 2 4 4" xfId="10248" xr:uid="{A29058BC-9698-46DF-9746-7D09D79618EF}"/>
    <cellStyle name="Normal 4 7 2 4 5" xfId="18696" xr:uid="{6937ABF0-D4E1-492B-B09E-6935B89BEBD7}"/>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7D61A57B-CE52-4AD2-A49D-E59934502434}"/>
    <cellStyle name="Normal 4 7 2 5 2 2 3" xfId="25471" xr:uid="{E103A354-7D47-4736-9CC2-D22F07F48677}"/>
    <cellStyle name="Normal 4 7 2 5 2 3" xfId="12806" xr:uid="{39443406-13F1-4627-9150-750B65A05E8A}"/>
    <cellStyle name="Normal 4 7 2 5 2 4" xfId="21254" xr:uid="{E9932325-78F8-40BD-B1EB-65796556DA46}"/>
    <cellStyle name="Normal 4 7 2 5 3" xfId="6429" xr:uid="{00000000-0005-0000-0000-0000B2160000}"/>
    <cellStyle name="Normal 4 7 2 5 3 2" xfId="14879" xr:uid="{67E0491A-F683-44CF-94B4-DFD0C7A70732}"/>
    <cellStyle name="Normal 4 7 2 5 3 3" xfId="23326" xr:uid="{E8AB8123-B43B-4734-A41B-58F0BB7BE3E6}"/>
    <cellStyle name="Normal 4 7 2 5 4" xfId="10661" xr:uid="{C5E68B42-5EC2-4F2E-98A4-6D97F78703BA}"/>
    <cellStyle name="Normal 4 7 2 5 5" xfId="19109" xr:uid="{DC52F7A7-BA44-433C-BD02-DD202E05705D}"/>
    <cellStyle name="Normal 4 7 2 6" xfId="2559" xr:uid="{00000000-0005-0000-0000-0000B3160000}"/>
    <cellStyle name="Normal 4 7 2 6 2" xfId="6842" xr:uid="{00000000-0005-0000-0000-0000B4160000}"/>
    <cellStyle name="Normal 4 7 2 6 2 2" xfId="15292" xr:uid="{C900260F-5AAD-4D7D-B4A3-2C37AE1B27CF}"/>
    <cellStyle name="Normal 4 7 2 6 2 3" xfId="23739" xr:uid="{1EB7B746-AAC6-4592-A512-CECF4DB066D5}"/>
    <cellStyle name="Normal 4 7 2 6 3" xfId="11074" xr:uid="{3C4A1C7E-AA0D-4349-A496-182551F1A1AA}"/>
    <cellStyle name="Normal 4 7 2 6 4" xfId="19522" xr:uid="{2437085E-C567-4DF3-A102-C59278B6D3A5}"/>
    <cellStyle name="Normal 4 7 2 7" xfId="4777" xr:uid="{00000000-0005-0000-0000-0000B5160000}"/>
    <cellStyle name="Normal 4 7 2 7 2" xfId="13227" xr:uid="{E6A701EE-9298-4118-8597-BB5EFB3BC53B}"/>
    <cellStyle name="Normal 4 7 2 7 3" xfId="21674" xr:uid="{27CD11CC-01F4-4A34-BBBA-11DA2ECA8868}"/>
    <cellStyle name="Normal 4 7 2 8" xfId="9009" xr:uid="{8A80CF82-3800-4544-9C8D-A238081F7C59}"/>
    <cellStyle name="Normal 4 7 2 9" xfId="17457" xr:uid="{54AAFAB6-A73E-48F3-9442-577ED02FE6D5}"/>
    <cellStyle name="Normal 4 7 3" xfId="877" xr:uid="{00000000-0005-0000-0000-0000B6160000}"/>
    <cellStyle name="Normal 4 7 3 2" xfId="3112" xr:uid="{00000000-0005-0000-0000-0000B7160000}"/>
    <cellStyle name="Normal 4 7 3 2 2" xfId="7334" xr:uid="{00000000-0005-0000-0000-0000B8160000}"/>
    <cellStyle name="Normal 4 7 3 2 2 2" xfId="15784" xr:uid="{63C20B02-88FA-424A-85D6-B83A05C06F83}"/>
    <cellStyle name="Normal 4 7 3 2 2 3" xfId="24231" xr:uid="{802E98F7-882C-495E-A0CF-B1111FEE2EA9}"/>
    <cellStyle name="Normal 4 7 3 2 3" xfId="11566" xr:uid="{BC09134B-29D6-4340-9382-E5D4BD7B3E7F}"/>
    <cellStyle name="Normal 4 7 3 2 4" xfId="20014" xr:uid="{4DEDB4ED-E940-46D7-A858-1412C9A91DE7}"/>
    <cellStyle name="Normal 4 7 3 3" xfId="5189" xr:uid="{00000000-0005-0000-0000-0000B9160000}"/>
    <cellStyle name="Normal 4 7 3 3 2" xfId="13639" xr:uid="{87D04D61-5182-44A1-93BA-1417DD06C573}"/>
    <cellStyle name="Normal 4 7 3 3 3" xfId="22086" xr:uid="{D168E871-9514-447E-AE84-B252585C1D9C}"/>
    <cellStyle name="Normal 4 7 3 4" xfId="9421" xr:uid="{5BE9A55F-4E0B-4662-9811-3E1D5976446A}"/>
    <cellStyle name="Normal 4 7 3 5" xfId="17869" xr:uid="{ADBBED41-7834-4DC2-B5AA-784C2D20E28E}"/>
    <cellStyle name="Normal 4 7 4" xfId="1295" xr:uid="{00000000-0005-0000-0000-0000BA160000}"/>
    <cellStyle name="Normal 4 7 4 2" xfId="3525" xr:uid="{00000000-0005-0000-0000-0000BB160000}"/>
    <cellStyle name="Normal 4 7 4 2 2" xfId="7747" xr:uid="{00000000-0005-0000-0000-0000BC160000}"/>
    <cellStyle name="Normal 4 7 4 2 2 2" xfId="16197" xr:uid="{829A98D2-17C3-46A3-A0FF-1C55AE505D60}"/>
    <cellStyle name="Normal 4 7 4 2 2 3" xfId="24644" xr:uid="{77309440-933A-48FF-9BE1-78F7E479649A}"/>
    <cellStyle name="Normal 4 7 4 2 3" xfId="11979" xr:uid="{EA81AB80-5314-4439-BC69-5414B6D70219}"/>
    <cellStyle name="Normal 4 7 4 2 4" xfId="20427" xr:uid="{186AD546-48B4-4E9E-A500-859AAAD347C0}"/>
    <cellStyle name="Normal 4 7 4 3" xfId="5602" xr:uid="{00000000-0005-0000-0000-0000BD160000}"/>
    <cellStyle name="Normal 4 7 4 3 2" xfId="14052" xr:uid="{65440537-EC90-4243-A12A-CDF4816EFAE9}"/>
    <cellStyle name="Normal 4 7 4 3 3" xfId="22499" xr:uid="{83A3830D-599D-459A-9D1D-2BD30978837E}"/>
    <cellStyle name="Normal 4 7 4 4" xfId="9834" xr:uid="{9422E9B7-400F-4B53-B91A-CA5EB010A260}"/>
    <cellStyle name="Normal 4 7 4 5" xfId="18282" xr:uid="{1E4E274B-2C88-40B7-BEBA-63EB35E312CB}"/>
    <cellStyle name="Normal 4 7 5" xfId="1708" xr:uid="{00000000-0005-0000-0000-0000BE160000}"/>
    <cellStyle name="Normal 4 7 5 2" xfId="3938" xr:uid="{00000000-0005-0000-0000-0000BF160000}"/>
    <cellStyle name="Normal 4 7 5 2 2" xfId="8160" xr:uid="{00000000-0005-0000-0000-0000C0160000}"/>
    <cellStyle name="Normal 4 7 5 2 2 2" xfId="16610" xr:uid="{29B60F8A-B223-4577-957A-6530016BBC96}"/>
    <cellStyle name="Normal 4 7 5 2 2 3" xfId="25057" xr:uid="{7673BCE8-E0BD-4D9C-A233-52C7126BF89A}"/>
    <cellStyle name="Normal 4 7 5 2 3" xfId="12392" xr:uid="{737952CB-BD52-4D65-85FA-BA2D431BA729}"/>
    <cellStyle name="Normal 4 7 5 2 4" xfId="20840" xr:uid="{137DB605-75F6-47DD-96FC-069AE88DF9C7}"/>
    <cellStyle name="Normal 4 7 5 3" xfId="6015" xr:uid="{00000000-0005-0000-0000-0000C1160000}"/>
    <cellStyle name="Normal 4 7 5 3 2" xfId="14465" xr:uid="{D642E47D-1EAA-4917-B413-8D4A7AE77201}"/>
    <cellStyle name="Normal 4 7 5 3 3" xfId="22912" xr:uid="{C03AFE3A-A6A4-4F32-B4DA-0218B347E489}"/>
    <cellStyle name="Normal 4 7 5 4" xfId="10247" xr:uid="{0F58426A-17E3-46ED-81C5-7BB0A1C5574B}"/>
    <cellStyle name="Normal 4 7 5 5" xfId="18695" xr:uid="{9DC8585D-79A3-433B-9F33-56AD480854CD}"/>
    <cellStyle name="Normal 4 7 6" xfId="2122" xr:uid="{00000000-0005-0000-0000-0000C2160000}"/>
    <cellStyle name="Normal 4 7 6 2" xfId="4351" xr:uid="{00000000-0005-0000-0000-0000C3160000}"/>
    <cellStyle name="Normal 4 7 6 2 2" xfId="8573" xr:uid="{00000000-0005-0000-0000-0000C4160000}"/>
    <cellStyle name="Normal 4 7 6 2 2 2" xfId="17023" xr:uid="{47A115B1-6E2F-4420-919B-39A826ABBC38}"/>
    <cellStyle name="Normal 4 7 6 2 2 3" xfId="25470" xr:uid="{53385B73-11D2-4C8E-94A1-5C90FCCCBE00}"/>
    <cellStyle name="Normal 4 7 6 2 3" xfId="12805" xr:uid="{95C5118B-431C-4D6D-BD4E-C3381C8B6F54}"/>
    <cellStyle name="Normal 4 7 6 2 4" xfId="21253" xr:uid="{1444BD12-CA5C-49B3-91D5-D6240B733D4F}"/>
    <cellStyle name="Normal 4 7 6 3" xfId="6428" xr:uid="{00000000-0005-0000-0000-0000C5160000}"/>
    <cellStyle name="Normal 4 7 6 3 2" xfId="14878" xr:uid="{519D2DF7-5B36-4FA4-8A1A-618C1A6747FC}"/>
    <cellStyle name="Normal 4 7 6 3 3" xfId="23325" xr:uid="{44E4C19B-1BA8-4847-8EFC-E69EA999F1A2}"/>
    <cellStyle name="Normal 4 7 6 4" xfId="10660" xr:uid="{BC27CB97-42EF-4D9D-8CA2-3E0168D7C2BB}"/>
    <cellStyle name="Normal 4 7 6 5" xfId="19108" xr:uid="{5A30FC86-F2EB-4B02-B527-0EA1CD3514E0}"/>
    <cellStyle name="Normal 4 7 7" xfId="2558" xr:uid="{00000000-0005-0000-0000-0000C6160000}"/>
    <cellStyle name="Normal 4 7 7 2" xfId="6841" xr:uid="{00000000-0005-0000-0000-0000C7160000}"/>
    <cellStyle name="Normal 4 7 7 2 2" xfId="15291" xr:uid="{71073432-DF61-48AF-848A-D9D0E77259CA}"/>
    <cellStyle name="Normal 4 7 7 2 3" xfId="23738" xr:uid="{9800E5E1-596E-4004-9175-D6002FBE27CC}"/>
    <cellStyle name="Normal 4 7 7 3" xfId="11073" xr:uid="{19A00D2F-6A23-42A6-91BB-E796F0132814}"/>
    <cellStyle name="Normal 4 7 7 4" xfId="19521" xr:uid="{776E1D33-700D-4050-93E6-42C330D59503}"/>
    <cellStyle name="Normal 4 7 8" xfId="4776" xr:uid="{00000000-0005-0000-0000-0000C8160000}"/>
    <cellStyle name="Normal 4 7 8 2" xfId="13226" xr:uid="{CF48D9BF-7ED8-4575-B70D-7A17ACF98A59}"/>
    <cellStyle name="Normal 4 7 8 3" xfId="21673" xr:uid="{5E414ACE-C6C8-495C-8BC0-C530A6CBF58A}"/>
    <cellStyle name="Normal 4 7 9" xfId="9008" xr:uid="{8A948142-C61A-475F-9D88-220B49E985C1}"/>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51EC9C6D-98D3-4478-B14B-3F550CC1BD03}"/>
    <cellStyle name="Normal 4 8 2 2 2 3" xfId="24233" xr:uid="{6764DF22-C6D6-4256-9A3D-BE017915BA51}"/>
    <cellStyle name="Normal 4 8 2 2 3" xfId="11568" xr:uid="{EB350C62-67F2-4EDE-9F8C-C6324A571B02}"/>
    <cellStyle name="Normal 4 8 2 2 4" xfId="20016" xr:uid="{22243646-958B-4F47-94CF-62C955707AB9}"/>
    <cellStyle name="Normal 4 8 2 3" xfId="5191" xr:uid="{00000000-0005-0000-0000-0000CD160000}"/>
    <cellStyle name="Normal 4 8 2 3 2" xfId="13641" xr:uid="{799DE990-4178-4CC4-BB1F-0297F58805F1}"/>
    <cellStyle name="Normal 4 8 2 3 3" xfId="22088" xr:uid="{3A55424B-6F3D-4FA3-9208-59059E242E75}"/>
    <cellStyle name="Normal 4 8 2 4" xfId="9423" xr:uid="{7741CEED-1DFA-411E-8219-6AB25E3AF2A5}"/>
    <cellStyle name="Normal 4 8 2 5" xfId="17871" xr:uid="{1F3BDF24-11EC-4064-8F5B-6D0835B0BC12}"/>
    <cellStyle name="Normal 4 8 3" xfId="1297" xr:uid="{00000000-0005-0000-0000-0000CE160000}"/>
    <cellStyle name="Normal 4 8 3 2" xfId="3527" xr:uid="{00000000-0005-0000-0000-0000CF160000}"/>
    <cellStyle name="Normal 4 8 3 2 2" xfId="7749" xr:uid="{00000000-0005-0000-0000-0000D0160000}"/>
    <cellStyle name="Normal 4 8 3 2 2 2" xfId="16199" xr:uid="{8B795412-43B6-4EE7-81F8-AE8D68C8AF1B}"/>
    <cellStyle name="Normal 4 8 3 2 2 3" xfId="24646" xr:uid="{15DAF25E-32AF-49D9-940C-5F1C1CE1BBC6}"/>
    <cellStyle name="Normal 4 8 3 2 3" xfId="11981" xr:uid="{1AABBC75-FC17-40CE-B7A5-61A444AAB486}"/>
    <cellStyle name="Normal 4 8 3 2 4" xfId="20429" xr:uid="{0141599B-AA37-4F7B-947A-CCFC5239DFA0}"/>
    <cellStyle name="Normal 4 8 3 3" xfId="5604" xr:uid="{00000000-0005-0000-0000-0000D1160000}"/>
    <cellStyle name="Normal 4 8 3 3 2" xfId="14054" xr:uid="{6FBFAB72-C0CD-4496-9858-A5549BB8E7F7}"/>
    <cellStyle name="Normal 4 8 3 3 3" xfId="22501" xr:uid="{C0B38804-8D84-4FED-A1D1-D55AF9D9C00A}"/>
    <cellStyle name="Normal 4 8 3 4" xfId="9836" xr:uid="{AE64280C-CF2A-481E-8CF6-11C1508F9120}"/>
    <cellStyle name="Normal 4 8 3 5" xfId="18284" xr:uid="{C423895E-3359-4FAE-B61B-2C35F5D1E8F6}"/>
    <cellStyle name="Normal 4 8 4" xfId="1710" xr:uid="{00000000-0005-0000-0000-0000D2160000}"/>
    <cellStyle name="Normal 4 8 4 2" xfId="3940" xr:uid="{00000000-0005-0000-0000-0000D3160000}"/>
    <cellStyle name="Normal 4 8 4 2 2" xfId="8162" xr:uid="{00000000-0005-0000-0000-0000D4160000}"/>
    <cellStyle name="Normal 4 8 4 2 2 2" xfId="16612" xr:uid="{A8F93420-B2DC-4E5E-AC36-9355A1AFCF21}"/>
    <cellStyle name="Normal 4 8 4 2 2 3" xfId="25059" xr:uid="{6C7641C2-849B-4838-801E-0947BE721C42}"/>
    <cellStyle name="Normal 4 8 4 2 3" xfId="12394" xr:uid="{80B8751C-44E6-471D-BCFF-9636A3CB7E6A}"/>
    <cellStyle name="Normal 4 8 4 2 4" xfId="20842" xr:uid="{34434FBC-48E0-40A6-849D-888EAF50BD43}"/>
    <cellStyle name="Normal 4 8 4 3" xfId="6017" xr:uid="{00000000-0005-0000-0000-0000D5160000}"/>
    <cellStyle name="Normal 4 8 4 3 2" xfId="14467" xr:uid="{1C221A3B-F96B-4E5D-B466-C0CC3696684D}"/>
    <cellStyle name="Normal 4 8 4 3 3" xfId="22914" xr:uid="{784F3817-8380-4784-B588-AE4F4A87DB03}"/>
    <cellStyle name="Normal 4 8 4 4" xfId="10249" xr:uid="{19D1D451-5FD7-460A-B415-1A7EA9A5D06D}"/>
    <cellStyle name="Normal 4 8 4 5" xfId="18697" xr:uid="{66F56DBC-1AC7-407B-A690-9E2FCEDE26E7}"/>
    <cellStyle name="Normal 4 8 5" xfId="2124" xr:uid="{00000000-0005-0000-0000-0000D6160000}"/>
    <cellStyle name="Normal 4 8 5 2" xfId="4353" xr:uid="{00000000-0005-0000-0000-0000D7160000}"/>
    <cellStyle name="Normal 4 8 5 2 2" xfId="8575" xr:uid="{00000000-0005-0000-0000-0000D8160000}"/>
    <cellStyle name="Normal 4 8 5 2 2 2" xfId="17025" xr:uid="{2CA9EEEC-6C3B-40B7-AE6A-7C1C856A2CED}"/>
    <cellStyle name="Normal 4 8 5 2 2 3" xfId="25472" xr:uid="{E2EB089F-98D9-4592-9A66-F4A67CBD744B}"/>
    <cellStyle name="Normal 4 8 5 2 3" xfId="12807" xr:uid="{C9170A8F-D03C-4E50-8D93-F3BBE099FF4B}"/>
    <cellStyle name="Normal 4 8 5 2 4" xfId="21255" xr:uid="{FE0D8BB2-EE17-486C-A605-4DE52EB1D807}"/>
    <cellStyle name="Normal 4 8 5 3" xfId="6430" xr:uid="{00000000-0005-0000-0000-0000D9160000}"/>
    <cellStyle name="Normal 4 8 5 3 2" xfId="14880" xr:uid="{EB8A9BBF-A3E8-46BF-8F72-52B789018780}"/>
    <cellStyle name="Normal 4 8 5 3 3" xfId="23327" xr:uid="{1230A867-6267-46D0-89C9-AB63A79ABA27}"/>
    <cellStyle name="Normal 4 8 5 4" xfId="10662" xr:uid="{623A7A85-5864-4A2F-9215-F98EB953A286}"/>
    <cellStyle name="Normal 4 8 5 5" xfId="19110" xr:uid="{3E756516-2151-4728-A3F8-24F327149103}"/>
    <cellStyle name="Normal 4 8 6" xfId="2560" xr:uid="{00000000-0005-0000-0000-0000DA160000}"/>
    <cellStyle name="Normal 4 8 6 2" xfId="6843" xr:uid="{00000000-0005-0000-0000-0000DB160000}"/>
    <cellStyle name="Normal 4 8 6 2 2" xfId="15293" xr:uid="{6D5A231A-94C1-4D0E-9083-AA8E3A3D9159}"/>
    <cellStyle name="Normal 4 8 6 2 3" xfId="23740" xr:uid="{D1FD8CD0-AF91-4268-89F2-69BD3EA0ABF0}"/>
    <cellStyle name="Normal 4 8 6 3" xfId="11075" xr:uid="{DD58AC40-4076-4C14-B1EA-D259F3F3743B}"/>
    <cellStyle name="Normal 4 8 6 4" xfId="19523" xr:uid="{73B72547-4A7F-4474-8492-536467AC9C67}"/>
    <cellStyle name="Normal 4 8 7" xfId="4778" xr:uid="{00000000-0005-0000-0000-0000DC160000}"/>
    <cellStyle name="Normal 4 8 7 2" xfId="13228" xr:uid="{5BD804B6-50AC-42B7-B3B6-0097BCCA3515}"/>
    <cellStyle name="Normal 4 8 7 3" xfId="21675" xr:uid="{5781ACBB-5F71-47A2-B34C-6BAD9225928E}"/>
    <cellStyle name="Normal 4 8 8" xfId="9010" xr:uid="{1D49172D-4C28-458A-A33D-B4F27AC3DB3C}"/>
    <cellStyle name="Normal 4 8 9" xfId="17458" xr:uid="{751A32C6-7DD2-458A-B994-E02AB3DF2867}"/>
    <cellStyle name="Normal 4 9" xfId="4715" xr:uid="{00000000-0005-0000-0000-0000DD160000}"/>
    <cellStyle name="Normal 4 9 2" xfId="13165" xr:uid="{EF5918F4-C08E-4083-8C52-16E08E5C5ED2}"/>
    <cellStyle name="Normal 4 9 3" xfId="21612" xr:uid="{9F1DC679-895A-48C7-86DF-B6F31A98B7A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FB262D7A-D1F5-4CC2-B951-D7D3DB6554A8}"/>
    <cellStyle name="Normal 5 10 2 2 3" xfId="25060" xr:uid="{F9811F62-79EC-4820-84E9-D0065A7D7DE0}"/>
    <cellStyle name="Normal 5 10 2 3" xfId="12395" xr:uid="{40B70843-E485-4891-9A71-5EFD2E68DDD8}"/>
    <cellStyle name="Normal 5 10 2 4" xfId="20843" xr:uid="{8FA1B05C-7D80-4C0A-8B71-0D26DD175E92}"/>
    <cellStyle name="Normal 5 10 3" xfId="6018" xr:uid="{00000000-0005-0000-0000-0000E2160000}"/>
    <cellStyle name="Normal 5 10 3 2" xfId="14468" xr:uid="{724EF16A-BF09-493B-B010-3339F859B168}"/>
    <cellStyle name="Normal 5 10 3 3" xfId="22915" xr:uid="{97BF9C59-C457-4262-82AF-8A8C33E758C5}"/>
    <cellStyle name="Normal 5 10 4" xfId="10250" xr:uid="{D2502D5C-EFAE-4074-A1C9-09380ED879CA}"/>
    <cellStyle name="Normal 5 10 5" xfId="18698" xr:uid="{D2F54A22-F1FD-4CDC-8ECD-E79ADE171F9E}"/>
    <cellStyle name="Normal 5 11" xfId="2125" xr:uid="{00000000-0005-0000-0000-0000E3160000}"/>
    <cellStyle name="Normal 5 11 2" xfId="4354" xr:uid="{00000000-0005-0000-0000-0000E4160000}"/>
    <cellStyle name="Normal 5 11 2 2" xfId="8576" xr:uid="{00000000-0005-0000-0000-0000E5160000}"/>
    <cellStyle name="Normal 5 11 2 2 2" xfId="17026" xr:uid="{715E9BC4-FA11-498F-AAE7-8F008FAAFBB4}"/>
    <cellStyle name="Normal 5 11 2 2 3" xfId="25473" xr:uid="{8E997692-9ED1-483D-B8D5-758210F75AE5}"/>
    <cellStyle name="Normal 5 11 2 3" xfId="12808" xr:uid="{8DA401C1-7A07-4A99-83BA-C296159ED992}"/>
    <cellStyle name="Normal 5 11 2 4" xfId="21256" xr:uid="{6602C05F-8A3D-44D9-8452-2BA7D1F70EF4}"/>
    <cellStyle name="Normal 5 11 3" xfId="6431" xr:uid="{00000000-0005-0000-0000-0000E6160000}"/>
    <cellStyle name="Normal 5 11 3 2" xfId="14881" xr:uid="{59E79D7E-654B-44A2-966F-2A294FCFFDF9}"/>
    <cellStyle name="Normal 5 11 3 3" xfId="23328" xr:uid="{DA4E22BA-0EC4-4598-8659-FCAA60AEF1B2}"/>
    <cellStyle name="Normal 5 11 4" xfId="10663" xr:uid="{59733EA1-ACD1-4B39-BEB9-0504F53E1C2C}"/>
    <cellStyle name="Normal 5 11 5" xfId="19111" xr:uid="{C1620822-5185-47FB-8ACF-EEC1A6827DE3}"/>
    <cellStyle name="Normal 5 12" xfId="2561" xr:uid="{00000000-0005-0000-0000-0000E7160000}"/>
    <cellStyle name="Normal 5 12 2" xfId="6844" xr:uid="{00000000-0005-0000-0000-0000E8160000}"/>
    <cellStyle name="Normal 5 12 2 2" xfId="15294" xr:uid="{50ED8F67-8992-4734-BB01-368EDD70587C}"/>
    <cellStyle name="Normal 5 12 2 3" xfId="23741" xr:uid="{8583A0F6-3998-4AD8-8B17-CB0BE2B7AC36}"/>
    <cellStyle name="Normal 5 12 3" xfId="11076" xr:uid="{94D02910-F5EE-4654-A560-6AA677E04A29}"/>
    <cellStyle name="Normal 5 12 4" xfId="19524" xr:uid="{A1C2CCBB-A7BE-49B5-A2AA-6B7C06923240}"/>
    <cellStyle name="Normal 5 13" xfId="4779" xr:uid="{00000000-0005-0000-0000-0000E9160000}"/>
    <cellStyle name="Normal 5 13 2" xfId="13229" xr:uid="{DFC1AC5D-D3B4-4458-A407-59447E27B59D}"/>
    <cellStyle name="Normal 5 13 3" xfId="21676" xr:uid="{BF154DB2-B6C2-4727-8F8B-9A3AA3F07C20}"/>
    <cellStyle name="Normal 5 14" xfId="9011" xr:uid="{65B4A347-4618-4E71-A26B-C97E770EE8C8}"/>
    <cellStyle name="Normal 5 15" xfId="17459" xr:uid="{D01BC64D-144F-440C-92FD-A6B28AC4FB8D}"/>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B264F23-1D5D-4480-8502-056D25E16A46}"/>
    <cellStyle name="Normal 5 2 10 2 2 3" xfId="25474" xr:uid="{0A6E5FE0-8FE5-4AE3-AC9A-AF9B9BE01889}"/>
    <cellStyle name="Normal 5 2 10 2 3" xfId="12809" xr:uid="{4A486D95-72B9-4070-B2E3-DFF628B65D7A}"/>
    <cellStyle name="Normal 5 2 10 2 4" xfId="21257" xr:uid="{77106822-D4DE-407A-A1B3-D240971AD942}"/>
    <cellStyle name="Normal 5 2 10 3" xfId="6432" xr:uid="{00000000-0005-0000-0000-0000EE160000}"/>
    <cellStyle name="Normal 5 2 10 3 2" xfId="14882" xr:uid="{3579817B-3C27-4E2C-A423-9AEA885418CC}"/>
    <cellStyle name="Normal 5 2 10 3 3" xfId="23329" xr:uid="{4B2C7C18-C344-40DE-901A-DF441E37692D}"/>
    <cellStyle name="Normal 5 2 10 4" xfId="10664" xr:uid="{5800DB14-133F-43A0-8A46-B7E94B24C41C}"/>
    <cellStyle name="Normal 5 2 10 5" xfId="19112" xr:uid="{67972F19-3A5B-4620-9DDE-14646A065006}"/>
    <cellStyle name="Normal 5 2 11" xfId="2562" xr:uid="{00000000-0005-0000-0000-0000EF160000}"/>
    <cellStyle name="Normal 5 2 11 2" xfId="6845" xr:uid="{00000000-0005-0000-0000-0000F0160000}"/>
    <cellStyle name="Normal 5 2 11 2 2" xfId="15295" xr:uid="{0759F3FD-739A-454D-8428-9B238461177A}"/>
    <cellStyle name="Normal 5 2 11 2 3" xfId="23742" xr:uid="{AC5F5BFF-161F-4E06-A5C0-99904CEF25FD}"/>
    <cellStyle name="Normal 5 2 11 3" xfId="11077" xr:uid="{6686D9A2-C6C4-4B88-8EF9-D4AF6AFE369D}"/>
    <cellStyle name="Normal 5 2 11 4" xfId="19525" xr:uid="{3C4B47DB-6442-4959-8A0C-6C5046990BC0}"/>
    <cellStyle name="Normal 5 2 12" xfId="4780" xr:uid="{00000000-0005-0000-0000-0000F1160000}"/>
    <cellStyle name="Normal 5 2 12 2" xfId="13230" xr:uid="{463E7820-2CEC-4B4F-A6E9-9D8A04299E36}"/>
    <cellStyle name="Normal 5 2 12 3" xfId="21677" xr:uid="{9B936E44-E34B-4A12-8CD2-4397BF479DAF}"/>
    <cellStyle name="Normal 5 2 13" xfId="9012" xr:uid="{A1376DD0-69BC-4EBD-82FF-2D1084BC818C}"/>
    <cellStyle name="Normal 5 2 14" xfId="17460" xr:uid="{2B9E4F19-80B5-4B2B-A807-5A54DC18C263}"/>
    <cellStyle name="Normal 5 2 2" xfId="408" xr:uid="{00000000-0005-0000-0000-0000F2160000}"/>
    <cellStyle name="Normal 5 2 2 10" xfId="2563" xr:uid="{00000000-0005-0000-0000-0000F3160000}"/>
    <cellStyle name="Normal 5 2 2 10 2" xfId="6846" xr:uid="{00000000-0005-0000-0000-0000F4160000}"/>
    <cellStyle name="Normal 5 2 2 10 2 2" xfId="15296" xr:uid="{C42A1C73-8EB2-45CC-AD34-1A67866BD62E}"/>
    <cellStyle name="Normal 5 2 2 10 2 3" xfId="23743" xr:uid="{8FB1A10A-3A0C-4D2A-85D8-FE0FCB161E12}"/>
    <cellStyle name="Normal 5 2 2 10 3" xfId="11078" xr:uid="{167CC176-4A77-46C0-9BBE-C94541550E4C}"/>
    <cellStyle name="Normal 5 2 2 10 4" xfId="19526" xr:uid="{A0F561D7-0D90-41FC-B6A4-B56BD13EFE8B}"/>
    <cellStyle name="Normal 5 2 2 11" xfId="4781" xr:uid="{00000000-0005-0000-0000-0000F5160000}"/>
    <cellStyle name="Normal 5 2 2 11 2" xfId="13231" xr:uid="{8DF1E6B8-2F59-4BDC-AF23-CE51CF53A00A}"/>
    <cellStyle name="Normal 5 2 2 11 3" xfId="21678" xr:uid="{3507F88D-4A17-4D06-B38F-1B620C892411}"/>
    <cellStyle name="Normal 5 2 2 12" xfId="9013" xr:uid="{17DDAF14-51BF-4F1F-9463-4D0D9D113573}"/>
    <cellStyle name="Normal 5 2 2 13" xfId="17461" xr:uid="{849E0C1A-439A-47B2-A3D1-8637155F1548}"/>
    <cellStyle name="Normal 5 2 2 2" xfId="409" xr:uid="{00000000-0005-0000-0000-0000F6160000}"/>
    <cellStyle name="Normal 5 2 2 2 10" xfId="4782" xr:uid="{00000000-0005-0000-0000-0000F7160000}"/>
    <cellStyle name="Normal 5 2 2 2 10 2" xfId="13232" xr:uid="{2B724D60-FFE7-4620-8371-30D38A7DEE35}"/>
    <cellStyle name="Normal 5 2 2 2 10 3" xfId="21679" xr:uid="{BDB18F66-B110-4665-9C06-2A3C41F553BA}"/>
    <cellStyle name="Normal 5 2 2 2 11" xfId="9014" xr:uid="{B1BDE9F2-307C-4047-BE7B-084653ABD017}"/>
    <cellStyle name="Normal 5 2 2 2 12" xfId="17462" xr:uid="{A20C7D20-CC72-4483-9B89-75DD71896D43}"/>
    <cellStyle name="Normal 5 2 2 2 2" xfId="410" xr:uid="{00000000-0005-0000-0000-0000F8160000}"/>
    <cellStyle name="Normal 5 2 2 2 2 10" xfId="9015" xr:uid="{5FA63D36-3C5A-4E6B-8E13-4BDAB82C322D}"/>
    <cellStyle name="Normal 5 2 2 2 2 11" xfId="17463" xr:uid="{E654A3A0-8AD2-425F-8F15-F43EB938A45C}"/>
    <cellStyle name="Normal 5 2 2 2 2 2" xfId="411" xr:uid="{00000000-0005-0000-0000-0000F9160000}"/>
    <cellStyle name="Normal 5 2 2 2 2 2 10" xfId="17464" xr:uid="{320E5799-A189-4EC4-9FAE-840DBB5EB0B1}"/>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0727E2A2-98FB-4F06-9C90-01DE85E3C29E}"/>
    <cellStyle name="Normal 5 2 2 2 2 2 2 2 2 2 3" xfId="24240" xr:uid="{A8D83855-B713-4A2A-9EA6-7CD6B63F41DB}"/>
    <cellStyle name="Normal 5 2 2 2 2 2 2 2 2 3" xfId="11575" xr:uid="{FB384A9A-96CF-40A5-A44D-00E76816A93F}"/>
    <cellStyle name="Normal 5 2 2 2 2 2 2 2 2 4" xfId="20023" xr:uid="{13C003BB-119A-4111-985C-4375C93FBCEC}"/>
    <cellStyle name="Normal 5 2 2 2 2 2 2 2 3" xfId="5198" xr:uid="{00000000-0005-0000-0000-0000FE160000}"/>
    <cellStyle name="Normal 5 2 2 2 2 2 2 2 3 2" xfId="13648" xr:uid="{99CAF5E0-D3A7-40EB-95D0-7F0595D18F66}"/>
    <cellStyle name="Normal 5 2 2 2 2 2 2 2 3 3" xfId="22095" xr:uid="{51B58AED-031D-457E-8E0C-C9CF4E9786F4}"/>
    <cellStyle name="Normal 5 2 2 2 2 2 2 2 4" xfId="9430" xr:uid="{28B7B7FB-A23C-4C6C-B1AA-E86025E49A13}"/>
    <cellStyle name="Normal 5 2 2 2 2 2 2 2 5" xfId="17878" xr:uid="{E56BC73C-B582-46B3-ACF5-EDF2C714040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CA576158-E800-4035-A203-FF260A1FF80C}"/>
    <cellStyle name="Normal 5 2 2 2 2 2 2 3 2 2 3" xfId="24653" xr:uid="{9F248310-DF77-4E5C-B334-120FDF621AEE}"/>
    <cellStyle name="Normal 5 2 2 2 2 2 2 3 2 3" xfId="11988" xr:uid="{578C719D-1D21-4CDD-A246-86ED9BBFA317}"/>
    <cellStyle name="Normal 5 2 2 2 2 2 2 3 2 4" xfId="20436" xr:uid="{9A8FE3CC-4BFB-4F4B-A870-B4349A9A5168}"/>
    <cellStyle name="Normal 5 2 2 2 2 2 2 3 3" xfId="5611" xr:uid="{00000000-0005-0000-0000-000002170000}"/>
    <cellStyle name="Normal 5 2 2 2 2 2 2 3 3 2" xfId="14061" xr:uid="{59677CAF-78E7-47CA-8490-CE0233668DC1}"/>
    <cellStyle name="Normal 5 2 2 2 2 2 2 3 3 3" xfId="22508" xr:uid="{16CE9871-28C7-46EA-AB3C-F4E0DA6EBB18}"/>
    <cellStyle name="Normal 5 2 2 2 2 2 2 3 4" xfId="9843" xr:uid="{67EBBA2D-5670-4D67-90DE-58A105B3B943}"/>
    <cellStyle name="Normal 5 2 2 2 2 2 2 3 5" xfId="18291" xr:uid="{378A2DB3-30E5-4C4D-956F-4781479DBE1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544E29B6-E39A-486D-833C-F7AAEDC0B1C9}"/>
    <cellStyle name="Normal 5 2 2 2 2 2 2 4 2 2 3" xfId="25066" xr:uid="{A67E4B64-A035-46D0-9F04-DD72EF6D94F6}"/>
    <cellStyle name="Normal 5 2 2 2 2 2 2 4 2 3" xfId="12401" xr:uid="{5F6919D8-CE03-4C80-9D48-5736CBFC9AD6}"/>
    <cellStyle name="Normal 5 2 2 2 2 2 2 4 2 4" xfId="20849" xr:uid="{DC83A29C-AF8C-48FD-8B4C-4F99A50CD576}"/>
    <cellStyle name="Normal 5 2 2 2 2 2 2 4 3" xfId="6024" xr:uid="{00000000-0005-0000-0000-000006170000}"/>
    <cellStyle name="Normal 5 2 2 2 2 2 2 4 3 2" xfId="14474" xr:uid="{B82AD073-47A0-412E-95E5-9ABABD2C6CF0}"/>
    <cellStyle name="Normal 5 2 2 2 2 2 2 4 3 3" xfId="22921" xr:uid="{775373A2-C513-4DEC-B8F1-03A8CBB2C163}"/>
    <cellStyle name="Normal 5 2 2 2 2 2 2 4 4" xfId="10256" xr:uid="{C08121FC-221B-48E2-8800-135F707FC13E}"/>
    <cellStyle name="Normal 5 2 2 2 2 2 2 4 5" xfId="18704" xr:uid="{92E9BE1C-24F7-4CD4-BA71-1F875A6479E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175B748F-CE39-4E01-96DC-FB1726E5012F}"/>
    <cellStyle name="Normal 5 2 2 2 2 2 2 5 2 2 3" xfId="25479" xr:uid="{A2F6FC76-1ED6-4A88-B6E2-FA7D33EBDD67}"/>
    <cellStyle name="Normal 5 2 2 2 2 2 2 5 2 3" xfId="12814" xr:uid="{87B27456-0492-4963-95A8-07F1FC52C70D}"/>
    <cellStyle name="Normal 5 2 2 2 2 2 2 5 2 4" xfId="21262" xr:uid="{EB85F4E5-436A-47DB-92F6-267458DE35C3}"/>
    <cellStyle name="Normal 5 2 2 2 2 2 2 5 3" xfId="6437" xr:uid="{00000000-0005-0000-0000-00000A170000}"/>
    <cellStyle name="Normal 5 2 2 2 2 2 2 5 3 2" xfId="14887" xr:uid="{5CA5FBEB-1B81-40E1-9219-B4FC9AF2F2F2}"/>
    <cellStyle name="Normal 5 2 2 2 2 2 2 5 3 3" xfId="23334" xr:uid="{CD1D49FB-39F7-44F9-9741-053BB7048375}"/>
    <cellStyle name="Normal 5 2 2 2 2 2 2 5 4" xfId="10669" xr:uid="{E89E6083-42B6-4EE5-B3CB-821DB1BF5AF4}"/>
    <cellStyle name="Normal 5 2 2 2 2 2 2 5 5" xfId="19117" xr:uid="{BF95AA1E-7AAC-4F13-A619-2B51CB9B3F71}"/>
    <cellStyle name="Normal 5 2 2 2 2 2 2 6" xfId="2567" xr:uid="{00000000-0005-0000-0000-00000B170000}"/>
    <cellStyle name="Normal 5 2 2 2 2 2 2 6 2" xfId="6850" xr:uid="{00000000-0005-0000-0000-00000C170000}"/>
    <cellStyle name="Normal 5 2 2 2 2 2 2 6 2 2" xfId="15300" xr:uid="{4148C4B2-2F88-408E-82CD-2727B04C99DF}"/>
    <cellStyle name="Normal 5 2 2 2 2 2 2 6 2 3" xfId="23747" xr:uid="{A3073CCF-D253-4453-A179-8D1CB3DFF315}"/>
    <cellStyle name="Normal 5 2 2 2 2 2 2 6 3" xfId="11082" xr:uid="{3C53DEAC-D5C2-4408-B97B-73CC0A3682F0}"/>
    <cellStyle name="Normal 5 2 2 2 2 2 2 6 4" xfId="19530" xr:uid="{26A2D50D-3567-4044-B80E-9F78B9F82A3B}"/>
    <cellStyle name="Normal 5 2 2 2 2 2 2 7" xfId="4785" xr:uid="{00000000-0005-0000-0000-00000D170000}"/>
    <cellStyle name="Normal 5 2 2 2 2 2 2 7 2" xfId="13235" xr:uid="{336463F6-2485-495E-9985-6FF29B62233E}"/>
    <cellStyle name="Normal 5 2 2 2 2 2 2 7 3" xfId="21682" xr:uid="{577A77A3-41D0-4CD4-AA6C-6177D777A868}"/>
    <cellStyle name="Normal 5 2 2 2 2 2 2 8" xfId="9017" xr:uid="{1BDF512C-B709-4820-897C-242FCA4B3AB8}"/>
    <cellStyle name="Normal 5 2 2 2 2 2 2 9" xfId="17465" xr:uid="{DF0869CB-4718-4771-936E-E4FD444A519A}"/>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4321123A-D7E9-4C98-ABAE-62971CAF25E6}"/>
    <cellStyle name="Normal 5 2 2 2 2 2 3 2 2 3" xfId="24239" xr:uid="{136A924D-4BAA-4C22-9E2F-46E66F470862}"/>
    <cellStyle name="Normal 5 2 2 2 2 2 3 2 3" xfId="11574" xr:uid="{7274E692-B45B-4BCC-98C1-44E5B4903F60}"/>
    <cellStyle name="Normal 5 2 2 2 2 2 3 2 4" xfId="20022" xr:uid="{0FF4AF3B-7527-4567-8D4F-D712C5C23FBA}"/>
    <cellStyle name="Normal 5 2 2 2 2 2 3 3" xfId="5197" xr:uid="{00000000-0005-0000-0000-000011170000}"/>
    <cellStyle name="Normal 5 2 2 2 2 2 3 3 2" xfId="13647" xr:uid="{5A3B965D-8AFF-4F20-9F13-15853038E2AF}"/>
    <cellStyle name="Normal 5 2 2 2 2 2 3 3 3" xfId="22094" xr:uid="{4CD6F4DA-8113-4CDF-A2DA-1D93359A2AD1}"/>
    <cellStyle name="Normal 5 2 2 2 2 2 3 4" xfId="9429" xr:uid="{8FD50CD6-B0E2-42CB-AB86-5AD3481800C3}"/>
    <cellStyle name="Normal 5 2 2 2 2 2 3 5" xfId="17877" xr:uid="{6E3BBA7B-2213-4EE5-8F1B-80DCD9D1822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C16E7484-9D95-442B-B2AD-7DAF5B566503}"/>
    <cellStyle name="Normal 5 2 2 2 2 2 4 2 2 3" xfId="24652" xr:uid="{52106E6D-D07E-4B4A-BEB3-0CA13863393D}"/>
    <cellStyle name="Normal 5 2 2 2 2 2 4 2 3" xfId="11987" xr:uid="{BFC5D79C-A044-4A7F-B114-6FF33A2F559E}"/>
    <cellStyle name="Normal 5 2 2 2 2 2 4 2 4" xfId="20435" xr:uid="{BA479283-D08B-4B1A-B25D-6C0C9610089E}"/>
    <cellStyle name="Normal 5 2 2 2 2 2 4 3" xfId="5610" xr:uid="{00000000-0005-0000-0000-000015170000}"/>
    <cellStyle name="Normal 5 2 2 2 2 2 4 3 2" xfId="14060" xr:uid="{641EB6C2-F4D8-4433-A88F-A90844F5A604}"/>
    <cellStyle name="Normal 5 2 2 2 2 2 4 3 3" xfId="22507" xr:uid="{C1254C49-B07B-4BD0-BE52-BC0D14FF3C38}"/>
    <cellStyle name="Normal 5 2 2 2 2 2 4 4" xfId="9842" xr:uid="{E07F75EB-64BE-4BED-8BF4-C6744ED373BB}"/>
    <cellStyle name="Normal 5 2 2 2 2 2 4 5" xfId="18290" xr:uid="{2E2A1C9B-C80E-4E6E-9151-F2A5269BEEDF}"/>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56CD6F7F-8C62-4203-B6F0-5D4451A25430}"/>
    <cellStyle name="Normal 5 2 2 2 2 2 5 2 2 3" xfId="25065" xr:uid="{34D25424-37EF-4A23-99F5-C34130DD0EC3}"/>
    <cellStyle name="Normal 5 2 2 2 2 2 5 2 3" xfId="12400" xr:uid="{D6E7A28C-7C25-4DAC-BAB5-CF69AC19483F}"/>
    <cellStyle name="Normal 5 2 2 2 2 2 5 2 4" xfId="20848" xr:uid="{13848DF6-149F-4B6B-ABBC-A9BF1253DC83}"/>
    <cellStyle name="Normal 5 2 2 2 2 2 5 3" xfId="6023" xr:uid="{00000000-0005-0000-0000-000019170000}"/>
    <cellStyle name="Normal 5 2 2 2 2 2 5 3 2" xfId="14473" xr:uid="{C85878AC-892A-4D96-BE08-9A820F63A420}"/>
    <cellStyle name="Normal 5 2 2 2 2 2 5 3 3" xfId="22920" xr:uid="{1C8E854B-43C7-4E67-96AC-A28A861A8561}"/>
    <cellStyle name="Normal 5 2 2 2 2 2 5 4" xfId="10255" xr:uid="{CCB265E9-57B4-4725-9E35-C56758246E07}"/>
    <cellStyle name="Normal 5 2 2 2 2 2 5 5" xfId="18703" xr:uid="{B6C55D14-8735-4151-81F9-3CB93FE699F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6A02EEED-60F6-4E97-BFF2-DA9BA62B0473}"/>
    <cellStyle name="Normal 5 2 2 2 2 2 6 2 2 3" xfId="25478" xr:uid="{F02DB6D6-CADF-43FA-A950-26AAD5FE231B}"/>
    <cellStyle name="Normal 5 2 2 2 2 2 6 2 3" xfId="12813" xr:uid="{8EDA4D64-32AC-43E0-8F1C-949561939E47}"/>
    <cellStyle name="Normal 5 2 2 2 2 2 6 2 4" xfId="21261" xr:uid="{0250C5A7-6485-46D6-B067-0AEF930EBFB8}"/>
    <cellStyle name="Normal 5 2 2 2 2 2 6 3" xfId="6436" xr:uid="{00000000-0005-0000-0000-00001D170000}"/>
    <cellStyle name="Normal 5 2 2 2 2 2 6 3 2" xfId="14886" xr:uid="{E736B0F9-D83D-4F80-9396-4CF0F3DA3AFB}"/>
    <cellStyle name="Normal 5 2 2 2 2 2 6 3 3" xfId="23333" xr:uid="{67C38B81-CEE0-498F-A17B-EA7EB4A297FE}"/>
    <cellStyle name="Normal 5 2 2 2 2 2 6 4" xfId="10668" xr:uid="{FD2989DE-26F6-455D-9860-306D24E85B59}"/>
    <cellStyle name="Normal 5 2 2 2 2 2 6 5" xfId="19116" xr:uid="{776C52F9-CE83-4DD7-AEED-79D6BA7DD9CB}"/>
    <cellStyle name="Normal 5 2 2 2 2 2 7" xfId="2566" xr:uid="{00000000-0005-0000-0000-00001E170000}"/>
    <cellStyle name="Normal 5 2 2 2 2 2 7 2" xfId="6849" xr:uid="{00000000-0005-0000-0000-00001F170000}"/>
    <cellStyle name="Normal 5 2 2 2 2 2 7 2 2" xfId="15299" xr:uid="{E6A6EDAD-4A12-4A3A-B592-C3421CB7EE1C}"/>
    <cellStyle name="Normal 5 2 2 2 2 2 7 2 3" xfId="23746" xr:uid="{AA3727EC-2DF7-4918-898E-542E82D5CF81}"/>
    <cellStyle name="Normal 5 2 2 2 2 2 7 3" xfId="11081" xr:uid="{DCB2F6C9-9ABF-4451-A1E2-93C144342DCF}"/>
    <cellStyle name="Normal 5 2 2 2 2 2 7 4" xfId="19529" xr:uid="{AA02F7D9-BF0D-4143-9522-ACA8AF3956CB}"/>
    <cellStyle name="Normal 5 2 2 2 2 2 8" xfId="4784" xr:uid="{00000000-0005-0000-0000-000020170000}"/>
    <cellStyle name="Normal 5 2 2 2 2 2 8 2" xfId="13234" xr:uid="{586165BC-318B-4DF1-9A83-2ACFCED27D1D}"/>
    <cellStyle name="Normal 5 2 2 2 2 2 8 3" xfId="21681" xr:uid="{34DFBFBD-EDC2-44FB-8284-9BD5BC0A2BE5}"/>
    <cellStyle name="Normal 5 2 2 2 2 2 9" xfId="9016" xr:uid="{CCF6291B-47F3-4C2A-8586-5D40A021C49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E29A63C3-5EC6-4546-AAF9-7D7FA68D45D7}"/>
    <cellStyle name="Normal 5 2 2 2 2 3 2 2 2 3" xfId="24241" xr:uid="{D8E9B942-626F-4500-BF7D-F989F455931F}"/>
    <cellStyle name="Normal 5 2 2 2 2 3 2 2 3" xfId="11576" xr:uid="{3D5D707D-9306-4AFB-9988-C3AF3238F85B}"/>
    <cellStyle name="Normal 5 2 2 2 2 3 2 2 4" xfId="20024" xr:uid="{0707E3AD-8843-4153-95E1-4B3A644A7320}"/>
    <cellStyle name="Normal 5 2 2 2 2 3 2 3" xfId="5199" xr:uid="{00000000-0005-0000-0000-000025170000}"/>
    <cellStyle name="Normal 5 2 2 2 2 3 2 3 2" xfId="13649" xr:uid="{E6674823-FFB1-4F0F-89F1-53126693816B}"/>
    <cellStyle name="Normal 5 2 2 2 2 3 2 3 3" xfId="22096" xr:uid="{004B91B4-799A-413D-8C15-C66274152FD8}"/>
    <cellStyle name="Normal 5 2 2 2 2 3 2 4" xfId="9431" xr:uid="{6B539438-A2CE-4A0C-912E-1DF7637F662F}"/>
    <cellStyle name="Normal 5 2 2 2 2 3 2 5" xfId="17879" xr:uid="{F5A4E4F2-3A6E-42E2-AADA-B24A578171BB}"/>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7AB05FF2-6CD7-4D1E-ADAA-56918FC84C95}"/>
    <cellStyle name="Normal 5 2 2 2 2 3 3 2 2 3" xfId="24654" xr:uid="{2FF22D8A-CB64-424E-8AA4-6CB3A7F8577E}"/>
    <cellStyle name="Normal 5 2 2 2 2 3 3 2 3" xfId="11989" xr:uid="{076AF44A-9E33-4094-8936-8C3A81F3DBE2}"/>
    <cellStyle name="Normal 5 2 2 2 2 3 3 2 4" xfId="20437" xr:uid="{5DAA3B8C-8EB8-44B2-8CBB-9EDFF2F245BB}"/>
    <cellStyle name="Normal 5 2 2 2 2 3 3 3" xfId="5612" xr:uid="{00000000-0005-0000-0000-000029170000}"/>
    <cellStyle name="Normal 5 2 2 2 2 3 3 3 2" xfId="14062" xr:uid="{9A61AEF7-BAEB-4C92-8C3F-784D7C343068}"/>
    <cellStyle name="Normal 5 2 2 2 2 3 3 3 3" xfId="22509" xr:uid="{71C284C6-FB9B-4D7F-BFE1-C3A26E6227B2}"/>
    <cellStyle name="Normal 5 2 2 2 2 3 3 4" xfId="9844" xr:uid="{204DFD35-B0B6-43C6-AF21-813ACAD3D50F}"/>
    <cellStyle name="Normal 5 2 2 2 2 3 3 5" xfId="18292" xr:uid="{AAF2F2B1-A96E-49B2-ABED-6557F98DA77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4443A159-A34D-4288-B155-B6DE8DA33BF6}"/>
    <cellStyle name="Normal 5 2 2 2 2 3 4 2 2 3" xfId="25067" xr:uid="{6DA5B55D-0DC3-4EE0-9EC0-EEA75E100AEE}"/>
    <cellStyle name="Normal 5 2 2 2 2 3 4 2 3" xfId="12402" xr:uid="{3EEE6D94-9AED-44CE-AB40-7D511E0532B2}"/>
    <cellStyle name="Normal 5 2 2 2 2 3 4 2 4" xfId="20850" xr:uid="{7A850CFD-9487-4140-A14A-16F51BE52D9F}"/>
    <cellStyle name="Normal 5 2 2 2 2 3 4 3" xfId="6025" xr:uid="{00000000-0005-0000-0000-00002D170000}"/>
    <cellStyle name="Normal 5 2 2 2 2 3 4 3 2" xfId="14475" xr:uid="{36757F74-E5FC-4431-BFE6-0CEEB46651F5}"/>
    <cellStyle name="Normal 5 2 2 2 2 3 4 3 3" xfId="22922" xr:uid="{7D3D6EA9-E3AE-447D-8E8B-754294B34968}"/>
    <cellStyle name="Normal 5 2 2 2 2 3 4 4" xfId="10257" xr:uid="{6378F13D-E79D-4DE7-8FE8-4D13D5619D57}"/>
    <cellStyle name="Normal 5 2 2 2 2 3 4 5" xfId="18705" xr:uid="{B86D08C2-7FD9-464E-9BC1-52D5AC60AC4D}"/>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E653834A-7449-4598-9908-D093132D0765}"/>
    <cellStyle name="Normal 5 2 2 2 2 3 5 2 2 3" xfId="25480" xr:uid="{593F2757-3ED4-45FD-B017-0FCB986D7D73}"/>
    <cellStyle name="Normal 5 2 2 2 2 3 5 2 3" xfId="12815" xr:uid="{329AB41D-1C07-464C-A4B3-ED102E769EF3}"/>
    <cellStyle name="Normal 5 2 2 2 2 3 5 2 4" xfId="21263" xr:uid="{A2FFFB2C-CDAF-410F-9567-9EB0F61EF812}"/>
    <cellStyle name="Normal 5 2 2 2 2 3 5 3" xfId="6438" xr:uid="{00000000-0005-0000-0000-000031170000}"/>
    <cellStyle name="Normal 5 2 2 2 2 3 5 3 2" xfId="14888" xr:uid="{3F1B6A7B-6021-43FA-AF0C-080BC37B77B1}"/>
    <cellStyle name="Normal 5 2 2 2 2 3 5 3 3" xfId="23335" xr:uid="{B72C7BC1-52C8-41B6-9D6E-6C1AD9620BCB}"/>
    <cellStyle name="Normal 5 2 2 2 2 3 5 4" xfId="10670" xr:uid="{3AC659AF-FFB3-4E38-8565-0DF960658F66}"/>
    <cellStyle name="Normal 5 2 2 2 2 3 5 5" xfId="19118" xr:uid="{5CEA086D-AB3B-4959-98AA-21A93BDE4968}"/>
    <cellStyle name="Normal 5 2 2 2 2 3 6" xfId="2568" xr:uid="{00000000-0005-0000-0000-000032170000}"/>
    <cellStyle name="Normal 5 2 2 2 2 3 6 2" xfId="6851" xr:uid="{00000000-0005-0000-0000-000033170000}"/>
    <cellStyle name="Normal 5 2 2 2 2 3 6 2 2" xfId="15301" xr:uid="{731C3BC8-072F-490F-8E7F-22F46E6C1D6E}"/>
    <cellStyle name="Normal 5 2 2 2 2 3 6 2 3" xfId="23748" xr:uid="{199FD86D-6E11-43AE-AE7F-92EA4108EDC5}"/>
    <cellStyle name="Normal 5 2 2 2 2 3 6 3" xfId="11083" xr:uid="{6D976878-11A5-4350-B365-937C4AAA3982}"/>
    <cellStyle name="Normal 5 2 2 2 2 3 6 4" xfId="19531" xr:uid="{7761BFF5-0E45-43BD-91E4-AEF08D53809B}"/>
    <cellStyle name="Normal 5 2 2 2 2 3 7" xfId="4786" xr:uid="{00000000-0005-0000-0000-000034170000}"/>
    <cellStyle name="Normal 5 2 2 2 2 3 7 2" xfId="13236" xr:uid="{1BCAB308-AB6E-4859-A8CD-B1339ECFE3DC}"/>
    <cellStyle name="Normal 5 2 2 2 2 3 7 3" xfId="21683" xr:uid="{8FF80F67-F616-4283-BF5E-2431FC2CEB83}"/>
    <cellStyle name="Normal 5 2 2 2 2 3 8" xfId="9018" xr:uid="{96899E3C-C3A1-47AA-B7FC-6C89C5F69996}"/>
    <cellStyle name="Normal 5 2 2 2 2 3 9" xfId="17466" xr:uid="{9E25B8C5-4ED5-4ADC-BA1A-A76E2BD3921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B0FB5BA7-781E-4E60-916E-BC6C18F1646B}"/>
    <cellStyle name="Normal 5 2 2 2 2 4 2 2 3" xfId="24238" xr:uid="{BA7DA2BD-EA22-4C89-8415-94B36094BCD7}"/>
    <cellStyle name="Normal 5 2 2 2 2 4 2 3" xfId="11573" xr:uid="{D856BFED-AF36-4922-BF78-20981E68F7CB}"/>
    <cellStyle name="Normal 5 2 2 2 2 4 2 4" xfId="20021" xr:uid="{A9911D71-F3F9-496F-A8C4-D5A32DA7EC5A}"/>
    <cellStyle name="Normal 5 2 2 2 2 4 3" xfId="5196" xr:uid="{00000000-0005-0000-0000-000038170000}"/>
    <cellStyle name="Normal 5 2 2 2 2 4 3 2" xfId="13646" xr:uid="{6BDE6739-4CB8-4422-8404-C7E1F41E76AA}"/>
    <cellStyle name="Normal 5 2 2 2 2 4 3 3" xfId="22093" xr:uid="{EBE8B48E-CC2A-4081-9CD1-A1C516C1F68E}"/>
    <cellStyle name="Normal 5 2 2 2 2 4 4" xfId="9428" xr:uid="{E8A015AC-142D-4C03-9203-76E01B389CB8}"/>
    <cellStyle name="Normal 5 2 2 2 2 4 5" xfId="17876" xr:uid="{48E933BF-80EF-42E2-B557-1B081673D86E}"/>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95244270-3B33-41A3-BF50-759EC8EDFBD4}"/>
    <cellStyle name="Normal 5 2 2 2 2 5 2 2 3" xfId="24651" xr:uid="{35FABEB7-AAD6-4E77-A476-7239732B8677}"/>
    <cellStyle name="Normal 5 2 2 2 2 5 2 3" xfId="11986" xr:uid="{14F8AD7E-B3C0-4BDB-9ED2-04D11568CE68}"/>
    <cellStyle name="Normal 5 2 2 2 2 5 2 4" xfId="20434" xr:uid="{B66072ED-F122-4301-8B04-06E8490C65DD}"/>
    <cellStyle name="Normal 5 2 2 2 2 5 3" xfId="5609" xr:uid="{00000000-0005-0000-0000-00003C170000}"/>
    <cellStyle name="Normal 5 2 2 2 2 5 3 2" xfId="14059" xr:uid="{4FC15D96-EBE2-436A-8C46-FD1D86D0DFD4}"/>
    <cellStyle name="Normal 5 2 2 2 2 5 3 3" xfId="22506" xr:uid="{759DFE19-85A3-422F-8FB1-3946FAD5F5BD}"/>
    <cellStyle name="Normal 5 2 2 2 2 5 4" xfId="9841" xr:uid="{082D5419-547B-414D-91FD-3817E81BD7B5}"/>
    <cellStyle name="Normal 5 2 2 2 2 5 5" xfId="18289" xr:uid="{C6BC71A3-D13A-4768-8C2F-697C6A5B4D5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0400DB10-2BA2-4D01-AF67-91E62F99A305}"/>
    <cellStyle name="Normal 5 2 2 2 2 6 2 2 3" xfId="25064" xr:uid="{5D3D30FE-ED5C-4AB7-BDBE-028C3289848A}"/>
    <cellStyle name="Normal 5 2 2 2 2 6 2 3" xfId="12399" xr:uid="{62097424-892E-43F1-9350-6347959ECCE5}"/>
    <cellStyle name="Normal 5 2 2 2 2 6 2 4" xfId="20847" xr:uid="{9AC63A17-1B33-46FC-9212-2ACC9105E63A}"/>
    <cellStyle name="Normal 5 2 2 2 2 6 3" xfId="6022" xr:uid="{00000000-0005-0000-0000-000040170000}"/>
    <cellStyle name="Normal 5 2 2 2 2 6 3 2" xfId="14472" xr:uid="{637002ED-C074-4C8F-A52C-4D292CFCCBDA}"/>
    <cellStyle name="Normal 5 2 2 2 2 6 3 3" xfId="22919" xr:uid="{6BF11AFE-3F3A-4641-9AD6-259BE4816987}"/>
    <cellStyle name="Normal 5 2 2 2 2 6 4" xfId="10254" xr:uid="{48155C79-0949-498B-8471-4B1D215AE69E}"/>
    <cellStyle name="Normal 5 2 2 2 2 6 5" xfId="18702" xr:uid="{991D7C60-9672-4F4A-9530-5D4FFFA8B80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5FEF4616-27D8-46BC-976A-F07C45C20DFC}"/>
    <cellStyle name="Normal 5 2 2 2 2 7 2 2 3" xfId="25477" xr:uid="{464C6A73-9ACE-4692-8C26-0266BCDA6682}"/>
    <cellStyle name="Normal 5 2 2 2 2 7 2 3" xfId="12812" xr:uid="{AAFC8673-407E-401C-86F2-8CAEE6C86EED}"/>
    <cellStyle name="Normal 5 2 2 2 2 7 2 4" xfId="21260" xr:uid="{CE75ED6C-BB4C-4C27-B19B-823DCD42D0D0}"/>
    <cellStyle name="Normal 5 2 2 2 2 7 3" xfId="6435" xr:uid="{00000000-0005-0000-0000-000044170000}"/>
    <cellStyle name="Normal 5 2 2 2 2 7 3 2" xfId="14885" xr:uid="{9DE3F87F-E6C9-4D7B-B556-EDBE20F7F88F}"/>
    <cellStyle name="Normal 5 2 2 2 2 7 3 3" xfId="23332" xr:uid="{3A25DC79-7595-4B3F-AF8A-51FC3334A62C}"/>
    <cellStyle name="Normal 5 2 2 2 2 7 4" xfId="10667" xr:uid="{BF446DBC-0B71-429B-AFC7-B85EAE6325B3}"/>
    <cellStyle name="Normal 5 2 2 2 2 7 5" xfId="19115" xr:uid="{825E4144-655C-4469-B913-BA2026C277EA}"/>
    <cellStyle name="Normal 5 2 2 2 2 8" xfId="2565" xr:uid="{00000000-0005-0000-0000-000045170000}"/>
    <cellStyle name="Normal 5 2 2 2 2 8 2" xfId="6848" xr:uid="{00000000-0005-0000-0000-000046170000}"/>
    <cellStyle name="Normal 5 2 2 2 2 8 2 2" xfId="15298" xr:uid="{15A6907C-19D8-4B0B-A142-5D36DC83FCC7}"/>
    <cellStyle name="Normal 5 2 2 2 2 8 2 3" xfId="23745" xr:uid="{F2D12CBF-F797-44F1-BD08-8DE4F5D40F46}"/>
    <cellStyle name="Normal 5 2 2 2 2 8 3" xfId="11080" xr:uid="{CD8CA94E-08C9-4455-9F02-3C5EFBFD8BE9}"/>
    <cellStyle name="Normal 5 2 2 2 2 8 4" xfId="19528" xr:uid="{525A77AB-676D-41A8-8F27-B6DEFAF07CA6}"/>
    <cellStyle name="Normal 5 2 2 2 2 9" xfId="4783" xr:uid="{00000000-0005-0000-0000-000047170000}"/>
    <cellStyle name="Normal 5 2 2 2 2 9 2" xfId="13233" xr:uid="{D2028E89-338A-421F-9130-25DDBAF69333}"/>
    <cellStyle name="Normal 5 2 2 2 2 9 3" xfId="21680" xr:uid="{2D2B36A4-8611-4BC1-A34E-7B0E5B0DBEAD}"/>
    <cellStyle name="Normal 5 2 2 2 3" xfId="414" xr:uid="{00000000-0005-0000-0000-000048170000}"/>
    <cellStyle name="Normal 5 2 2 2 3 10" xfId="17467" xr:uid="{D4FF98AD-AFAE-4713-A0FE-4D081069A5E8}"/>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98BF897A-F918-4C8D-BBC6-E87074F2D2EA}"/>
    <cellStyle name="Normal 5 2 2 2 3 2 2 2 2 3" xfId="24243" xr:uid="{6460454A-4F5C-4FA8-B623-00E590D3593E}"/>
    <cellStyle name="Normal 5 2 2 2 3 2 2 2 3" xfId="11578" xr:uid="{5DBACD2D-1399-43D5-9BF5-0D273B88DE88}"/>
    <cellStyle name="Normal 5 2 2 2 3 2 2 2 4" xfId="20026" xr:uid="{0DE15EB5-C339-4B95-9933-4DC0FFE80AA2}"/>
    <cellStyle name="Normal 5 2 2 2 3 2 2 3" xfId="5201" xr:uid="{00000000-0005-0000-0000-00004D170000}"/>
    <cellStyle name="Normal 5 2 2 2 3 2 2 3 2" xfId="13651" xr:uid="{36E83972-05B9-458B-82EE-8FBB504AAA91}"/>
    <cellStyle name="Normal 5 2 2 2 3 2 2 3 3" xfId="22098" xr:uid="{32473972-58F4-4BF5-8698-5079C0530DA8}"/>
    <cellStyle name="Normal 5 2 2 2 3 2 2 4" xfId="9433" xr:uid="{E48916E1-5EF4-4EBD-8C23-73489C2ADC1F}"/>
    <cellStyle name="Normal 5 2 2 2 3 2 2 5" xfId="17881" xr:uid="{85FEA625-964C-4E41-BAD4-FCDDF003D8D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D39C30B6-20B2-45D5-A49D-FC1289A1D7F0}"/>
    <cellStyle name="Normal 5 2 2 2 3 2 3 2 2 3" xfId="24656" xr:uid="{2474B86C-A539-4A84-8795-407482DAFDDD}"/>
    <cellStyle name="Normal 5 2 2 2 3 2 3 2 3" xfId="11991" xr:uid="{47971AF9-D3F8-4819-8370-49CE0C149364}"/>
    <cellStyle name="Normal 5 2 2 2 3 2 3 2 4" xfId="20439" xr:uid="{764BD2FD-AEDF-4B81-A121-ECB20B691C03}"/>
    <cellStyle name="Normal 5 2 2 2 3 2 3 3" xfId="5614" xr:uid="{00000000-0005-0000-0000-000051170000}"/>
    <cellStyle name="Normal 5 2 2 2 3 2 3 3 2" xfId="14064" xr:uid="{95C6EFE8-DBF5-41AB-8645-97501E29C62B}"/>
    <cellStyle name="Normal 5 2 2 2 3 2 3 3 3" xfId="22511" xr:uid="{64BD9B56-08EE-4D24-8FFD-59CAA3DA3C68}"/>
    <cellStyle name="Normal 5 2 2 2 3 2 3 4" xfId="9846" xr:uid="{2848E2B7-C029-4410-AF87-877DF3F7FC2B}"/>
    <cellStyle name="Normal 5 2 2 2 3 2 3 5" xfId="18294" xr:uid="{276898B4-9D12-476D-AF45-5D1FAE70C7A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3348835D-EC66-4F03-8D85-7F00F42C9CD1}"/>
    <cellStyle name="Normal 5 2 2 2 3 2 4 2 2 3" xfId="25069" xr:uid="{EA0190B1-D078-442C-BAF1-D83B6B8489AA}"/>
    <cellStyle name="Normal 5 2 2 2 3 2 4 2 3" xfId="12404" xr:uid="{36A0BFC8-990C-4C76-AAE5-278A992DA859}"/>
    <cellStyle name="Normal 5 2 2 2 3 2 4 2 4" xfId="20852" xr:uid="{DEF13E95-57D6-43D9-800E-29CB47BC46B6}"/>
    <cellStyle name="Normal 5 2 2 2 3 2 4 3" xfId="6027" xr:uid="{00000000-0005-0000-0000-000055170000}"/>
    <cellStyle name="Normal 5 2 2 2 3 2 4 3 2" xfId="14477" xr:uid="{A4867B94-746E-4F42-91B1-40B46D866C22}"/>
    <cellStyle name="Normal 5 2 2 2 3 2 4 3 3" xfId="22924" xr:uid="{A3254793-2F86-462F-911B-BAB971B0516C}"/>
    <cellStyle name="Normal 5 2 2 2 3 2 4 4" xfId="10259" xr:uid="{B9CABCC3-EC22-4B2E-8207-531F97B271C8}"/>
    <cellStyle name="Normal 5 2 2 2 3 2 4 5" xfId="18707" xr:uid="{96238DB3-8AD3-46E8-A5F3-A6A7D870D89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CBB4010C-27B6-45F5-A4FB-B07A366EEE46}"/>
    <cellStyle name="Normal 5 2 2 2 3 2 5 2 2 3" xfId="25482" xr:uid="{96647705-603F-4267-9A3D-EF6F2058281F}"/>
    <cellStyle name="Normal 5 2 2 2 3 2 5 2 3" xfId="12817" xr:uid="{BCD1EABA-30CD-4EA4-B0A8-D18ED8FD044C}"/>
    <cellStyle name="Normal 5 2 2 2 3 2 5 2 4" xfId="21265" xr:uid="{793C87F3-57EE-43C3-837F-2EDF28580BFE}"/>
    <cellStyle name="Normal 5 2 2 2 3 2 5 3" xfId="6440" xr:uid="{00000000-0005-0000-0000-000059170000}"/>
    <cellStyle name="Normal 5 2 2 2 3 2 5 3 2" xfId="14890" xr:uid="{C385906F-9D9C-46C6-AB5B-C4A6654FB010}"/>
    <cellStyle name="Normal 5 2 2 2 3 2 5 3 3" xfId="23337" xr:uid="{98E8A0E5-7C9D-4A03-836E-B5BC3E2C98EC}"/>
    <cellStyle name="Normal 5 2 2 2 3 2 5 4" xfId="10672" xr:uid="{0E9AF876-B759-49E1-B087-A4792C3FE1B5}"/>
    <cellStyle name="Normal 5 2 2 2 3 2 5 5" xfId="19120" xr:uid="{6C87A04E-5923-4903-8CF8-E2A110D1C478}"/>
    <cellStyle name="Normal 5 2 2 2 3 2 6" xfId="2570" xr:uid="{00000000-0005-0000-0000-00005A170000}"/>
    <cellStyle name="Normal 5 2 2 2 3 2 6 2" xfId="6853" xr:uid="{00000000-0005-0000-0000-00005B170000}"/>
    <cellStyle name="Normal 5 2 2 2 3 2 6 2 2" xfId="15303" xr:uid="{51D1B72B-6D3D-4E67-BA50-8BB6033BB056}"/>
    <cellStyle name="Normal 5 2 2 2 3 2 6 2 3" xfId="23750" xr:uid="{30EDAFC4-EB5C-4181-A30E-197BB4176588}"/>
    <cellStyle name="Normal 5 2 2 2 3 2 6 3" xfId="11085" xr:uid="{014A2B85-499A-4384-9628-D6D6D0B7F454}"/>
    <cellStyle name="Normal 5 2 2 2 3 2 6 4" xfId="19533" xr:uid="{8377F8D0-33E3-4A45-AE0A-267A7C63919B}"/>
    <cellStyle name="Normal 5 2 2 2 3 2 7" xfId="4788" xr:uid="{00000000-0005-0000-0000-00005C170000}"/>
    <cellStyle name="Normal 5 2 2 2 3 2 7 2" xfId="13238" xr:uid="{53A36B1A-3942-4AA9-81B1-7D045ED6A406}"/>
    <cellStyle name="Normal 5 2 2 2 3 2 7 3" xfId="21685" xr:uid="{79DA8A7B-0E4A-4135-B9F4-E175E029A561}"/>
    <cellStyle name="Normal 5 2 2 2 3 2 8" xfId="9020" xr:uid="{912EA062-2A7E-4356-84A0-3FB33A8648AB}"/>
    <cellStyle name="Normal 5 2 2 2 3 2 9" xfId="17468" xr:uid="{53E002E9-8B23-4D4A-865A-91A8E8F47C3E}"/>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5B724106-F78B-4A38-ACBE-57D10AA12DEE}"/>
    <cellStyle name="Normal 5 2 2 2 3 3 2 2 3" xfId="24242" xr:uid="{13C8E9BA-8834-4A0A-B74E-C19C781E28B2}"/>
    <cellStyle name="Normal 5 2 2 2 3 3 2 3" xfId="11577" xr:uid="{19B671D3-CCF9-4B65-8BE2-8DF30FF592F3}"/>
    <cellStyle name="Normal 5 2 2 2 3 3 2 4" xfId="20025" xr:uid="{D256D9C5-183D-4B37-AADB-07BD2E354B0A}"/>
    <cellStyle name="Normal 5 2 2 2 3 3 3" xfId="5200" xr:uid="{00000000-0005-0000-0000-000060170000}"/>
    <cellStyle name="Normal 5 2 2 2 3 3 3 2" xfId="13650" xr:uid="{A4768DC0-0C24-4D4C-9492-4831BAB19DF3}"/>
    <cellStyle name="Normal 5 2 2 2 3 3 3 3" xfId="22097" xr:uid="{1E85E4D2-7DBD-4B22-8614-5634FB070149}"/>
    <cellStyle name="Normal 5 2 2 2 3 3 4" xfId="9432" xr:uid="{D1D4C523-67C3-4E01-9226-FBA46860FE61}"/>
    <cellStyle name="Normal 5 2 2 2 3 3 5" xfId="17880" xr:uid="{E26466BC-119E-4C45-A709-82907C84D6E1}"/>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5F3D6F1A-7F1D-4950-9B19-38D562DF4402}"/>
    <cellStyle name="Normal 5 2 2 2 3 4 2 2 3" xfId="24655" xr:uid="{20F53781-1840-4828-960C-2C5C11C52CE5}"/>
    <cellStyle name="Normal 5 2 2 2 3 4 2 3" xfId="11990" xr:uid="{A1FFA413-72A0-4B8A-86DF-1BB34D07DF15}"/>
    <cellStyle name="Normal 5 2 2 2 3 4 2 4" xfId="20438" xr:uid="{9C497722-3B9B-4027-8828-D7C221E34E93}"/>
    <cellStyle name="Normal 5 2 2 2 3 4 3" xfId="5613" xr:uid="{00000000-0005-0000-0000-000064170000}"/>
    <cellStyle name="Normal 5 2 2 2 3 4 3 2" xfId="14063" xr:uid="{9D94AA3C-84C7-4A37-83CC-A0FE3E5AB0DA}"/>
    <cellStyle name="Normal 5 2 2 2 3 4 3 3" xfId="22510" xr:uid="{DDD75C9F-A320-40EF-AD24-135050FA0E97}"/>
    <cellStyle name="Normal 5 2 2 2 3 4 4" xfId="9845" xr:uid="{7A638043-10EC-42E3-8F71-E1B9FAF38F7E}"/>
    <cellStyle name="Normal 5 2 2 2 3 4 5" xfId="18293" xr:uid="{CA8D80EC-B48D-4970-B4A9-C61E118403F8}"/>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8FAA695-098F-45F5-952B-CD768C6E44BA}"/>
    <cellStyle name="Normal 5 2 2 2 3 5 2 2 3" xfId="25068" xr:uid="{2749E850-F250-455F-A082-307BAC39F47A}"/>
    <cellStyle name="Normal 5 2 2 2 3 5 2 3" xfId="12403" xr:uid="{1DBD254F-F51E-4BA9-AB6B-DD1866629E18}"/>
    <cellStyle name="Normal 5 2 2 2 3 5 2 4" xfId="20851" xr:uid="{2E3F4ABE-C2B2-40A9-8B6F-3A4961E7E5B5}"/>
    <cellStyle name="Normal 5 2 2 2 3 5 3" xfId="6026" xr:uid="{00000000-0005-0000-0000-000068170000}"/>
    <cellStyle name="Normal 5 2 2 2 3 5 3 2" xfId="14476" xr:uid="{371A0D48-8E62-4D09-9E8F-03A930E00312}"/>
    <cellStyle name="Normal 5 2 2 2 3 5 3 3" xfId="22923" xr:uid="{17B31EBB-4BC9-4B15-8B02-D2F821308D31}"/>
    <cellStyle name="Normal 5 2 2 2 3 5 4" xfId="10258" xr:uid="{7FAEC109-1731-482C-A9F0-D4B73046434B}"/>
    <cellStyle name="Normal 5 2 2 2 3 5 5" xfId="18706" xr:uid="{4924118E-67D5-4529-A195-0BF8DE2E881C}"/>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3EB85C04-821B-4A9C-84D5-AE2246C1FACD}"/>
    <cellStyle name="Normal 5 2 2 2 3 6 2 2 3" xfId="25481" xr:uid="{072B9E6E-820E-4956-BA73-AE857675628A}"/>
    <cellStyle name="Normal 5 2 2 2 3 6 2 3" xfId="12816" xr:uid="{365911F1-A986-4EE2-AC86-821C861F95DF}"/>
    <cellStyle name="Normal 5 2 2 2 3 6 2 4" xfId="21264" xr:uid="{4D7A893C-581A-41F2-9F3A-2F90D0A8A3E9}"/>
    <cellStyle name="Normal 5 2 2 2 3 6 3" xfId="6439" xr:uid="{00000000-0005-0000-0000-00006C170000}"/>
    <cellStyle name="Normal 5 2 2 2 3 6 3 2" xfId="14889" xr:uid="{65F492FB-5B1B-4630-AA03-DC4509CF6104}"/>
    <cellStyle name="Normal 5 2 2 2 3 6 3 3" xfId="23336" xr:uid="{345D083B-9B38-4A8B-A2E9-A37F7E9FE4FB}"/>
    <cellStyle name="Normal 5 2 2 2 3 6 4" xfId="10671" xr:uid="{B16B9886-8BCB-4896-B502-7AB36806CD72}"/>
    <cellStyle name="Normal 5 2 2 2 3 6 5" xfId="19119" xr:uid="{32172B56-6DE5-4EFB-BB34-7FDE3E377A2E}"/>
    <cellStyle name="Normal 5 2 2 2 3 7" xfId="2569" xr:uid="{00000000-0005-0000-0000-00006D170000}"/>
    <cellStyle name="Normal 5 2 2 2 3 7 2" xfId="6852" xr:uid="{00000000-0005-0000-0000-00006E170000}"/>
    <cellStyle name="Normal 5 2 2 2 3 7 2 2" xfId="15302" xr:uid="{A515A5DF-79C0-42BB-BD6A-F4DCCDBFC2C7}"/>
    <cellStyle name="Normal 5 2 2 2 3 7 2 3" xfId="23749" xr:uid="{72EAF388-D62D-45CF-8C50-91F15F1BE6FB}"/>
    <cellStyle name="Normal 5 2 2 2 3 7 3" xfId="11084" xr:uid="{6E9D13DD-DCA7-4FB0-BB0F-3755134BF8CF}"/>
    <cellStyle name="Normal 5 2 2 2 3 7 4" xfId="19532" xr:uid="{399ECE88-8C10-4577-A747-11D742418EE9}"/>
    <cellStyle name="Normal 5 2 2 2 3 8" xfId="4787" xr:uid="{00000000-0005-0000-0000-00006F170000}"/>
    <cellStyle name="Normal 5 2 2 2 3 8 2" xfId="13237" xr:uid="{84AF12E1-73F5-440F-9165-5B6ABFEC8DCB}"/>
    <cellStyle name="Normal 5 2 2 2 3 8 3" xfId="21684" xr:uid="{BBABDF72-B841-4402-AA06-55A926844B61}"/>
    <cellStyle name="Normal 5 2 2 2 3 9" xfId="9019" xr:uid="{12807F6D-6EE7-49B8-AAA4-6DB0AD7B05D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DCFCD129-76B1-4863-9F50-46752EB1823C}"/>
    <cellStyle name="Normal 5 2 2 2 4 2 2 2 3" xfId="24244" xr:uid="{86673006-0290-488B-B67B-7A0572333C29}"/>
    <cellStyle name="Normal 5 2 2 2 4 2 2 3" xfId="11579" xr:uid="{D6C54566-53FC-43E0-AE54-85125C4A2D6C}"/>
    <cellStyle name="Normal 5 2 2 2 4 2 2 4" xfId="20027" xr:uid="{34D4EBF5-0EA3-4313-B499-6CCAD648C315}"/>
    <cellStyle name="Normal 5 2 2 2 4 2 3" xfId="5202" xr:uid="{00000000-0005-0000-0000-000074170000}"/>
    <cellStyle name="Normal 5 2 2 2 4 2 3 2" xfId="13652" xr:uid="{153861E7-6258-4942-9569-A163455E6B6F}"/>
    <cellStyle name="Normal 5 2 2 2 4 2 3 3" xfId="22099" xr:uid="{DD87CE53-6D30-4A67-8CB8-443E9CF2F392}"/>
    <cellStyle name="Normal 5 2 2 2 4 2 4" xfId="9434" xr:uid="{7DA1A3FB-F9DC-4A7B-959B-6FB0CDBD3C25}"/>
    <cellStyle name="Normal 5 2 2 2 4 2 5" xfId="17882" xr:uid="{93845994-ABC7-444A-890C-06E6B177336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68958FD1-624C-4728-920E-7C605472B186}"/>
    <cellStyle name="Normal 5 2 2 2 4 3 2 2 3" xfId="24657" xr:uid="{F477861A-27EA-4448-BDDD-54B2BA7E6B9E}"/>
    <cellStyle name="Normal 5 2 2 2 4 3 2 3" xfId="11992" xr:uid="{DC107331-AA0D-4289-91A9-4129389F9DFC}"/>
    <cellStyle name="Normal 5 2 2 2 4 3 2 4" xfId="20440" xr:uid="{A30D8F11-A89E-47F2-91F9-16D922046C4A}"/>
    <cellStyle name="Normal 5 2 2 2 4 3 3" xfId="5615" xr:uid="{00000000-0005-0000-0000-000078170000}"/>
    <cellStyle name="Normal 5 2 2 2 4 3 3 2" xfId="14065" xr:uid="{44A6293B-42AF-4257-ACA9-66F82FDE3F76}"/>
    <cellStyle name="Normal 5 2 2 2 4 3 3 3" xfId="22512" xr:uid="{2339FB83-04C6-4548-8CAA-23F10CC24717}"/>
    <cellStyle name="Normal 5 2 2 2 4 3 4" xfId="9847" xr:uid="{9BD3A0A9-3D65-4770-8C3C-38933AEF572A}"/>
    <cellStyle name="Normal 5 2 2 2 4 3 5" xfId="18295" xr:uid="{C509011C-FD5E-4B56-B7AD-699105ED662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9CECAAE2-4CDF-4BF8-B8FC-9D104D639E97}"/>
    <cellStyle name="Normal 5 2 2 2 4 4 2 2 3" xfId="25070" xr:uid="{4B03EC14-4E3A-4DAB-841A-7EE861E73020}"/>
    <cellStyle name="Normal 5 2 2 2 4 4 2 3" xfId="12405" xr:uid="{15B53474-E95F-4590-87AA-A1574E4BDABA}"/>
    <cellStyle name="Normal 5 2 2 2 4 4 2 4" xfId="20853" xr:uid="{199AF932-FEFF-40A2-A87A-12C4AAA86BD4}"/>
    <cellStyle name="Normal 5 2 2 2 4 4 3" xfId="6028" xr:uid="{00000000-0005-0000-0000-00007C170000}"/>
    <cellStyle name="Normal 5 2 2 2 4 4 3 2" xfId="14478" xr:uid="{4C704705-3153-4C9C-85FF-6A75238F6B68}"/>
    <cellStyle name="Normal 5 2 2 2 4 4 3 3" xfId="22925" xr:uid="{4195D348-9A86-43CE-965C-C392CC60FB83}"/>
    <cellStyle name="Normal 5 2 2 2 4 4 4" xfId="10260" xr:uid="{1E174E51-EE4E-428E-B75A-200E7C00D3DE}"/>
    <cellStyle name="Normal 5 2 2 2 4 4 5" xfId="18708" xr:uid="{5366F7D3-A02A-4C5F-8EF2-CF2DC27EF99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89A48F01-CA14-4E32-9E14-5FBAF12D19EC}"/>
    <cellStyle name="Normal 5 2 2 2 4 5 2 2 3" xfId="25483" xr:uid="{99B245F4-DE95-4405-949B-647990E943DD}"/>
    <cellStyle name="Normal 5 2 2 2 4 5 2 3" xfId="12818" xr:uid="{5D663207-A78A-4D6E-9CDE-2BE4AA7BFB4A}"/>
    <cellStyle name="Normal 5 2 2 2 4 5 2 4" xfId="21266" xr:uid="{13FD014E-BEFD-46F7-9FA7-F7C866877415}"/>
    <cellStyle name="Normal 5 2 2 2 4 5 3" xfId="6441" xr:uid="{00000000-0005-0000-0000-000080170000}"/>
    <cellStyle name="Normal 5 2 2 2 4 5 3 2" xfId="14891" xr:uid="{82DDC620-204E-4976-ABF0-2FB1A7D395FC}"/>
    <cellStyle name="Normal 5 2 2 2 4 5 3 3" xfId="23338" xr:uid="{046EE3C1-5D4D-4E45-9594-3B4E496CC99E}"/>
    <cellStyle name="Normal 5 2 2 2 4 5 4" xfId="10673" xr:uid="{EE23048D-C4C2-4BE3-BD8A-6DE5674032CB}"/>
    <cellStyle name="Normal 5 2 2 2 4 5 5" xfId="19121" xr:uid="{F8B7BB21-ECA6-4F99-ADD0-6798DFE60D5E}"/>
    <cellStyle name="Normal 5 2 2 2 4 6" xfId="2571" xr:uid="{00000000-0005-0000-0000-000081170000}"/>
    <cellStyle name="Normal 5 2 2 2 4 6 2" xfId="6854" xr:uid="{00000000-0005-0000-0000-000082170000}"/>
    <cellStyle name="Normal 5 2 2 2 4 6 2 2" xfId="15304" xr:uid="{8E92F5F6-4F4E-4BCC-88D4-ADEEED32F3E0}"/>
    <cellStyle name="Normal 5 2 2 2 4 6 2 3" xfId="23751" xr:uid="{7D14FD69-64C7-4FF2-9718-05F70FDAAE1A}"/>
    <cellStyle name="Normal 5 2 2 2 4 6 3" xfId="11086" xr:uid="{1A821519-78E7-468B-B169-B94D69A98E99}"/>
    <cellStyle name="Normal 5 2 2 2 4 6 4" xfId="19534" xr:uid="{D14C22C3-2201-4CCC-83B4-BB427A9621D8}"/>
    <cellStyle name="Normal 5 2 2 2 4 7" xfId="4789" xr:uid="{00000000-0005-0000-0000-000083170000}"/>
    <cellStyle name="Normal 5 2 2 2 4 7 2" xfId="13239" xr:uid="{CDB172BD-0533-418B-935B-F19DA3F5FB0B}"/>
    <cellStyle name="Normal 5 2 2 2 4 7 3" xfId="21686" xr:uid="{8CF49A3C-FD30-4D0E-97D7-A8C27602DC0B}"/>
    <cellStyle name="Normal 5 2 2 2 4 8" xfId="9021" xr:uid="{7B1E4F70-0439-4461-988F-A4302C27D279}"/>
    <cellStyle name="Normal 5 2 2 2 4 9" xfId="17469" xr:uid="{BD2E032E-39BC-4011-989C-CEA4672371B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F2D1C426-E0BD-4D94-BD08-598BA60839D6}"/>
    <cellStyle name="Normal 5 2 2 2 5 2 2 3" xfId="24237" xr:uid="{82FC4BB8-4C1F-482C-9CAD-BD52A1003E96}"/>
    <cellStyle name="Normal 5 2 2 2 5 2 3" xfId="11572" xr:uid="{168C6B60-33FB-40DC-B34D-BDC51B80C79F}"/>
    <cellStyle name="Normal 5 2 2 2 5 2 4" xfId="20020" xr:uid="{468920AB-31A6-4069-B811-31B362D6618B}"/>
    <cellStyle name="Normal 5 2 2 2 5 3" xfId="5195" xr:uid="{00000000-0005-0000-0000-000087170000}"/>
    <cellStyle name="Normal 5 2 2 2 5 3 2" xfId="13645" xr:uid="{93EB9E4F-4C0D-4BB6-8C3F-236628F03BDD}"/>
    <cellStyle name="Normal 5 2 2 2 5 3 3" xfId="22092" xr:uid="{1B3FF7F5-A870-4F01-8299-C497A6F65BBC}"/>
    <cellStyle name="Normal 5 2 2 2 5 4" xfId="9427" xr:uid="{113E4B59-032F-4805-976B-661DA75E9B85}"/>
    <cellStyle name="Normal 5 2 2 2 5 5" xfId="17875" xr:uid="{C6605A0D-396D-4306-A9EF-DC997EF16B8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83A85720-8B23-4ED7-86F5-34A8BE6CBFD9}"/>
    <cellStyle name="Normal 5 2 2 2 6 2 2 3" xfId="24650" xr:uid="{6C6FFFCF-F457-489D-9CAB-759E94C962BE}"/>
    <cellStyle name="Normal 5 2 2 2 6 2 3" xfId="11985" xr:uid="{67A86C18-9D57-4BA8-BD44-8FEF4616F6BF}"/>
    <cellStyle name="Normal 5 2 2 2 6 2 4" xfId="20433" xr:uid="{86BE51DF-3ED2-4AA2-824B-5657F0C814D9}"/>
    <cellStyle name="Normal 5 2 2 2 6 3" xfId="5608" xr:uid="{00000000-0005-0000-0000-00008B170000}"/>
    <cellStyle name="Normal 5 2 2 2 6 3 2" xfId="14058" xr:uid="{381629A5-79D5-4DDE-9D89-B2668ABA259F}"/>
    <cellStyle name="Normal 5 2 2 2 6 3 3" xfId="22505" xr:uid="{BC02F326-2BC7-4719-8678-CAA32C1709BE}"/>
    <cellStyle name="Normal 5 2 2 2 6 4" xfId="9840" xr:uid="{6FED54EE-30FC-4189-9B6E-C31924D17FB8}"/>
    <cellStyle name="Normal 5 2 2 2 6 5" xfId="18288" xr:uid="{816002A5-F1A4-40EC-A86F-9A3945E16C53}"/>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3A993643-9E96-4CA2-A5AE-ABEFADAAD586}"/>
    <cellStyle name="Normal 5 2 2 2 7 2 2 3" xfId="25063" xr:uid="{C89E718B-2F7A-4D7E-B759-0847F8C5C4A0}"/>
    <cellStyle name="Normal 5 2 2 2 7 2 3" xfId="12398" xr:uid="{CF2FD93F-5EDD-423B-A354-6E749F4EFE49}"/>
    <cellStyle name="Normal 5 2 2 2 7 2 4" xfId="20846" xr:uid="{40F4745F-E5E7-4491-808F-0ADC0D7C02AA}"/>
    <cellStyle name="Normal 5 2 2 2 7 3" xfId="6021" xr:uid="{00000000-0005-0000-0000-00008F170000}"/>
    <cellStyle name="Normal 5 2 2 2 7 3 2" xfId="14471" xr:uid="{2FA11F87-AF9B-460D-9351-A45B5FAAC7D8}"/>
    <cellStyle name="Normal 5 2 2 2 7 3 3" xfId="22918" xr:uid="{2EB29777-57F4-4CCF-A209-A6EC40303A80}"/>
    <cellStyle name="Normal 5 2 2 2 7 4" xfId="10253" xr:uid="{32609E5C-61CB-44FA-B178-DE88A9919FE8}"/>
    <cellStyle name="Normal 5 2 2 2 7 5" xfId="18701" xr:uid="{0640192A-F3BC-4719-8641-CB0B3109ED4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9CC859CF-8DC8-45D7-AAF6-A8F52D9C2252}"/>
    <cellStyle name="Normal 5 2 2 2 8 2 2 3" xfId="25476" xr:uid="{1468863A-064B-45C6-942C-6779576BECA8}"/>
    <cellStyle name="Normal 5 2 2 2 8 2 3" xfId="12811" xr:uid="{136944B5-7A4A-4BE9-823D-AF66722D234E}"/>
    <cellStyle name="Normal 5 2 2 2 8 2 4" xfId="21259" xr:uid="{C70C8B15-DE1E-4374-B1D9-1AB0634572AF}"/>
    <cellStyle name="Normal 5 2 2 2 8 3" xfId="6434" xr:uid="{00000000-0005-0000-0000-000093170000}"/>
    <cellStyle name="Normal 5 2 2 2 8 3 2" xfId="14884" xr:uid="{DD858804-1707-48CF-94BC-8C65B5681A74}"/>
    <cellStyle name="Normal 5 2 2 2 8 3 3" xfId="23331" xr:uid="{86D14A50-34BA-4F03-A748-58C28A9337B7}"/>
    <cellStyle name="Normal 5 2 2 2 8 4" xfId="10666" xr:uid="{DDFF4367-B074-44BE-B63F-94F66D7F5D34}"/>
    <cellStyle name="Normal 5 2 2 2 8 5" xfId="19114" xr:uid="{39E2AB10-BF6B-4802-8A53-9B92AB7B8403}"/>
    <cellStyle name="Normal 5 2 2 2 9" xfId="2564" xr:uid="{00000000-0005-0000-0000-000094170000}"/>
    <cellStyle name="Normal 5 2 2 2 9 2" xfId="6847" xr:uid="{00000000-0005-0000-0000-000095170000}"/>
    <cellStyle name="Normal 5 2 2 2 9 2 2" xfId="15297" xr:uid="{7852344F-E82A-47E1-BD12-672AC34DEAA8}"/>
    <cellStyle name="Normal 5 2 2 2 9 2 3" xfId="23744" xr:uid="{451A08F5-5323-460E-AC72-D0686A6C1ABF}"/>
    <cellStyle name="Normal 5 2 2 2 9 3" xfId="11079" xr:uid="{4AD65156-800A-4F7D-BC7D-6EC359854C04}"/>
    <cellStyle name="Normal 5 2 2 2 9 4" xfId="19527" xr:uid="{C4D1B338-02D7-44B6-BCDD-E87C394F35EF}"/>
    <cellStyle name="Normal 5 2 2 3" xfId="417" xr:uid="{00000000-0005-0000-0000-000096170000}"/>
    <cellStyle name="Normal 5 2 2 3 10" xfId="9022" xr:uid="{6F7DDB3B-5EED-4CBF-A395-D5BF57EF0965}"/>
    <cellStyle name="Normal 5 2 2 3 11" xfId="17470" xr:uid="{83F4FBE1-9CA9-4F47-9252-E641AF596A24}"/>
    <cellStyle name="Normal 5 2 2 3 2" xfId="418" xr:uid="{00000000-0005-0000-0000-000097170000}"/>
    <cellStyle name="Normal 5 2 2 3 2 10" xfId="17471" xr:uid="{58449DC1-7621-47AF-8253-1211BD36A808}"/>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5516F2C7-9DEB-4F9D-A44E-FFB9A878BA4F}"/>
    <cellStyle name="Normal 5 2 2 3 2 2 2 2 2 3" xfId="24247" xr:uid="{129469EC-5458-4A47-A508-00BF417040E0}"/>
    <cellStyle name="Normal 5 2 2 3 2 2 2 2 3" xfId="11582" xr:uid="{1447C6C5-746D-4554-922B-9DC1F2500494}"/>
    <cellStyle name="Normal 5 2 2 3 2 2 2 2 4" xfId="20030" xr:uid="{67AE089F-312D-49B2-B1E9-DE3085D2CB3E}"/>
    <cellStyle name="Normal 5 2 2 3 2 2 2 3" xfId="5205" xr:uid="{00000000-0005-0000-0000-00009C170000}"/>
    <cellStyle name="Normal 5 2 2 3 2 2 2 3 2" xfId="13655" xr:uid="{934B87ED-D4C8-4E0B-837C-C7146BD9CDD5}"/>
    <cellStyle name="Normal 5 2 2 3 2 2 2 3 3" xfId="22102" xr:uid="{5CA5274A-F551-4C7D-97DB-04196D16DD52}"/>
    <cellStyle name="Normal 5 2 2 3 2 2 2 4" xfId="9437" xr:uid="{07C22CDE-CD66-40F9-BB9D-F77919F4C909}"/>
    <cellStyle name="Normal 5 2 2 3 2 2 2 5" xfId="17885" xr:uid="{0F43B734-C607-4150-A0F1-DBFB0289CAB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EFA81659-725D-4134-9E0C-1F127F78EB55}"/>
    <cellStyle name="Normal 5 2 2 3 2 2 3 2 2 3" xfId="24660" xr:uid="{BB1189C3-686C-4DBD-B1F3-2463F0CA34AF}"/>
    <cellStyle name="Normal 5 2 2 3 2 2 3 2 3" xfId="11995" xr:uid="{947530F0-8F0F-4716-B9B2-FD68A2555C49}"/>
    <cellStyle name="Normal 5 2 2 3 2 2 3 2 4" xfId="20443" xr:uid="{6DAD3245-CB7A-4282-BCFF-0DEA2D3450FB}"/>
    <cellStyle name="Normal 5 2 2 3 2 2 3 3" xfId="5618" xr:uid="{00000000-0005-0000-0000-0000A0170000}"/>
    <cellStyle name="Normal 5 2 2 3 2 2 3 3 2" xfId="14068" xr:uid="{BB024B79-547E-40C3-9DE4-72D9257C19CF}"/>
    <cellStyle name="Normal 5 2 2 3 2 2 3 3 3" xfId="22515" xr:uid="{15836298-6457-40CC-AABE-0FFF3A0F6FB5}"/>
    <cellStyle name="Normal 5 2 2 3 2 2 3 4" xfId="9850" xr:uid="{277281CD-B94D-4AC9-8CB0-E21A9A698586}"/>
    <cellStyle name="Normal 5 2 2 3 2 2 3 5" xfId="18298" xr:uid="{3DB26579-AEF4-4A8C-8CC4-B4257A72FF3B}"/>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B984C29E-73A2-4EAC-A416-EC73694B8F2B}"/>
    <cellStyle name="Normal 5 2 2 3 2 2 4 2 2 3" xfId="25073" xr:uid="{008A725E-2381-423C-8E36-352CA0DC5FAA}"/>
    <cellStyle name="Normal 5 2 2 3 2 2 4 2 3" xfId="12408" xr:uid="{1ABC994F-42F1-42FD-8BA1-2EE06B779D81}"/>
    <cellStyle name="Normal 5 2 2 3 2 2 4 2 4" xfId="20856" xr:uid="{0FBCE033-D497-43E3-85E0-D43C6E451592}"/>
    <cellStyle name="Normal 5 2 2 3 2 2 4 3" xfId="6031" xr:uid="{00000000-0005-0000-0000-0000A4170000}"/>
    <cellStyle name="Normal 5 2 2 3 2 2 4 3 2" xfId="14481" xr:uid="{52A316D3-BAEE-4E28-8BBE-4E5ED1C9E81F}"/>
    <cellStyle name="Normal 5 2 2 3 2 2 4 3 3" xfId="22928" xr:uid="{B460F337-FD51-4C1B-974B-2562C6F5D499}"/>
    <cellStyle name="Normal 5 2 2 3 2 2 4 4" xfId="10263" xr:uid="{0D1AADAC-4C9C-44AB-A8D1-A37ED4A42451}"/>
    <cellStyle name="Normal 5 2 2 3 2 2 4 5" xfId="18711" xr:uid="{DAFD6A6B-7689-4620-8139-43B34A7EC1C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055443A3-F214-4B40-9E43-B830F627C154}"/>
    <cellStyle name="Normal 5 2 2 3 2 2 5 2 2 3" xfId="25486" xr:uid="{E3D0DF62-0972-48BC-BFAC-B7C11270102B}"/>
    <cellStyle name="Normal 5 2 2 3 2 2 5 2 3" xfId="12821" xr:uid="{2C8ACB28-3D04-4B07-ACD1-828CD112D652}"/>
    <cellStyle name="Normal 5 2 2 3 2 2 5 2 4" xfId="21269" xr:uid="{E3F28017-6463-4A4B-9394-C5DC831F778E}"/>
    <cellStyle name="Normal 5 2 2 3 2 2 5 3" xfId="6444" xr:uid="{00000000-0005-0000-0000-0000A8170000}"/>
    <cellStyle name="Normal 5 2 2 3 2 2 5 3 2" xfId="14894" xr:uid="{2545444C-1697-49C6-A25F-C9298F4D74A8}"/>
    <cellStyle name="Normal 5 2 2 3 2 2 5 3 3" xfId="23341" xr:uid="{AE1F5DDC-8D36-4D55-96F8-C27402CDFFC0}"/>
    <cellStyle name="Normal 5 2 2 3 2 2 5 4" xfId="10676" xr:uid="{9A433D0B-B591-4797-A91E-EE3D877753CB}"/>
    <cellStyle name="Normal 5 2 2 3 2 2 5 5" xfId="19124" xr:uid="{D75C513D-20F8-43BB-BFF6-D6B28CA16C7D}"/>
    <cellStyle name="Normal 5 2 2 3 2 2 6" xfId="2574" xr:uid="{00000000-0005-0000-0000-0000A9170000}"/>
    <cellStyle name="Normal 5 2 2 3 2 2 6 2" xfId="6857" xr:uid="{00000000-0005-0000-0000-0000AA170000}"/>
    <cellStyle name="Normal 5 2 2 3 2 2 6 2 2" xfId="15307" xr:uid="{2D90F143-80DE-4E2C-990D-F928EAAECF65}"/>
    <cellStyle name="Normal 5 2 2 3 2 2 6 2 3" xfId="23754" xr:uid="{39F6A103-995B-4038-B68B-0C359CF2EFFF}"/>
    <cellStyle name="Normal 5 2 2 3 2 2 6 3" xfId="11089" xr:uid="{38FCCE43-356D-42E6-B827-4357D427DD9B}"/>
    <cellStyle name="Normal 5 2 2 3 2 2 6 4" xfId="19537" xr:uid="{236F5241-C97F-4718-80F9-709A192D25E0}"/>
    <cellStyle name="Normal 5 2 2 3 2 2 7" xfId="4792" xr:uid="{00000000-0005-0000-0000-0000AB170000}"/>
    <cellStyle name="Normal 5 2 2 3 2 2 7 2" xfId="13242" xr:uid="{D3D0998C-5DAE-4287-92D2-62AE057E5061}"/>
    <cellStyle name="Normal 5 2 2 3 2 2 7 3" xfId="21689" xr:uid="{96C35B89-F307-42E1-B36C-8801ADDF1D1A}"/>
    <cellStyle name="Normal 5 2 2 3 2 2 8" xfId="9024" xr:uid="{FC0FEB03-2211-4E44-8373-738912BD53CD}"/>
    <cellStyle name="Normal 5 2 2 3 2 2 9" xfId="17472" xr:uid="{9A34229E-89A8-40E0-A374-ACB8FE8FFEF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0045909B-71A1-40B1-BC1D-6B15FE5D35FD}"/>
    <cellStyle name="Normal 5 2 2 3 2 3 2 2 3" xfId="24246" xr:uid="{F051E0A7-D3D8-43EA-8E2E-993EA517B686}"/>
    <cellStyle name="Normal 5 2 2 3 2 3 2 3" xfId="11581" xr:uid="{4676AE68-C602-4A0E-BE10-E8170C051F74}"/>
    <cellStyle name="Normal 5 2 2 3 2 3 2 4" xfId="20029" xr:uid="{9DA7A38A-6C8A-4A5B-9767-A34003D67838}"/>
    <cellStyle name="Normal 5 2 2 3 2 3 3" xfId="5204" xr:uid="{00000000-0005-0000-0000-0000AF170000}"/>
    <cellStyle name="Normal 5 2 2 3 2 3 3 2" xfId="13654" xr:uid="{2D4AE677-3B3A-4164-A821-7C92B0D310F0}"/>
    <cellStyle name="Normal 5 2 2 3 2 3 3 3" xfId="22101" xr:uid="{EA845524-0404-41F0-8D8F-BCA157D12821}"/>
    <cellStyle name="Normal 5 2 2 3 2 3 4" xfId="9436" xr:uid="{39DD36EC-BCDD-4A4B-BBB4-8BFD485D119E}"/>
    <cellStyle name="Normal 5 2 2 3 2 3 5" xfId="17884" xr:uid="{FFC44EDF-A19A-4893-A599-C97A09902099}"/>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AC0F04DC-CF57-4B74-848C-5D61E5E852DF}"/>
    <cellStyle name="Normal 5 2 2 3 2 4 2 2 3" xfId="24659" xr:uid="{8216D630-6619-4643-9CEB-850DC3BAD1C2}"/>
    <cellStyle name="Normal 5 2 2 3 2 4 2 3" xfId="11994" xr:uid="{1C40E750-3F7B-4EB2-AF2B-6882708F7D53}"/>
    <cellStyle name="Normal 5 2 2 3 2 4 2 4" xfId="20442" xr:uid="{76A7C21B-2071-4AD2-BF26-16F2DE4F3CB9}"/>
    <cellStyle name="Normal 5 2 2 3 2 4 3" xfId="5617" xr:uid="{00000000-0005-0000-0000-0000B3170000}"/>
    <cellStyle name="Normal 5 2 2 3 2 4 3 2" xfId="14067" xr:uid="{77DA09C1-1E67-4276-9216-BA369C2279D2}"/>
    <cellStyle name="Normal 5 2 2 3 2 4 3 3" xfId="22514" xr:uid="{9ABD6CE7-9B4B-4D24-9AE7-B32DC4D218ED}"/>
    <cellStyle name="Normal 5 2 2 3 2 4 4" xfId="9849" xr:uid="{F755EED5-19D2-4B82-9619-FF10AEE05FEF}"/>
    <cellStyle name="Normal 5 2 2 3 2 4 5" xfId="18297" xr:uid="{43252FDE-6DE2-4F73-B200-A64D95C705A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8D8C26F2-06C9-44C6-AB7A-6FCE2FDC0421}"/>
    <cellStyle name="Normal 5 2 2 3 2 5 2 2 3" xfId="25072" xr:uid="{DF9C51D3-449E-4EE5-A218-14DA3A8A06E0}"/>
    <cellStyle name="Normal 5 2 2 3 2 5 2 3" xfId="12407" xr:uid="{BF354101-8C8B-4A7D-852C-69C3EF69251A}"/>
    <cellStyle name="Normal 5 2 2 3 2 5 2 4" xfId="20855" xr:uid="{178C168C-C2A9-46F7-BB08-47074C56B988}"/>
    <cellStyle name="Normal 5 2 2 3 2 5 3" xfId="6030" xr:uid="{00000000-0005-0000-0000-0000B7170000}"/>
    <cellStyle name="Normal 5 2 2 3 2 5 3 2" xfId="14480" xr:uid="{D24236FB-A78E-4494-AC80-7F91C1980DA7}"/>
    <cellStyle name="Normal 5 2 2 3 2 5 3 3" xfId="22927" xr:uid="{7ADD6661-70BA-4EBF-98E8-41240909555C}"/>
    <cellStyle name="Normal 5 2 2 3 2 5 4" xfId="10262" xr:uid="{2218846C-FEA6-4322-B590-9D4E2D83FEB5}"/>
    <cellStyle name="Normal 5 2 2 3 2 5 5" xfId="18710" xr:uid="{E166CB24-488E-46EC-B1A8-42510222EB6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F7E2A8CE-801D-4C7D-854E-75DE2AE711CA}"/>
    <cellStyle name="Normal 5 2 2 3 2 6 2 2 3" xfId="25485" xr:uid="{C75AF204-BCC5-422E-8F81-82ABA6C1B74C}"/>
    <cellStyle name="Normal 5 2 2 3 2 6 2 3" xfId="12820" xr:uid="{252949C5-1D2A-44FA-BDB3-C937E60B6C4F}"/>
    <cellStyle name="Normal 5 2 2 3 2 6 2 4" xfId="21268" xr:uid="{4A0840C4-D476-466F-85A0-09A7FBEA84AF}"/>
    <cellStyle name="Normal 5 2 2 3 2 6 3" xfId="6443" xr:uid="{00000000-0005-0000-0000-0000BB170000}"/>
    <cellStyle name="Normal 5 2 2 3 2 6 3 2" xfId="14893" xr:uid="{3E04182B-7357-49A6-9C68-BDD9B6603384}"/>
    <cellStyle name="Normal 5 2 2 3 2 6 3 3" xfId="23340" xr:uid="{74A63E2E-5268-46B4-BDF0-D4C70F113BED}"/>
    <cellStyle name="Normal 5 2 2 3 2 6 4" xfId="10675" xr:uid="{2B8A07E5-BF9A-48C2-86D3-0F4185E1A05F}"/>
    <cellStyle name="Normal 5 2 2 3 2 6 5" xfId="19123" xr:uid="{CF6A7F3D-42B3-40D1-83CE-77CAAB757BB5}"/>
    <cellStyle name="Normal 5 2 2 3 2 7" xfId="2573" xr:uid="{00000000-0005-0000-0000-0000BC170000}"/>
    <cellStyle name="Normal 5 2 2 3 2 7 2" xfId="6856" xr:uid="{00000000-0005-0000-0000-0000BD170000}"/>
    <cellStyle name="Normal 5 2 2 3 2 7 2 2" xfId="15306" xr:uid="{6EA2A8B0-6470-4421-A147-BE9F1B620FE4}"/>
    <cellStyle name="Normal 5 2 2 3 2 7 2 3" xfId="23753" xr:uid="{B285FFE0-A5AE-4B7C-BCEA-E1838CA7FEAE}"/>
    <cellStyle name="Normal 5 2 2 3 2 7 3" xfId="11088" xr:uid="{4FA22027-AA0E-47F4-9275-7AD4EFADA8D8}"/>
    <cellStyle name="Normal 5 2 2 3 2 7 4" xfId="19536" xr:uid="{3C9072FD-6956-4489-92B2-A548A33B5662}"/>
    <cellStyle name="Normal 5 2 2 3 2 8" xfId="4791" xr:uid="{00000000-0005-0000-0000-0000BE170000}"/>
    <cellStyle name="Normal 5 2 2 3 2 8 2" xfId="13241" xr:uid="{A8BF76F2-91F7-4CED-854C-3D739BA59A73}"/>
    <cellStyle name="Normal 5 2 2 3 2 8 3" xfId="21688" xr:uid="{1174DF57-209A-44EE-92C9-83F593FA224E}"/>
    <cellStyle name="Normal 5 2 2 3 2 9" xfId="9023" xr:uid="{60ECFF72-E9ED-4279-9AAB-CC2EF0BDF804}"/>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79CC2A71-EAAF-4E6F-BB4A-470FC38EF23D}"/>
    <cellStyle name="Normal 5 2 2 3 3 2 2 2 3" xfId="24248" xr:uid="{6472CC28-C800-4B46-9430-BC292378C705}"/>
    <cellStyle name="Normal 5 2 2 3 3 2 2 3" xfId="11583" xr:uid="{5B8195C6-1456-4D92-9EE3-99FFA76F1059}"/>
    <cellStyle name="Normal 5 2 2 3 3 2 2 4" xfId="20031" xr:uid="{A46F2EB4-003C-4F48-951D-25F2C5E98FD7}"/>
    <cellStyle name="Normal 5 2 2 3 3 2 3" xfId="5206" xr:uid="{00000000-0005-0000-0000-0000C3170000}"/>
    <cellStyle name="Normal 5 2 2 3 3 2 3 2" xfId="13656" xr:uid="{5634ADA2-D38B-4A2D-BF36-CC3B6F573198}"/>
    <cellStyle name="Normal 5 2 2 3 3 2 3 3" xfId="22103" xr:uid="{EA0125A1-812E-4661-B873-751C0B7CFB6F}"/>
    <cellStyle name="Normal 5 2 2 3 3 2 4" xfId="9438" xr:uid="{8650A356-B68E-4EB1-8CC9-096B9F72B84A}"/>
    <cellStyle name="Normal 5 2 2 3 3 2 5" xfId="17886" xr:uid="{BC3256AC-4387-4F85-931A-9B9F7CC22329}"/>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5916B119-7F43-43EE-8906-8C9F9D1327CD}"/>
    <cellStyle name="Normal 5 2 2 3 3 3 2 2 3" xfId="24661" xr:uid="{528A25B4-7C03-41A2-A122-603D1550EDA7}"/>
    <cellStyle name="Normal 5 2 2 3 3 3 2 3" xfId="11996" xr:uid="{1A8720D5-A345-4FBF-B42C-91DD27D2EECC}"/>
    <cellStyle name="Normal 5 2 2 3 3 3 2 4" xfId="20444" xr:uid="{A3CE6AA9-2FBA-4CCA-959D-FA77065B7F60}"/>
    <cellStyle name="Normal 5 2 2 3 3 3 3" xfId="5619" xr:uid="{00000000-0005-0000-0000-0000C7170000}"/>
    <cellStyle name="Normal 5 2 2 3 3 3 3 2" xfId="14069" xr:uid="{32E7AC23-25FB-469A-8857-08123B009BFC}"/>
    <cellStyle name="Normal 5 2 2 3 3 3 3 3" xfId="22516" xr:uid="{C7E480DD-2B58-41B1-B667-07EB80CAF0AA}"/>
    <cellStyle name="Normal 5 2 2 3 3 3 4" xfId="9851" xr:uid="{6D1E295F-5C4F-4E6F-BDE5-3574E4BAEEBC}"/>
    <cellStyle name="Normal 5 2 2 3 3 3 5" xfId="18299" xr:uid="{17455DD2-779F-4DF5-A8FE-D42936833B08}"/>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AA3B6F2A-870E-4694-9E87-C9C6DD3D3920}"/>
    <cellStyle name="Normal 5 2 2 3 3 4 2 2 3" xfId="25074" xr:uid="{B302F525-370B-4372-9421-ED29A6B8911D}"/>
    <cellStyle name="Normal 5 2 2 3 3 4 2 3" xfId="12409" xr:uid="{C2FB1CA6-27BB-41E5-8A0C-DB54A185233B}"/>
    <cellStyle name="Normal 5 2 2 3 3 4 2 4" xfId="20857" xr:uid="{74D8E3A8-977D-4BEC-9602-C1BDE0BE56FE}"/>
    <cellStyle name="Normal 5 2 2 3 3 4 3" xfId="6032" xr:uid="{00000000-0005-0000-0000-0000CB170000}"/>
    <cellStyle name="Normal 5 2 2 3 3 4 3 2" xfId="14482" xr:uid="{E1EB8937-88D9-47D8-810D-2F50EDC55599}"/>
    <cellStyle name="Normal 5 2 2 3 3 4 3 3" xfId="22929" xr:uid="{42312FA0-4BA4-4F61-B03F-45790C295DF1}"/>
    <cellStyle name="Normal 5 2 2 3 3 4 4" xfId="10264" xr:uid="{77802245-1B39-4400-9608-58BAD8E64BF1}"/>
    <cellStyle name="Normal 5 2 2 3 3 4 5" xfId="18712" xr:uid="{7FD19029-C56A-4A2D-926B-A90B0B75F284}"/>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F1062E09-0F3C-48B5-B403-304F67E47E51}"/>
    <cellStyle name="Normal 5 2 2 3 3 5 2 2 3" xfId="25487" xr:uid="{09D8F44F-47E6-4F39-84EB-24CE1F8B649F}"/>
    <cellStyle name="Normal 5 2 2 3 3 5 2 3" xfId="12822" xr:uid="{01DE3316-7E08-458E-B429-F55308EF4FBE}"/>
    <cellStyle name="Normal 5 2 2 3 3 5 2 4" xfId="21270" xr:uid="{730E460A-EB96-4B78-BEBE-A84866C28F64}"/>
    <cellStyle name="Normal 5 2 2 3 3 5 3" xfId="6445" xr:uid="{00000000-0005-0000-0000-0000CF170000}"/>
    <cellStyle name="Normal 5 2 2 3 3 5 3 2" xfId="14895" xr:uid="{5536CBAC-35B1-4AE9-A5B4-AA91AC06F389}"/>
    <cellStyle name="Normal 5 2 2 3 3 5 3 3" xfId="23342" xr:uid="{9ACB3540-D7D8-4BCF-8096-57FB058D8DC6}"/>
    <cellStyle name="Normal 5 2 2 3 3 5 4" xfId="10677" xr:uid="{8F9F6676-D254-447E-ACA8-052FC2E944B7}"/>
    <cellStyle name="Normal 5 2 2 3 3 5 5" xfId="19125" xr:uid="{EC6EDB66-1B9B-4191-BDDA-0F3E2F852D54}"/>
    <cellStyle name="Normal 5 2 2 3 3 6" xfId="2575" xr:uid="{00000000-0005-0000-0000-0000D0170000}"/>
    <cellStyle name="Normal 5 2 2 3 3 6 2" xfId="6858" xr:uid="{00000000-0005-0000-0000-0000D1170000}"/>
    <cellStyle name="Normal 5 2 2 3 3 6 2 2" xfId="15308" xr:uid="{90908F8C-67AC-4B43-A4C4-F0E3D2A25321}"/>
    <cellStyle name="Normal 5 2 2 3 3 6 2 3" xfId="23755" xr:uid="{7537D8D8-5054-4011-AC06-9FFCE6591512}"/>
    <cellStyle name="Normal 5 2 2 3 3 6 3" xfId="11090" xr:uid="{F9FAEB36-AD28-407F-85C6-18940AE4B13C}"/>
    <cellStyle name="Normal 5 2 2 3 3 6 4" xfId="19538" xr:uid="{4AE3A1F8-5CC3-4205-8DB5-8FFB92E45E42}"/>
    <cellStyle name="Normal 5 2 2 3 3 7" xfId="4793" xr:uid="{00000000-0005-0000-0000-0000D2170000}"/>
    <cellStyle name="Normal 5 2 2 3 3 7 2" xfId="13243" xr:uid="{07656C4D-32BB-48B9-8357-98EC2D4E0381}"/>
    <cellStyle name="Normal 5 2 2 3 3 7 3" xfId="21690" xr:uid="{0FB87455-C660-4045-812F-7AD16142FF71}"/>
    <cellStyle name="Normal 5 2 2 3 3 8" xfId="9025" xr:uid="{C8445DAA-4937-4C7D-BE47-A0FBECEA0097}"/>
    <cellStyle name="Normal 5 2 2 3 3 9" xfId="17473" xr:uid="{F21BA81A-F9F7-4009-B4BD-C7DC88963740}"/>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0C26C226-63B3-4963-8560-2DA6466C40B0}"/>
    <cellStyle name="Normal 5 2 2 3 4 2 2 3" xfId="24245" xr:uid="{3BA54D53-44F6-45CE-935C-16179378DFCC}"/>
    <cellStyle name="Normal 5 2 2 3 4 2 3" xfId="11580" xr:uid="{5800125E-A749-42E8-B2C9-49F574780A6A}"/>
    <cellStyle name="Normal 5 2 2 3 4 2 4" xfId="20028" xr:uid="{07E2ABDB-2C96-4427-8281-365BBAA07594}"/>
    <cellStyle name="Normal 5 2 2 3 4 3" xfId="5203" xr:uid="{00000000-0005-0000-0000-0000D6170000}"/>
    <cellStyle name="Normal 5 2 2 3 4 3 2" xfId="13653" xr:uid="{ABD3451E-D6D9-4C0A-9AFA-43FC6075382A}"/>
    <cellStyle name="Normal 5 2 2 3 4 3 3" xfId="22100" xr:uid="{6D404A79-71CC-480C-B1C4-C96B79AE5B09}"/>
    <cellStyle name="Normal 5 2 2 3 4 4" xfId="9435" xr:uid="{94377BF1-8F6F-4E09-B712-3397AD583570}"/>
    <cellStyle name="Normal 5 2 2 3 4 5" xfId="17883" xr:uid="{9DFB23DF-726A-457C-9108-8D00DEF1AF3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D38512F8-1254-48F9-88C5-D93FAEADA942}"/>
    <cellStyle name="Normal 5 2 2 3 5 2 2 3" xfId="24658" xr:uid="{679916F4-98EE-4EC8-B469-CFA7D61B03F2}"/>
    <cellStyle name="Normal 5 2 2 3 5 2 3" xfId="11993" xr:uid="{ACFC655A-7DBF-438F-A9ED-609737E2D25B}"/>
    <cellStyle name="Normal 5 2 2 3 5 2 4" xfId="20441" xr:uid="{72EEC864-6F3D-4C2D-A0F8-0AE184C182AA}"/>
    <cellStyle name="Normal 5 2 2 3 5 3" xfId="5616" xr:uid="{00000000-0005-0000-0000-0000DA170000}"/>
    <cellStyle name="Normal 5 2 2 3 5 3 2" xfId="14066" xr:uid="{121C7CA8-8FF4-4D52-9853-A0219F92FFA1}"/>
    <cellStyle name="Normal 5 2 2 3 5 3 3" xfId="22513" xr:uid="{DCBD7A80-5856-4079-98A0-7F00DDF43586}"/>
    <cellStyle name="Normal 5 2 2 3 5 4" xfId="9848" xr:uid="{A980F3AB-1C01-4EC5-92BF-6C192B58472F}"/>
    <cellStyle name="Normal 5 2 2 3 5 5" xfId="18296" xr:uid="{C78F6544-AD7D-4BB4-A27A-89CF6999015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E8BE32F4-2584-4CBA-A6BD-5EB2A77AD229}"/>
    <cellStyle name="Normal 5 2 2 3 6 2 2 3" xfId="25071" xr:uid="{362F3376-373D-4245-91D3-C74D9C4DA97E}"/>
    <cellStyle name="Normal 5 2 2 3 6 2 3" xfId="12406" xr:uid="{BB51ADF4-B413-4BA7-829B-7C0D19553C9A}"/>
    <cellStyle name="Normal 5 2 2 3 6 2 4" xfId="20854" xr:uid="{067174B4-E923-4D54-A9D7-31E5CD0597F4}"/>
    <cellStyle name="Normal 5 2 2 3 6 3" xfId="6029" xr:uid="{00000000-0005-0000-0000-0000DE170000}"/>
    <cellStyle name="Normal 5 2 2 3 6 3 2" xfId="14479" xr:uid="{F9F2207F-531F-46E1-A501-3CC5121D4F5A}"/>
    <cellStyle name="Normal 5 2 2 3 6 3 3" xfId="22926" xr:uid="{6296BC39-40CB-438E-8377-86A160489054}"/>
    <cellStyle name="Normal 5 2 2 3 6 4" xfId="10261" xr:uid="{A2A14F57-CFDE-49A9-8283-ADE5C30C9F4E}"/>
    <cellStyle name="Normal 5 2 2 3 6 5" xfId="18709" xr:uid="{FCC46ADB-C2D0-4FFF-A559-197CB7CBF75B}"/>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D705D3E3-87C8-4D31-B9DD-1AE51971B9B8}"/>
    <cellStyle name="Normal 5 2 2 3 7 2 2 3" xfId="25484" xr:uid="{25837EAB-5DE7-4034-8383-709C7851DD66}"/>
    <cellStyle name="Normal 5 2 2 3 7 2 3" xfId="12819" xr:uid="{60745257-05AC-47D8-82D1-FD9D8D2C2D61}"/>
    <cellStyle name="Normal 5 2 2 3 7 2 4" xfId="21267" xr:uid="{B77D2CC2-5851-40BA-8212-5F6B11BC0DE1}"/>
    <cellStyle name="Normal 5 2 2 3 7 3" xfId="6442" xr:uid="{00000000-0005-0000-0000-0000E2170000}"/>
    <cellStyle name="Normal 5 2 2 3 7 3 2" xfId="14892" xr:uid="{51D4361F-41AD-40BD-9281-E64319FDC3D2}"/>
    <cellStyle name="Normal 5 2 2 3 7 3 3" xfId="23339" xr:uid="{CB35900E-6537-45E0-B1F7-9A280F18B531}"/>
    <cellStyle name="Normal 5 2 2 3 7 4" xfId="10674" xr:uid="{45F4722A-C7E4-465B-ACA3-EB7B7F37F78B}"/>
    <cellStyle name="Normal 5 2 2 3 7 5" xfId="19122" xr:uid="{090BF6D9-956B-4A3A-90EE-F0FBB1BFC246}"/>
    <cellStyle name="Normal 5 2 2 3 8" xfId="2572" xr:uid="{00000000-0005-0000-0000-0000E3170000}"/>
    <cellStyle name="Normal 5 2 2 3 8 2" xfId="6855" xr:uid="{00000000-0005-0000-0000-0000E4170000}"/>
    <cellStyle name="Normal 5 2 2 3 8 2 2" xfId="15305" xr:uid="{B2E15AB3-B43F-483D-B68A-7A66FE38C097}"/>
    <cellStyle name="Normal 5 2 2 3 8 2 3" xfId="23752" xr:uid="{C4FC5D33-2AC1-45F7-970C-9A62B4C5355B}"/>
    <cellStyle name="Normal 5 2 2 3 8 3" xfId="11087" xr:uid="{58D64697-5AA4-4730-8B71-E8C17AC183B3}"/>
    <cellStyle name="Normal 5 2 2 3 8 4" xfId="19535" xr:uid="{896271CB-28BB-4C58-B316-66640834E6BF}"/>
    <cellStyle name="Normal 5 2 2 3 9" xfId="4790" xr:uid="{00000000-0005-0000-0000-0000E5170000}"/>
    <cellStyle name="Normal 5 2 2 3 9 2" xfId="13240" xr:uid="{DFF093F2-7196-486D-B887-8CC87E92A092}"/>
    <cellStyle name="Normal 5 2 2 3 9 3" xfId="21687" xr:uid="{DE286369-7BB5-4FA5-81D5-8ACE0C46F6F8}"/>
    <cellStyle name="Normal 5 2 2 4" xfId="421" xr:uid="{00000000-0005-0000-0000-0000E6170000}"/>
    <cellStyle name="Normal 5 2 2 4 10" xfId="17474" xr:uid="{90AE291D-0B54-4D2C-8844-918639398D4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C5E90870-4977-44FD-8E2D-2B9619247384}"/>
    <cellStyle name="Normal 5 2 2 4 2 2 2 2 3" xfId="24250" xr:uid="{15C74F38-10E0-442E-BB91-F7F9937A680D}"/>
    <cellStyle name="Normal 5 2 2 4 2 2 2 3" xfId="11585" xr:uid="{909242B0-817D-4270-AE2B-AD34CA80BDA5}"/>
    <cellStyle name="Normal 5 2 2 4 2 2 2 4" xfId="20033" xr:uid="{C0BA9DFF-81FA-4650-9D8C-3956A7D4E5DF}"/>
    <cellStyle name="Normal 5 2 2 4 2 2 3" xfId="5208" xr:uid="{00000000-0005-0000-0000-0000EB170000}"/>
    <cellStyle name="Normal 5 2 2 4 2 2 3 2" xfId="13658" xr:uid="{8F4462BE-158D-4099-836C-777C3CA7C93C}"/>
    <cellStyle name="Normal 5 2 2 4 2 2 3 3" xfId="22105" xr:uid="{86D79F7A-BFE9-4B4A-9E58-879D5A3C9734}"/>
    <cellStyle name="Normal 5 2 2 4 2 2 4" xfId="9440" xr:uid="{76C05721-2F99-405B-91CC-C2CE1D5D38F6}"/>
    <cellStyle name="Normal 5 2 2 4 2 2 5" xfId="17888" xr:uid="{D65CDC27-3DB8-4902-A880-032BC0B4C003}"/>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2E9924D2-4FE8-4DFD-A340-0F3EFE6E078D}"/>
    <cellStyle name="Normal 5 2 2 4 2 3 2 2 3" xfId="24663" xr:uid="{A95150E6-9515-4E8D-8A7D-D507120BE03A}"/>
    <cellStyle name="Normal 5 2 2 4 2 3 2 3" xfId="11998" xr:uid="{B8F5801D-6306-4B6F-9B07-3C5326803D94}"/>
    <cellStyle name="Normal 5 2 2 4 2 3 2 4" xfId="20446" xr:uid="{21979E3A-30D2-4D07-B801-DEFB9B901B53}"/>
    <cellStyle name="Normal 5 2 2 4 2 3 3" xfId="5621" xr:uid="{00000000-0005-0000-0000-0000EF170000}"/>
    <cellStyle name="Normal 5 2 2 4 2 3 3 2" xfId="14071" xr:uid="{2AD008D0-A1A2-4EF6-BA28-832611019B08}"/>
    <cellStyle name="Normal 5 2 2 4 2 3 3 3" xfId="22518" xr:uid="{FB949812-1988-4EB3-ACE7-06BCE6C6A32F}"/>
    <cellStyle name="Normal 5 2 2 4 2 3 4" xfId="9853" xr:uid="{7AC72654-C6C5-478B-90AC-AAA1B54BDD64}"/>
    <cellStyle name="Normal 5 2 2 4 2 3 5" xfId="18301" xr:uid="{C9F79F0E-F316-4126-8BDC-E5F15E98F79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DB45F335-35D0-4488-9FF3-FD70D80B7D6F}"/>
    <cellStyle name="Normal 5 2 2 4 2 4 2 2 3" xfId="25076" xr:uid="{3C67DF1D-C070-4864-872A-068AC0FFDB9A}"/>
    <cellStyle name="Normal 5 2 2 4 2 4 2 3" xfId="12411" xr:uid="{EFE9F101-FDCC-4949-B652-89F167DF904F}"/>
    <cellStyle name="Normal 5 2 2 4 2 4 2 4" xfId="20859" xr:uid="{2804835D-0C0D-4E56-9E96-F51EE38D42DA}"/>
    <cellStyle name="Normal 5 2 2 4 2 4 3" xfId="6034" xr:uid="{00000000-0005-0000-0000-0000F3170000}"/>
    <cellStyle name="Normal 5 2 2 4 2 4 3 2" xfId="14484" xr:uid="{7F469417-E8D6-41FC-B05B-E62174909CA0}"/>
    <cellStyle name="Normal 5 2 2 4 2 4 3 3" xfId="22931" xr:uid="{655B6879-F5C1-40E1-8925-9F1CA6054E19}"/>
    <cellStyle name="Normal 5 2 2 4 2 4 4" xfId="10266" xr:uid="{A153B978-F98E-4AF0-B687-15DCC9113BDD}"/>
    <cellStyle name="Normal 5 2 2 4 2 4 5" xfId="18714" xr:uid="{08633363-E4C2-45EC-A277-0E7BA8908784}"/>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9EFDC818-6B52-455F-8BE5-A7F9C6396301}"/>
    <cellStyle name="Normal 5 2 2 4 2 5 2 2 3" xfId="25489" xr:uid="{7AA05C2B-0A2E-4E1E-825F-B14B46C5654C}"/>
    <cellStyle name="Normal 5 2 2 4 2 5 2 3" xfId="12824" xr:uid="{17FC5F30-22FE-4D11-BAF4-BE01A7C94D69}"/>
    <cellStyle name="Normal 5 2 2 4 2 5 2 4" xfId="21272" xr:uid="{6773FE93-CD7B-4329-AFA0-84A3F6B9A1F8}"/>
    <cellStyle name="Normal 5 2 2 4 2 5 3" xfId="6447" xr:uid="{00000000-0005-0000-0000-0000F7170000}"/>
    <cellStyle name="Normal 5 2 2 4 2 5 3 2" xfId="14897" xr:uid="{231DA8D9-1BC3-40E6-ABB5-B1912EEED59B}"/>
    <cellStyle name="Normal 5 2 2 4 2 5 3 3" xfId="23344" xr:uid="{E91FFEBD-0C91-497A-841D-932A5F531B73}"/>
    <cellStyle name="Normal 5 2 2 4 2 5 4" xfId="10679" xr:uid="{487C6DB4-323A-440A-90C3-6A9442D8787A}"/>
    <cellStyle name="Normal 5 2 2 4 2 5 5" xfId="19127" xr:uid="{6A17CCCB-2102-4025-8962-E86DD8A26085}"/>
    <cellStyle name="Normal 5 2 2 4 2 6" xfId="2577" xr:uid="{00000000-0005-0000-0000-0000F8170000}"/>
    <cellStyle name="Normal 5 2 2 4 2 6 2" xfId="6860" xr:uid="{00000000-0005-0000-0000-0000F9170000}"/>
    <cellStyle name="Normal 5 2 2 4 2 6 2 2" xfId="15310" xr:uid="{EA75ED66-C176-4CAB-A2AA-72FC8239CBCC}"/>
    <cellStyle name="Normal 5 2 2 4 2 6 2 3" xfId="23757" xr:uid="{1B79F8C8-415D-4A48-87A5-6430588C40BE}"/>
    <cellStyle name="Normal 5 2 2 4 2 6 3" xfId="11092" xr:uid="{F01EFBB1-C0DD-4489-9299-32E28366DCBB}"/>
    <cellStyle name="Normal 5 2 2 4 2 6 4" xfId="19540" xr:uid="{393F1D15-2C14-475D-9BA9-D4E7B2655D78}"/>
    <cellStyle name="Normal 5 2 2 4 2 7" xfId="4795" xr:uid="{00000000-0005-0000-0000-0000FA170000}"/>
    <cellStyle name="Normal 5 2 2 4 2 7 2" xfId="13245" xr:uid="{34085104-AFDE-49E0-ABF2-C836F0C25969}"/>
    <cellStyle name="Normal 5 2 2 4 2 7 3" xfId="21692" xr:uid="{66127758-BC94-4198-ACEC-367F893FCA5B}"/>
    <cellStyle name="Normal 5 2 2 4 2 8" xfId="9027" xr:uid="{3C46F6BE-C7F3-4D5B-8465-FAB9D7FEFE67}"/>
    <cellStyle name="Normal 5 2 2 4 2 9" xfId="17475" xr:uid="{A98DE973-7009-4F89-AA49-69E25CCBF73B}"/>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3B6688FC-D91D-4982-A778-99495084BFD9}"/>
    <cellStyle name="Normal 5 2 2 4 3 2 2 3" xfId="24249" xr:uid="{9E6A51C9-57DD-4F03-A3C8-E9C7DA522D26}"/>
    <cellStyle name="Normal 5 2 2 4 3 2 3" xfId="11584" xr:uid="{C4F94FE6-01D3-45EC-9AE8-0D9A47EEA631}"/>
    <cellStyle name="Normal 5 2 2 4 3 2 4" xfId="20032" xr:uid="{CCC55382-6DAF-40BE-BBD0-CC1DD467787B}"/>
    <cellStyle name="Normal 5 2 2 4 3 3" xfId="5207" xr:uid="{00000000-0005-0000-0000-0000FE170000}"/>
    <cellStyle name="Normal 5 2 2 4 3 3 2" xfId="13657" xr:uid="{4D1BDD1B-8EEE-4FDB-841C-4618BF7771D7}"/>
    <cellStyle name="Normal 5 2 2 4 3 3 3" xfId="22104" xr:uid="{506969FD-D9EE-470D-ADBA-B963B2C307FE}"/>
    <cellStyle name="Normal 5 2 2 4 3 4" xfId="9439" xr:uid="{7BBFF495-D34E-43D0-863F-AE2FCF4A10DF}"/>
    <cellStyle name="Normal 5 2 2 4 3 5" xfId="17887" xr:uid="{E5B9CAAF-58F7-4B6E-BEB3-E153DA317C3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C9DB89A6-C379-432F-8A00-126486BB3AE9}"/>
    <cellStyle name="Normal 5 2 2 4 4 2 2 3" xfId="24662" xr:uid="{77261316-FCD5-4C74-8CB0-5EFC80C10A88}"/>
    <cellStyle name="Normal 5 2 2 4 4 2 3" xfId="11997" xr:uid="{852BADD0-77A2-4781-A7F3-605BD2D85A2B}"/>
    <cellStyle name="Normal 5 2 2 4 4 2 4" xfId="20445" xr:uid="{FA1EC577-875B-486D-B61F-A1D710CF2151}"/>
    <cellStyle name="Normal 5 2 2 4 4 3" xfId="5620" xr:uid="{00000000-0005-0000-0000-000002180000}"/>
    <cellStyle name="Normal 5 2 2 4 4 3 2" xfId="14070" xr:uid="{E821ECC8-7615-42E6-82AF-132C28622BBF}"/>
    <cellStyle name="Normal 5 2 2 4 4 3 3" xfId="22517" xr:uid="{7A69286E-8125-4126-9B0D-80EC24CE72B0}"/>
    <cellStyle name="Normal 5 2 2 4 4 4" xfId="9852" xr:uid="{18F393E5-05D2-4382-B421-52B2440FB628}"/>
    <cellStyle name="Normal 5 2 2 4 4 5" xfId="18300" xr:uid="{96514FDD-F5B6-4DDA-8B51-3CAC2BD39E5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36D3A5F8-924D-4A43-ABC8-D4AAB54A6C2C}"/>
    <cellStyle name="Normal 5 2 2 4 5 2 2 3" xfId="25075" xr:uid="{49B0066B-DE8A-419A-B232-86DE998F70EA}"/>
    <cellStyle name="Normal 5 2 2 4 5 2 3" xfId="12410" xr:uid="{7A1D6BB8-F9EF-446B-B1E2-27919BB315E2}"/>
    <cellStyle name="Normal 5 2 2 4 5 2 4" xfId="20858" xr:uid="{8F779D50-383A-4D4B-89B9-FB13785A44C7}"/>
    <cellStyle name="Normal 5 2 2 4 5 3" xfId="6033" xr:uid="{00000000-0005-0000-0000-000006180000}"/>
    <cellStyle name="Normal 5 2 2 4 5 3 2" xfId="14483" xr:uid="{A61F2F07-F342-461C-8677-ED670441495A}"/>
    <cellStyle name="Normal 5 2 2 4 5 3 3" xfId="22930" xr:uid="{C5EA91D3-2240-4EFA-91F4-650DC8D187E2}"/>
    <cellStyle name="Normal 5 2 2 4 5 4" xfId="10265" xr:uid="{F2449AEC-1CB3-4530-B93A-C75800867FE4}"/>
    <cellStyle name="Normal 5 2 2 4 5 5" xfId="18713" xr:uid="{E3553EFE-51FE-4B40-AD8F-21B5DFCAF5FA}"/>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2B19541B-FA77-418F-95FC-749D4F177359}"/>
    <cellStyle name="Normal 5 2 2 4 6 2 2 3" xfId="25488" xr:uid="{18233FC9-75BE-4194-9509-19572D352D46}"/>
    <cellStyle name="Normal 5 2 2 4 6 2 3" xfId="12823" xr:uid="{96587559-4A8F-4784-9BCD-A71C4270AC2E}"/>
    <cellStyle name="Normal 5 2 2 4 6 2 4" xfId="21271" xr:uid="{8DDCB565-EE2E-4B36-8DC7-807202D67C89}"/>
    <cellStyle name="Normal 5 2 2 4 6 3" xfId="6446" xr:uid="{00000000-0005-0000-0000-00000A180000}"/>
    <cellStyle name="Normal 5 2 2 4 6 3 2" xfId="14896" xr:uid="{6DBD5557-E977-48E2-9340-8ED7DC8C90BA}"/>
    <cellStyle name="Normal 5 2 2 4 6 3 3" xfId="23343" xr:uid="{CF92EA48-AF61-467D-BB31-C07617150302}"/>
    <cellStyle name="Normal 5 2 2 4 6 4" xfId="10678" xr:uid="{1CB7FD2A-BB02-4FF0-AF38-328D90C6ED77}"/>
    <cellStyle name="Normal 5 2 2 4 6 5" xfId="19126" xr:uid="{8F8A6878-53C7-4897-ABF5-2F43FD3CEF56}"/>
    <cellStyle name="Normal 5 2 2 4 7" xfId="2576" xr:uid="{00000000-0005-0000-0000-00000B180000}"/>
    <cellStyle name="Normal 5 2 2 4 7 2" xfId="6859" xr:uid="{00000000-0005-0000-0000-00000C180000}"/>
    <cellStyle name="Normal 5 2 2 4 7 2 2" xfId="15309" xr:uid="{182B113C-4A04-40F7-B6B6-7BB113999489}"/>
    <cellStyle name="Normal 5 2 2 4 7 2 3" xfId="23756" xr:uid="{B75B69B2-7D90-4812-95E2-71B57470C47B}"/>
    <cellStyle name="Normal 5 2 2 4 7 3" xfId="11091" xr:uid="{E9DA1F73-7BB7-4AAE-9EDA-88F772632835}"/>
    <cellStyle name="Normal 5 2 2 4 7 4" xfId="19539" xr:uid="{1D91B113-5961-48BE-8D03-EAA008C9DF98}"/>
    <cellStyle name="Normal 5 2 2 4 8" xfId="4794" xr:uid="{00000000-0005-0000-0000-00000D180000}"/>
    <cellStyle name="Normal 5 2 2 4 8 2" xfId="13244" xr:uid="{C499699B-C2ED-4305-A345-3ECA7B0D7983}"/>
    <cellStyle name="Normal 5 2 2 4 8 3" xfId="21691" xr:uid="{66EEB15C-D018-455C-95A0-F70D53ED4098}"/>
    <cellStyle name="Normal 5 2 2 4 9" xfId="9026" xr:uid="{4B44D9AB-6DA1-4DD1-AD1A-A7228EE11AC5}"/>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D3DDE9B0-C226-44BE-AF83-7976CC8E27E1}"/>
    <cellStyle name="Normal 5 2 2 5 2 2 2 3" xfId="24251" xr:uid="{169DE7D9-2013-4A12-AD96-5B14FE93284B}"/>
    <cellStyle name="Normal 5 2 2 5 2 2 3" xfId="11586" xr:uid="{DDD541A5-3268-47D9-B7A9-D88919A0DC68}"/>
    <cellStyle name="Normal 5 2 2 5 2 2 4" xfId="20034" xr:uid="{A4DC23A0-3B77-4FB6-9FDD-11BE01A3CA81}"/>
    <cellStyle name="Normal 5 2 2 5 2 3" xfId="5209" xr:uid="{00000000-0005-0000-0000-000012180000}"/>
    <cellStyle name="Normal 5 2 2 5 2 3 2" xfId="13659" xr:uid="{4A704D30-6C1D-4F35-9758-844B87F4A5D5}"/>
    <cellStyle name="Normal 5 2 2 5 2 3 3" xfId="22106" xr:uid="{F0C77CF0-2166-48A3-9822-7473100ED4F4}"/>
    <cellStyle name="Normal 5 2 2 5 2 4" xfId="9441" xr:uid="{652C1569-0AC3-48E8-B350-5D023A1A6236}"/>
    <cellStyle name="Normal 5 2 2 5 2 5" xfId="17889" xr:uid="{932A9D89-7C2B-46E6-B219-9545934C15B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D2E873AE-326A-4BB1-AD95-37F086C4D69F}"/>
    <cellStyle name="Normal 5 2 2 5 3 2 2 3" xfId="24664" xr:uid="{3FD72962-7B88-46C7-9D7B-8637E6605A3B}"/>
    <cellStyle name="Normal 5 2 2 5 3 2 3" xfId="11999" xr:uid="{96825B5F-89BE-4E27-A320-369631B8F07C}"/>
    <cellStyle name="Normal 5 2 2 5 3 2 4" xfId="20447" xr:uid="{73FA112E-1DAD-43F4-9FCE-A111BB23AB04}"/>
    <cellStyle name="Normal 5 2 2 5 3 3" xfId="5622" xr:uid="{00000000-0005-0000-0000-000016180000}"/>
    <cellStyle name="Normal 5 2 2 5 3 3 2" xfId="14072" xr:uid="{AB561F0C-E10E-4749-AD37-DC1C0B33673B}"/>
    <cellStyle name="Normal 5 2 2 5 3 3 3" xfId="22519" xr:uid="{9AB073BC-FE4B-4CD9-A2F2-4EC7CB65ACD8}"/>
    <cellStyle name="Normal 5 2 2 5 3 4" xfId="9854" xr:uid="{68BAC307-2E7C-4C38-9353-B10EBB0B348D}"/>
    <cellStyle name="Normal 5 2 2 5 3 5" xfId="18302" xr:uid="{40A3542B-8F5F-4B18-9F13-D0093CB843E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F70A7156-2C3B-4CE9-891A-B7FA391416D8}"/>
    <cellStyle name="Normal 5 2 2 5 4 2 2 3" xfId="25077" xr:uid="{B7F01077-F99F-48FC-9A34-B4FFE5BD802F}"/>
    <cellStyle name="Normal 5 2 2 5 4 2 3" xfId="12412" xr:uid="{04AEC12E-939C-4AAE-B8A4-7590091DDDE5}"/>
    <cellStyle name="Normal 5 2 2 5 4 2 4" xfId="20860" xr:uid="{DB2C332A-8A7C-4398-B580-5C53B0D07254}"/>
    <cellStyle name="Normal 5 2 2 5 4 3" xfId="6035" xr:uid="{00000000-0005-0000-0000-00001A180000}"/>
    <cellStyle name="Normal 5 2 2 5 4 3 2" xfId="14485" xr:uid="{262F1DB8-3E16-4A83-A351-A6649F73D6C2}"/>
    <cellStyle name="Normal 5 2 2 5 4 3 3" xfId="22932" xr:uid="{A85CAB5B-9875-41EB-8645-9A27A5822014}"/>
    <cellStyle name="Normal 5 2 2 5 4 4" xfId="10267" xr:uid="{2E42E64D-95C5-4A8F-881B-11B4D125BC6E}"/>
    <cellStyle name="Normal 5 2 2 5 4 5" xfId="18715" xr:uid="{389C8969-B8DD-4C6F-918D-12FD22333ACE}"/>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85002367-5BC9-4E2C-9559-34EA0C6FC12B}"/>
    <cellStyle name="Normal 5 2 2 5 5 2 2 3" xfId="25490" xr:uid="{BA0B70AA-EA7A-4931-A12B-D479C1D00E18}"/>
    <cellStyle name="Normal 5 2 2 5 5 2 3" xfId="12825" xr:uid="{CB1CCDFF-90B2-47F8-AF19-D7BA83DB6018}"/>
    <cellStyle name="Normal 5 2 2 5 5 2 4" xfId="21273" xr:uid="{413D23A5-BD85-4AA0-933E-7B2852CA2775}"/>
    <cellStyle name="Normal 5 2 2 5 5 3" xfId="6448" xr:uid="{00000000-0005-0000-0000-00001E180000}"/>
    <cellStyle name="Normal 5 2 2 5 5 3 2" xfId="14898" xr:uid="{F3905658-125B-41AF-B96B-E8527C8E122E}"/>
    <cellStyle name="Normal 5 2 2 5 5 3 3" xfId="23345" xr:uid="{B2762D78-BE10-4355-A896-B02E3AB63E9C}"/>
    <cellStyle name="Normal 5 2 2 5 5 4" xfId="10680" xr:uid="{47C1053C-44D6-41F1-B1B3-775AB2EE8CD8}"/>
    <cellStyle name="Normal 5 2 2 5 5 5" xfId="19128" xr:uid="{05640BA0-E397-4A2C-A4A8-E7262E2AE287}"/>
    <cellStyle name="Normal 5 2 2 5 6" xfId="2578" xr:uid="{00000000-0005-0000-0000-00001F180000}"/>
    <cellStyle name="Normal 5 2 2 5 6 2" xfId="6861" xr:uid="{00000000-0005-0000-0000-000020180000}"/>
    <cellStyle name="Normal 5 2 2 5 6 2 2" xfId="15311" xr:uid="{0DEACED7-0652-429F-91A8-308E24030293}"/>
    <cellStyle name="Normal 5 2 2 5 6 2 3" xfId="23758" xr:uid="{C08E3FF3-CBF0-4FF1-A31E-AFBDDAEC8E38}"/>
    <cellStyle name="Normal 5 2 2 5 6 3" xfId="11093" xr:uid="{27182764-186C-4C62-8BC7-CA9F5E5BF94E}"/>
    <cellStyle name="Normal 5 2 2 5 6 4" xfId="19541" xr:uid="{F770FB7A-C299-47B5-B6B8-1B9AF3FA400B}"/>
    <cellStyle name="Normal 5 2 2 5 7" xfId="4796" xr:uid="{00000000-0005-0000-0000-000021180000}"/>
    <cellStyle name="Normal 5 2 2 5 7 2" xfId="13246" xr:uid="{2FB36C21-C880-417F-B90B-72FE95C92EDF}"/>
    <cellStyle name="Normal 5 2 2 5 7 3" xfId="21693" xr:uid="{988685AC-C0D8-48D3-B573-5EEC0B0CE322}"/>
    <cellStyle name="Normal 5 2 2 5 8" xfId="9028" xr:uid="{978D7BC8-A6D2-41F2-AA59-514566763D9F}"/>
    <cellStyle name="Normal 5 2 2 5 9" xfId="17476" xr:uid="{16BF724B-885B-40ED-8126-C759DC256920}"/>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BEEA7542-8CE4-451D-8AE2-18D1CCF87E08}"/>
    <cellStyle name="Normal 5 2 2 6 2 2 3" xfId="24236" xr:uid="{C8B6970B-F4CC-4EA7-86F0-948FF002CE04}"/>
    <cellStyle name="Normal 5 2 2 6 2 3" xfId="11571" xr:uid="{D4FDEFA1-8A10-4816-83B4-2AA64A6068C6}"/>
    <cellStyle name="Normal 5 2 2 6 2 4" xfId="20019" xr:uid="{C7B7EA4A-61D8-4056-9F65-BB275BEB92D5}"/>
    <cellStyle name="Normal 5 2 2 6 3" xfId="5194" xr:uid="{00000000-0005-0000-0000-000025180000}"/>
    <cellStyle name="Normal 5 2 2 6 3 2" xfId="13644" xr:uid="{97259734-A9CB-46A0-8AD0-F56145C7B52C}"/>
    <cellStyle name="Normal 5 2 2 6 3 3" xfId="22091" xr:uid="{EF310192-BE3E-40C5-BD4E-D96D818408C5}"/>
    <cellStyle name="Normal 5 2 2 6 4" xfId="9426" xr:uid="{74827226-6407-4450-9DCB-7015B01856DD}"/>
    <cellStyle name="Normal 5 2 2 6 5" xfId="17874" xr:uid="{396623DB-0192-4CDD-AEC8-222F3E417607}"/>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C7BAD542-478F-4FE9-B1ED-CE233126CE32}"/>
    <cellStyle name="Normal 5 2 2 7 2 2 3" xfId="24649" xr:uid="{6D4B4ECE-E6C8-4E26-9CEA-5C81EE12EE92}"/>
    <cellStyle name="Normal 5 2 2 7 2 3" xfId="11984" xr:uid="{2A8C1A23-00D1-4F9D-A66E-744AA74FEF6C}"/>
    <cellStyle name="Normal 5 2 2 7 2 4" xfId="20432" xr:uid="{39828127-A394-424C-9DFA-845B5B8A6E37}"/>
    <cellStyle name="Normal 5 2 2 7 3" xfId="5607" xr:uid="{00000000-0005-0000-0000-000029180000}"/>
    <cellStyle name="Normal 5 2 2 7 3 2" xfId="14057" xr:uid="{42BCEA1E-51B6-4202-BACA-8DB61121217D}"/>
    <cellStyle name="Normal 5 2 2 7 3 3" xfId="22504" xr:uid="{FC3559F3-87F9-4944-A36F-0E2F5E0E7DAA}"/>
    <cellStyle name="Normal 5 2 2 7 4" xfId="9839" xr:uid="{6D1B8C06-F08D-49B4-B9AE-C42AFF1CC72E}"/>
    <cellStyle name="Normal 5 2 2 7 5" xfId="18287" xr:uid="{473A66CA-D3C9-4CDA-8349-49B0F97CEA2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C173DA75-E85D-489D-8712-5D36B6790228}"/>
    <cellStyle name="Normal 5 2 2 8 2 2 3" xfId="25062" xr:uid="{B16DB31F-B366-49E0-BCBD-F9183268F24B}"/>
    <cellStyle name="Normal 5 2 2 8 2 3" xfId="12397" xr:uid="{9487BCD6-D13F-4951-8345-8825B6558E5F}"/>
    <cellStyle name="Normal 5 2 2 8 2 4" xfId="20845" xr:uid="{28926E72-0786-40C9-B033-42062E562F82}"/>
    <cellStyle name="Normal 5 2 2 8 3" xfId="6020" xr:uid="{00000000-0005-0000-0000-00002D180000}"/>
    <cellStyle name="Normal 5 2 2 8 3 2" xfId="14470" xr:uid="{5D88C2A1-18A9-4FFC-8564-7D35183AEE11}"/>
    <cellStyle name="Normal 5 2 2 8 3 3" xfId="22917" xr:uid="{39DE7299-AE55-41A2-8C28-49BBEE68E883}"/>
    <cellStyle name="Normal 5 2 2 8 4" xfId="10252" xr:uid="{BB226A23-A86E-4766-9A93-035D07EA3F0B}"/>
    <cellStyle name="Normal 5 2 2 8 5" xfId="18700" xr:uid="{0559232B-A7BD-440A-BF5A-26836551A5A7}"/>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9EDD21A6-01DB-45B5-8ED7-6E0B807D187E}"/>
    <cellStyle name="Normal 5 2 2 9 2 2 3" xfId="25475" xr:uid="{289FF096-B08D-488A-AC94-8E200BEB0748}"/>
    <cellStyle name="Normal 5 2 2 9 2 3" xfId="12810" xr:uid="{DBEBD923-0246-4153-811E-8F683594407E}"/>
    <cellStyle name="Normal 5 2 2 9 2 4" xfId="21258" xr:uid="{F4E6CD74-C958-4BA2-846A-33494C4F48FF}"/>
    <cellStyle name="Normal 5 2 2 9 3" xfId="6433" xr:uid="{00000000-0005-0000-0000-000031180000}"/>
    <cellStyle name="Normal 5 2 2 9 3 2" xfId="14883" xr:uid="{26D33AA6-BDDF-4AAB-A4A1-EF5A33831DFF}"/>
    <cellStyle name="Normal 5 2 2 9 3 3" xfId="23330" xr:uid="{CE3FEFDF-D7C5-4D6A-8A2B-78BCB31F97BB}"/>
    <cellStyle name="Normal 5 2 2 9 4" xfId="10665" xr:uid="{4B513B77-7DF1-4531-AFBD-13D3F10BA5E1}"/>
    <cellStyle name="Normal 5 2 2 9 5" xfId="19113" xr:uid="{25053145-0E1B-4629-9701-A044E522A425}"/>
    <cellStyle name="Normal 5 2 3" xfId="424" xr:uid="{00000000-0005-0000-0000-000032180000}"/>
    <cellStyle name="Normal 5 2 3 10" xfId="4797" xr:uid="{00000000-0005-0000-0000-000033180000}"/>
    <cellStyle name="Normal 5 2 3 10 2" xfId="13247" xr:uid="{BF737329-2D94-426D-A746-7E39FD1CDAC9}"/>
    <cellStyle name="Normal 5 2 3 10 3" xfId="21694" xr:uid="{91553447-54CC-44F7-9435-2C1E66FE4A7F}"/>
    <cellStyle name="Normal 5 2 3 11" xfId="9029" xr:uid="{BC17C206-86CE-4DEC-B0AF-964ACC612B3D}"/>
    <cellStyle name="Normal 5 2 3 12" xfId="17477" xr:uid="{8CE0CA0B-5A0C-4EFD-A0D5-5D1404783CD9}"/>
    <cellStyle name="Normal 5 2 3 2" xfId="425" xr:uid="{00000000-0005-0000-0000-000034180000}"/>
    <cellStyle name="Normal 5 2 3 2 10" xfId="9030" xr:uid="{641F5440-BA83-45DA-AEEE-3895E110147C}"/>
    <cellStyle name="Normal 5 2 3 2 11" xfId="17478" xr:uid="{E67F7D61-49FA-416C-873B-7E71870514B7}"/>
    <cellStyle name="Normal 5 2 3 2 2" xfId="426" xr:uid="{00000000-0005-0000-0000-000035180000}"/>
    <cellStyle name="Normal 5 2 3 2 2 10" xfId="17479" xr:uid="{DB8AE3D5-0918-4851-A29C-710400882806}"/>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3071A4E4-5370-4F41-A317-2CD76BFEE075}"/>
    <cellStyle name="Normal 5 2 3 2 2 2 2 2 2 3" xfId="24255" xr:uid="{CAF5A509-88EA-4BD7-80E2-3E60952BD8F4}"/>
    <cellStyle name="Normal 5 2 3 2 2 2 2 2 3" xfId="11590" xr:uid="{2D9A5791-DBDA-4C3F-8705-5A9BAC721B4D}"/>
    <cellStyle name="Normal 5 2 3 2 2 2 2 2 4" xfId="20038" xr:uid="{1FFBB710-8F6C-49F3-973E-4DB91B2686F4}"/>
    <cellStyle name="Normal 5 2 3 2 2 2 2 3" xfId="5213" xr:uid="{00000000-0005-0000-0000-00003A180000}"/>
    <cellStyle name="Normal 5 2 3 2 2 2 2 3 2" xfId="13663" xr:uid="{E67156E3-C930-4813-9C91-77618134AED7}"/>
    <cellStyle name="Normal 5 2 3 2 2 2 2 3 3" xfId="22110" xr:uid="{A6E1955E-EEFB-414F-9E3C-5A5FED9B9942}"/>
    <cellStyle name="Normal 5 2 3 2 2 2 2 4" xfId="9445" xr:uid="{81A6A55E-7533-4FB5-B1AD-99AA1BDBF232}"/>
    <cellStyle name="Normal 5 2 3 2 2 2 2 5" xfId="17893" xr:uid="{62F6AD53-8340-46DB-AE1E-8FB7A67EC30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22889DBA-98D7-4E38-8F28-EAE8E47A427B}"/>
    <cellStyle name="Normal 5 2 3 2 2 2 3 2 2 3" xfId="24668" xr:uid="{DB84ED57-4872-4DE1-AE4C-4CCAD8110B8E}"/>
    <cellStyle name="Normal 5 2 3 2 2 2 3 2 3" xfId="12003" xr:uid="{7FF00567-A67C-4886-857C-DA29B2C42581}"/>
    <cellStyle name="Normal 5 2 3 2 2 2 3 2 4" xfId="20451" xr:uid="{D98FF02F-CA9E-4793-A840-2B636EDA78D7}"/>
    <cellStyle name="Normal 5 2 3 2 2 2 3 3" xfId="5626" xr:uid="{00000000-0005-0000-0000-00003E180000}"/>
    <cellStyle name="Normal 5 2 3 2 2 2 3 3 2" xfId="14076" xr:uid="{96C27144-A2B5-436E-B35F-6D7893E86730}"/>
    <cellStyle name="Normal 5 2 3 2 2 2 3 3 3" xfId="22523" xr:uid="{07FA3072-8868-43F7-AE8E-27D13E5BEC90}"/>
    <cellStyle name="Normal 5 2 3 2 2 2 3 4" xfId="9858" xr:uid="{6F1FFF38-4744-4EF7-A24F-38CD79377911}"/>
    <cellStyle name="Normal 5 2 3 2 2 2 3 5" xfId="18306" xr:uid="{BB1E1922-3B01-4071-81F8-CF7721CE83D3}"/>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EBC92153-1648-4650-83A5-FB03653C0E1B}"/>
    <cellStyle name="Normal 5 2 3 2 2 2 4 2 2 3" xfId="25081" xr:uid="{1BE1C640-5126-49D5-B780-6D3AEBD68B13}"/>
    <cellStyle name="Normal 5 2 3 2 2 2 4 2 3" xfId="12416" xr:uid="{EFA503AC-D51F-459A-8B97-AE64C8971A0D}"/>
    <cellStyle name="Normal 5 2 3 2 2 2 4 2 4" xfId="20864" xr:uid="{D1D275CB-0D4E-4173-BD18-EA2715D49C38}"/>
    <cellStyle name="Normal 5 2 3 2 2 2 4 3" xfId="6039" xr:uid="{00000000-0005-0000-0000-000042180000}"/>
    <cellStyle name="Normal 5 2 3 2 2 2 4 3 2" xfId="14489" xr:uid="{B7E218D4-B34B-440B-B689-62E2CD9DBB58}"/>
    <cellStyle name="Normal 5 2 3 2 2 2 4 3 3" xfId="22936" xr:uid="{DD61D25B-D99A-471F-86E4-84D610995046}"/>
    <cellStyle name="Normal 5 2 3 2 2 2 4 4" xfId="10271" xr:uid="{ABD31DFC-3896-4D0F-B6F9-124DEFB0A89B}"/>
    <cellStyle name="Normal 5 2 3 2 2 2 4 5" xfId="18719" xr:uid="{A7753D85-D524-4663-9A3E-114DC779533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02FF8CA-075A-4FC5-8467-A5B1DD846509}"/>
    <cellStyle name="Normal 5 2 3 2 2 2 5 2 2 3" xfId="25494" xr:uid="{90E04A5B-9C88-4BEF-BA03-D88E2FAFAC07}"/>
    <cellStyle name="Normal 5 2 3 2 2 2 5 2 3" xfId="12829" xr:uid="{40B371E8-E855-4DB5-BD59-4CBB350FF49B}"/>
    <cellStyle name="Normal 5 2 3 2 2 2 5 2 4" xfId="21277" xr:uid="{9E76C3BE-1B5F-471C-B083-51918AF79156}"/>
    <cellStyle name="Normal 5 2 3 2 2 2 5 3" xfId="6452" xr:uid="{00000000-0005-0000-0000-000046180000}"/>
    <cellStyle name="Normal 5 2 3 2 2 2 5 3 2" xfId="14902" xr:uid="{84879D49-3752-4BAA-BBEC-8D16C95596BA}"/>
    <cellStyle name="Normal 5 2 3 2 2 2 5 3 3" xfId="23349" xr:uid="{497730FB-3EF3-40DB-91E2-7A28A0ADDBCC}"/>
    <cellStyle name="Normal 5 2 3 2 2 2 5 4" xfId="10684" xr:uid="{B084B3D9-7DDC-49BB-B16E-18D37A406AA3}"/>
    <cellStyle name="Normal 5 2 3 2 2 2 5 5" xfId="19132" xr:uid="{3938B4CB-D7FB-4AB1-8092-20AD8267508F}"/>
    <cellStyle name="Normal 5 2 3 2 2 2 6" xfId="2582" xr:uid="{00000000-0005-0000-0000-000047180000}"/>
    <cellStyle name="Normal 5 2 3 2 2 2 6 2" xfId="6865" xr:uid="{00000000-0005-0000-0000-000048180000}"/>
    <cellStyle name="Normal 5 2 3 2 2 2 6 2 2" xfId="15315" xr:uid="{4EEAAB5B-A28D-46E0-81CD-B7B487CD73B3}"/>
    <cellStyle name="Normal 5 2 3 2 2 2 6 2 3" xfId="23762" xr:uid="{A17751B8-5E70-46EE-B7F4-62D222DA6B92}"/>
    <cellStyle name="Normal 5 2 3 2 2 2 6 3" xfId="11097" xr:uid="{E764F5D9-56B8-4DA7-9757-46C1CB8F3183}"/>
    <cellStyle name="Normal 5 2 3 2 2 2 6 4" xfId="19545" xr:uid="{6DE58FF0-F658-4A15-B939-F63B248A0107}"/>
    <cellStyle name="Normal 5 2 3 2 2 2 7" xfId="4800" xr:uid="{00000000-0005-0000-0000-000049180000}"/>
    <cellStyle name="Normal 5 2 3 2 2 2 7 2" xfId="13250" xr:uid="{DF245A85-2A60-41EE-A12B-066D970B96C8}"/>
    <cellStyle name="Normal 5 2 3 2 2 2 7 3" xfId="21697" xr:uid="{E8123B65-6504-48E2-A4C5-98B0221D12A2}"/>
    <cellStyle name="Normal 5 2 3 2 2 2 8" xfId="9032" xr:uid="{CEBD56DA-4280-45D8-8808-61A38A593372}"/>
    <cellStyle name="Normal 5 2 3 2 2 2 9" xfId="17480" xr:uid="{ECCE6FC0-FA21-43C5-B36F-C6591FF4B8A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0B3760B2-5B13-4DE0-B069-13954E1B4CA6}"/>
    <cellStyle name="Normal 5 2 3 2 2 3 2 2 3" xfId="24254" xr:uid="{9CC758E8-2D09-4889-A86E-158AF2493228}"/>
    <cellStyle name="Normal 5 2 3 2 2 3 2 3" xfId="11589" xr:uid="{0EDCFC85-A5CA-468F-B534-7408FB1097E4}"/>
    <cellStyle name="Normal 5 2 3 2 2 3 2 4" xfId="20037" xr:uid="{743E58DA-ABE4-4ABE-BA8F-218C2C3951AC}"/>
    <cellStyle name="Normal 5 2 3 2 2 3 3" xfId="5212" xr:uid="{00000000-0005-0000-0000-00004D180000}"/>
    <cellStyle name="Normal 5 2 3 2 2 3 3 2" xfId="13662" xr:uid="{4AD2E694-0ECD-4944-B948-3A3F9327B504}"/>
    <cellStyle name="Normal 5 2 3 2 2 3 3 3" xfId="22109" xr:uid="{F61D5C55-C419-475E-AAC5-1FF339795B1B}"/>
    <cellStyle name="Normal 5 2 3 2 2 3 4" xfId="9444" xr:uid="{FB2DEDD8-BAEB-43FF-8088-1D6AF8AE8E6A}"/>
    <cellStyle name="Normal 5 2 3 2 2 3 5" xfId="17892" xr:uid="{14E26383-8B79-41A3-A143-13FE1ADDFFED}"/>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DB62C35D-1304-48AC-A402-85EF3FBBA06B}"/>
    <cellStyle name="Normal 5 2 3 2 2 4 2 2 3" xfId="24667" xr:uid="{E0008956-B89C-40FB-A5CE-2C52E73E7803}"/>
    <cellStyle name="Normal 5 2 3 2 2 4 2 3" xfId="12002" xr:uid="{1FF9EA03-CA1F-4034-8582-D38F15C826FF}"/>
    <cellStyle name="Normal 5 2 3 2 2 4 2 4" xfId="20450" xr:uid="{79F2660A-7023-4275-A0E8-D4DB8AB32458}"/>
    <cellStyle name="Normal 5 2 3 2 2 4 3" xfId="5625" xr:uid="{00000000-0005-0000-0000-000051180000}"/>
    <cellStyle name="Normal 5 2 3 2 2 4 3 2" xfId="14075" xr:uid="{0390B79C-5D18-486B-A19F-221341B8CF04}"/>
    <cellStyle name="Normal 5 2 3 2 2 4 3 3" xfId="22522" xr:uid="{1ED2B6EE-367C-42A1-94A1-98967D57E1CB}"/>
    <cellStyle name="Normal 5 2 3 2 2 4 4" xfId="9857" xr:uid="{F8C397C0-E0B2-4153-B148-FBB6432DC7A4}"/>
    <cellStyle name="Normal 5 2 3 2 2 4 5" xfId="18305" xr:uid="{5103B6C0-98D0-4CEB-B261-BFC73E2FEA59}"/>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2D4655F5-1900-4AF9-8D7B-64C220A4E269}"/>
    <cellStyle name="Normal 5 2 3 2 2 5 2 2 3" xfId="25080" xr:uid="{E5A0E765-9EBA-4C59-A9CA-E1EB4E880A22}"/>
    <cellStyle name="Normal 5 2 3 2 2 5 2 3" xfId="12415" xr:uid="{5C9CC31C-43C9-4C21-AC6E-DA0B3F758263}"/>
    <cellStyle name="Normal 5 2 3 2 2 5 2 4" xfId="20863" xr:uid="{0BE33024-94C3-46EC-93D2-7170D5C7EE49}"/>
    <cellStyle name="Normal 5 2 3 2 2 5 3" xfId="6038" xr:uid="{00000000-0005-0000-0000-000055180000}"/>
    <cellStyle name="Normal 5 2 3 2 2 5 3 2" xfId="14488" xr:uid="{79583013-897A-481F-9457-C25BEE42FA86}"/>
    <cellStyle name="Normal 5 2 3 2 2 5 3 3" xfId="22935" xr:uid="{6BA51AC8-664E-40CF-BC28-E05DAFF8EFD8}"/>
    <cellStyle name="Normal 5 2 3 2 2 5 4" xfId="10270" xr:uid="{07206C3E-89AE-46C6-A0A6-94E2E99E88FA}"/>
    <cellStyle name="Normal 5 2 3 2 2 5 5" xfId="18718" xr:uid="{64795055-507F-410C-A48E-7FE0C859B2CB}"/>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5B74AE98-5DB2-4C7D-9661-7A807DFE429D}"/>
    <cellStyle name="Normal 5 2 3 2 2 6 2 2 3" xfId="25493" xr:uid="{7EDF65C2-8E7C-4554-8963-331EFA1012FA}"/>
    <cellStyle name="Normal 5 2 3 2 2 6 2 3" xfId="12828" xr:uid="{675930A1-8F23-490E-8F99-C3AE668EB4B0}"/>
    <cellStyle name="Normal 5 2 3 2 2 6 2 4" xfId="21276" xr:uid="{9E96310F-EDD3-4D97-A66F-BA468378BFDC}"/>
    <cellStyle name="Normal 5 2 3 2 2 6 3" xfId="6451" xr:uid="{00000000-0005-0000-0000-000059180000}"/>
    <cellStyle name="Normal 5 2 3 2 2 6 3 2" xfId="14901" xr:uid="{2E768537-156D-42B7-B349-88675CEBD2E0}"/>
    <cellStyle name="Normal 5 2 3 2 2 6 3 3" xfId="23348" xr:uid="{902194CB-DF2C-456E-8B19-DC7930896DBF}"/>
    <cellStyle name="Normal 5 2 3 2 2 6 4" xfId="10683" xr:uid="{9FB21BC3-8D4A-4BAB-B9A6-4ECA5BDCFFDF}"/>
    <cellStyle name="Normal 5 2 3 2 2 6 5" xfId="19131" xr:uid="{E385FC61-79D9-45DC-8FD6-BE176BA2B1F1}"/>
    <cellStyle name="Normal 5 2 3 2 2 7" xfId="2581" xr:uid="{00000000-0005-0000-0000-00005A180000}"/>
    <cellStyle name="Normal 5 2 3 2 2 7 2" xfId="6864" xr:uid="{00000000-0005-0000-0000-00005B180000}"/>
    <cellStyle name="Normal 5 2 3 2 2 7 2 2" xfId="15314" xr:uid="{42D58203-55C8-481C-BDC7-76FA81604309}"/>
    <cellStyle name="Normal 5 2 3 2 2 7 2 3" xfId="23761" xr:uid="{4A5E91B2-0088-4516-8AE3-87519008A6BE}"/>
    <cellStyle name="Normal 5 2 3 2 2 7 3" xfId="11096" xr:uid="{C9D1AB57-1DCC-4262-90A3-9ACE26327F38}"/>
    <cellStyle name="Normal 5 2 3 2 2 7 4" xfId="19544" xr:uid="{FFE1CD76-55FE-4951-9601-6C46EE1DFBAC}"/>
    <cellStyle name="Normal 5 2 3 2 2 8" xfId="4799" xr:uid="{00000000-0005-0000-0000-00005C180000}"/>
    <cellStyle name="Normal 5 2 3 2 2 8 2" xfId="13249" xr:uid="{E613F792-18A8-4A71-A706-A9C07AABB7BA}"/>
    <cellStyle name="Normal 5 2 3 2 2 8 3" xfId="21696" xr:uid="{BA2BCAA4-2E83-42EA-A18D-CCF0A7930E22}"/>
    <cellStyle name="Normal 5 2 3 2 2 9" xfId="9031" xr:uid="{DD1E497C-46BC-4C7A-937A-5ABB93D06399}"/>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FA0F62B7-02E5-4F4B-9914-34F2F917CFF5}"/>
    <cellStyle name="Normal 5 2 3 2 3 2 2 2 3" xfId="24256" xr:uid="{07EEDC69-0661-4D89-928E-419D8D197284}"/>
    <cellStyle name="Normal 5 2 3 2 3 2 2 3" xfId="11591" xr:uid="{3869370F-3DEB-4A7D-BDD6-7662D71FDADD}"/>
    <cellStyle name="Normal 5 2 3 2 3 2 2 4" xfId="20039" xr:uid="{E702991E-C467-4DE8-AFE9-3F00167864D6}"/>
    <cellStyle name="Normal 5 2 3 2 3 2 3" xfId="5214" xr:uid="{00000000-0005-0000-0000-000061180000}"/>
    <cellStyle name="Normal 5 2 3 2 3 2 3 2" xfId="13664" xr:uid="{15CF11C3-BB91-4273-885D-1103E0AC12FA}"/>
    <cellStyle name="Normal 5 2 3 2 3 2 3 3" xfId="22111" xr:uid="{881264CA-E148-4B05-A887-4CD39DA1B975}"/>
    <cellStyle name="Normal 5 2 3 2 3 2 4" xfId="9446" xr:uid="{5A151F8D-C0A1-498B-9002-EF28918A4121}"/>
    <cellStyle name="Normal 5 2 3 2 3 2 5" xfId="17894" xr:uid="{E1B793E6-CDF4-48F5-90A2-C5338A007AB1}"/>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A1ABB4BD-3711-400A-8FCC-D0D8FF49F0B8}"/>
    <cellStyle name="Normal 5 2 3 2 3 3 2 2 3" xfId="24669" xr:uid="{34FBD119-1FB9-4977-8BDC-C337816F30ED}"/>
    <cellStyle name="Normal 5 2 3 2 3 3 2 3" xfId="12004" xr:uid="{4919870A-03EA-4E76-90AC-AB6DEF580CC8}"/>
    <cellStyle name="Normal 5 2 3 2 3 3 2 4" xfId="20452" xr:uid="{A1EE18B1-128B-464B-A700-0BA9A0B1312E}"/>
    <cellStyle name="Normal 5 2 3 2 3 3 3" xfId="5627" xr:uid="{00000000-0005-0000-0000-000065180000}"/>
    <cellStyle name="Normal 5 2 3 2 3 3 3 2" xfId="14077" xr:uid="{8AB4BA0F-8F38-4B60-B9FD-D9BD25E9DAB3}"/>
    <cellStyle name="Normal 5 2 3 2 3 3 3 3" xfId="22524" xr:uid="{71938669-A712-4CC1-B8B3-BC42C85519BD}"/>
    <cellStyle name="Normal 5 2 3 2 3 3 4" xfId="9859" xr:uid="{0BADCCFD-DD71-414D-81C0-4609C79F7BA7}"/>
    <cellStyle name="Normal 5 2 3 2 3 3 5" xfId="18307" xr:uid="{181085A0-5CB2-4849-A069-7D2D997BFE1B}"/>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CDBD4984-61A3-4CFD-B19E-8D0F274E7E77}"/>
    <cellStyle name="Normal 5 2 3 2 3 4 2 2 3" xfId="25082" xr:uid="{6CF55A10-AA1D-463B-B17B-A200B9E7C077}"/>
    <cellStyle name="Normal 5 2 3 2 3 4 2 3" xfId="12417" xr:uid="{7E8A1628-A739-41AF-83CE-D69375416D86}"/>
    <cellStyle name="Normal 5 2 3 2 3 4 2 4" xfId="20865" xr:uid="{E3DD0AC2-D5D2-48C9-B8A9-EE142FAC3AD0}"/>
    <cellStyle name="Normal 5 2 3 2 3 4 3" xfId="6040" xr:uid="{00000000-0005-0000-0000-000069180000}"/>
    <cellStyle name="Normal 5 2 3 2 3 4 3 2" xfId="14490" xr:uid="{857D2B6D-82D6-48E0-9E6C-3D488DF3A52D}"/>
    <cellStyle name="Normal 5 2 3 2 3 4 3 3" xfId="22937" xr:uid="{584DA7A4-C446-4C57-A35E-F85217502053}"/>
    <cellStyle name="Normal 5 2 3 2 3 4 4" xfId="10272" xr:uid="{60E698FA-7011-4ED5-A8B4-F0C97078EF8F}"/>
    <cellStyle name="Normal 5 2 3 2 3 4 5" xfId="18720" xr:uid="{145313DF-BC47-47F7-BA7B-4FDE3B30B1C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6F1E8ABA-DDBF-48B2-BAE6-C0B58C7AD21D}"/>
    <cellStyle name="Normal 5 2 3 2 3 5 2 2 3" xfId="25495" xr:uid="{3ADA6194-54ED-418F-8D87-5AC1EDC92976}"/>
    <cellStyle name="Normal 5 2 3 2 3 5 2 3" xfId="12830" xr:uid="{F6BE9700-8A6C-4B80-AA4E-CE8445B58916}"/>
    <cellStyle name="Normal 5 2 3 2 3 5 2 4" xfId="21278" xr:uid="{55C9210E-804C-4C02-8DAB-B6914E830157}"/>
    <cellStyle name="Normal 5 2 3 2 3 5 3" xfId="6453" xr:uid="{00000000-0005-0000-0000-00006D180000}"/>
    <cellStyle name="Normal 5 2 3 2 3 5 3 2" xfId="14903" xr:uid="{726E60A4-4C3F-4DF2-8745-5F5882BD6B26}"/>
    <cellStyle name="Normal 5 2 3 2 3 5 3 3" xfId="23350" xr:uid="{887DA4F2-AC1C-428E-8114-6981F1403CF7}"/>
    <cellStyle name="Normal 5 2 3 2 3 5 4" xfId="10685" xr:uid="{CD9CDE99-2EE5-4732-8E5E-66636A0B9DB6}"/>
    <cellStyle name="Normal 5 2 3 2 3 5 5" xfId="19133" xr:uid="{F4F7BE3F-7F96-4734-945C-B635CCFBDA92}"/>
    <cellStyle name="Normal 5 2 3 2 3 6" xfId="2583" xr:uid="{00000000-0005-0000-0000-00006E180000}"/>
    <cellStyle name="Normal 5 2 3 2 3 6 2" xfId="6866" xr:uid="{00000000-0005-0000-0000-00006F180000}"/>
    <cellStyle name="Normal 5 2 3 2 3 6 2 2" xfId="15316" xr:uid="{1072FAFB-3435-42C0-96A2-5320B5DABB3E}"/>
    <cellStyle name="Normal 5 2 3 2 3 6 2 3" xfId="23763" xr:uid="{C36F54B1-6DC3-4AC0-B279-8F55458BDF52}"/>
    <cellStyle name="Normal 5 2 3 2 3 6 3" xfId="11098" xr:uid="{257E5229-6DC1-4617-829F-AB7184C56070}"/>
    <cellStyle name="Normal 5 2 3 2 3 6 4" xfId="19546" xr:uid="{6EB664A5-F3B9-41D3-B086-F5454C73AEC3}"/>
    <cellStyle name="Normal 5 2 3 2 3 7" xfId="4801" xr:uid="{00000000-0005-0000-0000-000070180000}"/>
    <cellStyle name="Normal 5 2 3 2 3 7 2" xfId="13251" xr:uid="{AF44BA1C-1A68-4367-9C38-EAFD01BF3461}"/>
    <cellStyle name="Normal 5 2 3 2 3 7 3" xfId="21698" xr:uid="{011A05B8-264F-44CF-B992-F3A42BAE77F7}"/>
    <cellStyle name="Normal 5 2 3 2 3 8" xfId="9033" xr:uid="{5871EF66-E7A6-4267-8311-D99EEE68F83B}"/>
    <cellStyle name="Normal 5 2 3 2 3 9" xfId="17481" xr:uid="{FC63B730-3B4E-4A14-9C8C-C843D27788F8}"/>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5185B91F-31BB-4A52-8B9F-9674908B320E}"/>
    <cellStyle name="Normal 5 2 3 2 4 2 2 3" xfId="24253" xr:uid="{569009DF-B4E0-4DA7-B73C-04C002BF8E1F}"/>
    <cellStyle name="Normal 5 2 3 2 4 2 3" xfId="11588" xr:uid="{921E3FA6-F8D6-45FD-9021-439BA1FF0B51}"/>
    <cellStyle name="Normal 5 2 3 2 4 2 4" xfId="20036" xr:uid="{884D9942-1842-4D9D-BF19-1B8244C21E2A}"/>
    <cellStyle name="Normal 5 2 3 2 4 3" xfId="5211" xr:uid="{00000000-0005-0000-0000-000074180000}"/>
    <cellStyle name="Normal 5 2 3 2 4 3 2" xfId="13661" xr:uid="{DBF2AAF6-B520-4DFF-99EE-CE2A0F38869D}"/>
    <cellStyle name="Normal 5 2 3 2 4 3 3" xfId="22108" xr:uid="{EE197F38-4AAF-4194-A440-E4600FDD4799}"/>
    <cellStyle name="Normal 5 2 3 2 4 4" xfId="9443" xr:uid="{25CE7AF6-7E00-42F7-871E-84ABF0F778C1}"/>
    <cellStyle name="Normal 5 2 3 2 4 5" xfId="17891" xr:uid="{FF80A49E-75E3-4DFB-871D-AAFE6D57A60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29DF551B-21D1-4618-95ED-0D6EF5F46E56}"/>
    <cellStyle name="Normal 5 2 3 2 5 2 2 3" xfId="24666" xr:uid="{A14C1794-E26B-419B-A5C3-C4F820ABEF32}"/>
    <cellStyle name="Normal 5 2 3 2 5 2 3" xfId="12001" xr:uid="{11A10EB5-A62D-47EE-BF06-CE791F079B8C}"/>
    <cellStyle name="Normal 5 2 3 2 5 2 4" xfId="20449" xr:uid="{FCF93A10-DB25-45CD-8043-99CBEA7441B6}"/>
    <cellStyle name="Normal 5 2 3 2 5 3" xfId="5624" xr:uid="{00000000-0005-0000-0000-000078180000}"/>
    <cellStyle name="Normal 5 2 3 2 5 3 2" xfId="14074" xr:uid="{73B694A0-477D-4E84-907A-73B3C019AFF2}"/>
    <cellStyle name="Normal 5 2 3 2 5 3 3" xfId="22521" xr:uid="{609F4463-6129-4400-B79C-099C8F856E20}"/>
    <cellStyle name="Normal 5 2 3 2 5 4" xfId="9856" xr:uid="{F0BBE580-65E4-4E12-B2B7-5751B211AFD6}"/>
    <cellStyle name="Normal 5 2 3 2 5 5" xfId="18304" xr:uid="{8FE65D06-3CF8-4848-A6AC-4A16A9D61A67}"/>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169A3A4D-813F-432D-82A9-EDEE52EFA483}"/>
    <cellStyle name="Normal 5 2 3 2 6 2 2 3" xfId="25079" xr:uid="{7CE5E1E8-1877-4B6C-B31F-FE10BA17173C}"/>
    <cellStyle name="Normal 5 2 3 2 6 2 3" xfId="12414" xr:uid="{99296EEA-3C63-4803-B2FF-DDA29F6E3399}"/>
    <cellStyle name="Normal 5 2 3 2 6 2 4" xfId="20862" xr:uid="{6BE2DB46-4833-4147-B4E7-0C23186B4510}"/>
    <cellStyle name="Normal 5 2 3 2 6 3" xfId="6037" xr:uid="{00000000-0005-0000-0000-00007C180000}"/>
    <cellStyle name="Normal 5 2 3 2 6 3 2" xfId="14487" xr:uid="{EF44044E-981B-4807-B402-76458241AEAA}"/>
    <cellStyle name="Normal 5 2 3 2 6 3 3" xfId="22934" xr:uid="{AEB5FEE9-F9D4-4E0A-AFB6-726C0D5DE9FD}"/>
    <cellStyle name="Normal 5 2 3 2 6 4" xfId="10269" xr:uid="{EE4CC9FF-3E37-4279-A4AE-7E4D7B5140D1}"/>
    <cellStyle name="Normal 5 2 3 2 6 5" xfId="18717" xr:uid="{C5CA7B09-763E-4C64-B21D-76197997C166}"/>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097E0637-4EA2-4C15-B8E9-A1FD02F3F542}"/>
    <cellStyle name="Normal 5 2 3 2 7 2 2 3" xfId="25492" xr:uid="{B9E603C4-656E-49EB-BA0F-3272E825AC3A}"/>
    <cellStyle name="Normal 5 2 3 2 7 2 3" xfId="12827" xr:uid="{27BC1C35-093C-4B77-A468-84A0A8DA312B}"/>
    <cellStyle name="Normal 5 2 3 2 7 2 4" xfId="21275" xr:uid="{2078C062-43B1-4701-B1F7-9FA3D5D1740D}"/>
    <cellStyle name="Normal 5 2 3 2 7 3" xfId="6450" xr:uid="{00000000-0005-0000-0000-000080180000}"/>
    <cellStyle name="Normal 5 2 3 2 7 3 2" xfId="14900" xr:uid="{87FE999B-3215-4C2E-AAFD-24DE7879042C}"/>
    <cellStyle name="Normal 5 2 3 2 7 3 3" xfId="23347" xr:uid="{0E4A7A6A-945D-4201-ADCE-BFB8BE8A0AE6}"/>
    <cellStyle name="Normal 5 2 3 2 7 4" xfId="10682" xr:uid="{855E49E7-C861-4103-A448-6756AF7E7E7B}"/>
    <cellStyle name="Normal 5 2 3 2 7 5" xfId="19130" xr:uid="{23CA6F45-F2EE-4C66-B5B8-C67922BE0AB7}"/>
    <cellStyle name="Normal 5 2 3 2 8" xfId="2580" xr:uid="{00000000-0005-0000-0000-000081180000}"/>
    <cellStyle name="Normal 5 2 3 2 8 2" xfId="6863" xr:uid="{00000000-0005-0000-0000-000082180000}"/>
    <cellStyle name="Normal 5 2 3 2 8 2 2" xfId="15313" xr:uid="{D5C5ED19-39F4-48BE-B05B-1939F9D69129}"/>
    <cellStyle name="Normal 5 2 3 2 8 2 3" xfId="23760" xr:uid="{866E0466-EF65-4FEE-A3CD-6BA3C3F3775C}"/>
    <cellStyle name="Normal 5 2 3 2 8 3" xfId="11095" xr:uid="{7A6DBA64-6598-4F2E-914F-E07C94E1F1DD}"/>
    <cellStyle name="Normal 5 2 3 2 8 4" xfId="19543" xr:uid="{DDB28EC7-60E0-4A2C-9EAC-79B94C48E1A2}"/>
    <cellStyle name="Normal 5 2 3 2 9" xfId="4798" xr:uid="{00000000-0005-0000-0000-000083180000}"/>
    <cellStyle name="Normal 5 2 3 2 9 2" xfId="13248" xr:uid="{48A52FB1-0777-418A-9C45-A795BFFFEE22}"/>
    <cellStyle name="Normal 5 2 3 2 9 3" xfId="21695" xr:uid="{CDFB60BF-39FF-4248-B564-A56283ECEFD8}"/>
    <cellStyle name="Normal 5 2 3 3" xfId="429" xr:uid="{00000000-0005-0000-0000-000084180000}"/>
    <cellStyle name="Normal 5 2 3 3 10" xfId="17482" xr:uid="{F6090FA7-5817-4D45-AD88-1C003AFC0A16}"/>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2CFF99F1-2EB9-4B35-B8E4-3D8BCCC24503}"/>
    <cellStyle name="Normal 5 2 3 3 2 2 2 2 3" xfId="24258" xr:uid="{90BAB68B-5D26-410C-945C-49CB87334800}"/>
    <cellStyle name="Normal 5 2 3 3 2 2 2 3" xfId="11593" xr:uid="{5637C180-F87F-4033-AED0-A140861800E2}"/>
    <cellStyle name="Normal 5 2 3 3 2 2 2 4" xfId="20041" xr:uid="{97FA0E3B-90C5-46B8-A3F1-DC54E1DCD782}"/>
    <cellStyle name="Normal 5 2 3 3 2 2 3" xfId="5216" xr:uid="{00000000-0005-0000-0000-000089180000}"/>
    <cellStyle name="Normal 5 2 3 3 2 2 3 2" xfId="13666" xr:uid="{6CFCCD15-2D2F-4A65-B264-128C6A10E50C}"/>
    <cellStyle name="Normal 5 2 3 3 2 2 3 3" xfId="22113" xr:uid="{33E6BC87-C0F8-4C7E-BCAE-25759B0D187E}"/>
    <cellStyle name="Normal 5 2 3 3 2 2 4" xfId="9448" xr:uid="{5FF99828-ADB2-40FE-9A82-52705B754ACD}"/>
    <cellStyle name="Normal 5 2 3 3 2 2 5" xfId="17896" xr:uid="{7D30F14D-0522-493D-A81D-0F59C93329E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C17F03CD-901C-4579-B070-488FDF1B7FDF}"/>
    <cellStyle name="Normal 5 2 3 3 2 3 2 2 3" xfId="24671" xr:uid="{C24DF3E5-9C4F-43B2-806B-DD05F9A0C51A}"/>
    <cellStyle name="Normal 5 2 3 3 2 3 2 3" xfId="12006" xr:uid="{2AEBB87D-F392-4971-BAFB-2AD1C5CA27EE}"/>
    <cellStyle name="Normal 5 2 3 3 2 3 2 4" xfId="20454" xr:uid="{99EC860E-F825-483D-8F1C-C48809CB0842}"/>
    <cellStyle name="Normal 5 2 3 3 2 3 3" xfId="5629" xr:uid="{00000000-0005-0000-0000-00008D180000}"/>
    <cellStyle name="Normal 5 2 3 3 2 3 3 2" xfId="14079" xr:uid="{89FA946D-680B-4087-9B4A-4F01362D0F7D}"/>
    <cellStyle name="Normal 5 2 3 3 2 3 3 3" xfId="22526" xr:uid="{747B5E12-F59B-424C-86A5-B1C606E57DF7}"/>
    <cellStyle name="Normal 5 2 3 3 2 3 4" xfId="9861" xr:uid="{75CEAAC6-F809-4477-A574-748E81673195}"/>
    <cellStyle name="Normal 5 2 3 3 2 3 5" xfId="18309" xr:uid="{F7B392C1-1805-417A-ABBC-9BA443FFB01D}"/>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D56A5F31-64D6-4CA9-A8F3-A0DCF9129116}"/>
    <cellStyle name="Normal 5 2 3 3 2 4 2 2 3" xfId="25084" xr:uid="{3D188B48-FFDA-406C-B989-00167D4BDCD1}"/>
    <cellStyle name="Normal 5 2 3 3 2 4 2 3" xfId="12419" xr:uid="{F3AC385F-FDC6-4156-A67F-AF4A153147DE}"/>
    <cellStyle name="Normal 5 2 3 3 2 4 2 4" xfId="20867" xr:uid="{150E8B7B-404C-461A-8A98-856E90E552F0}"/>
    <cellStyle name="Normal 5 2 3 3 2 4 3" xfId="6042" xr:uid="{00000000-0005-0000-0000-000091180000}"/>
    <cellStyle name="Normal 5 2 3 3 2 4 3 2" xfId="14492" xr:uid="{F3E5C9F2-F2EB-41D8-B67E-A5802C306C08}"/>
    <cellStyle name="Normal 5 2 3 3 2 4 3 3" xfId="22939" xr:uid="{5C41B47F-E1F1-4414-8B65-66AF34387B90}"/>
    <cellStyle name="Normal 5 2 3 3 2 4 4" xfId="10274" xr:uid="{40C13AA2-6867-49C6-BBCE-7AD8E7173EEC}"/>
    <cellStyle name="Normal 5 2 3 3 2 4 5" xfId="18722" xr:uid="{520A59B0-FAAE-4D59-8571-550CFE144DF3}"/>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D8BFB237-7F95-4647-9FC5-D489826A7E31}"/>
    <cellStyle name="Normal 5 2 3 3 2 5 2 2 3" xfId="25497" xr:uid="{8969C0BD-6A09-4BA3-B0B0-DD52EA68AC73}"/>
    <cellStyle name="Normal 5 2 3 3 2 5 2 3" xfId="12832" xr:uid="{589317F6-ED60-421B-98A4-5A4521D94C0F}"/>
    <cellStyle name="Normal 5 2 3 3 2 5 2 4" xfId="21280" xr:uid="{EBF26111-BDBE-4BEC-9116-5BA8D7E6A4A9}"/>
    <cellStyle name="Normal 5 2 3 3 2 5 3" xfId="6455" xr:uid="{00000000-0005-0000-0000-000095180000}"/>
    <cellStyle name="Normal 5 2 3 3 2 5 3 2" xfId="14905" xr:uid="{5CB651A7-1F70-45B2-B07E-A73B18F35279}"/>
    <cellStyle name="Normal 5 2 3 3 2 5 3 3" xfId="23352" xr:uid="{995BEA7F-FDA8-4275-B724-1181239027B6}"/>
    <cellStyle name="Normal 5 2 3 3 2 5 4" xfId="10687" xr:uid="{B20188CA-BACB-4CF9-99DB-73B004BDE8BA}"/>
    <cellStyle name="Normal 5 2 3 3 2 5 5" xfId="19135" xr:uid="{A5875791-D3AD-420A-9FDF-A2FFA7B99761}"/>
    <cellStyle name="Normal 5 2 3 3 2 6" xfId="2585" xr:uid="{00000000-0005-0000-0000-000096180000}"/>
    <cellStyle name="Normal 5 2 3 3 2 6 2" xfId="6868" xr:uid="{00000000-0005-0000-0000-000097180000}"/>
    <cellStyle name="Normal 5 2 3 3 2 6 2 2" xfId="15318" xr:uid="{A4F5535D-543A-488B-9571-562477B3F342}"/>
    <cellStyle name="Normal 5 2 3 3 2 6 2 3" xfId="23765" xr:uid="{DA2B23DB-6224-4821-B504-B5D2313A0056}"/>
    <cellStyle name="Normal 5 2 3 3 2 6 3" xfId="11100" xr:uid="{97E566F7-1775-46C5-9917-66E9524B0664}"/>
    <cellStyle name="Normal 5 2 3 3 2 6 4" xfId="19548" xr:uid="{2B6B7461-8DF3-46F7-A2F2-70FA63A794C8}"/>
    <cellStyle name="Normal 5 2 3 3 2 7" xfId="4803" xr:uid="{00000000-0005-0000-0000-000098180000}"/>
    <cellStyle name="Normal 5 2 3 3 2 7 2" xfId="13253" xr:uid="{1904566C-B2E0-4315-B082-FEE43996E1CD}"/>
    <cellStyle name="Normal 5 2 3 3 2 7 3" xfId="21700" xr:uid="{1938FC25-8D2B-4878-964B-A1C0F532267E}"/>
    <cellStyle name="Normal 5 2 3 3 2 8" xfId="9035" xr:uid="{BAA3E268-013B-4F65-A03F-2619EE476F9B}"/>
    <cellStyle name="Normal 5 2 3 3 2 9" xfId="17483" xr:uid="{1F216476-264D-42BF-876B-513212EC7306}"/>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52A9F61E-E3D9-4E2D-ADAD-535DE9A52CA7}"/>
    <cellStyle name="Normal 5 2 3 3 3 2 2 3" xfId="24257" xr:uid="{1DCEC469-EEF9-456C-9B16-222C5C89082B}"/>
    <cellStyle name="Normal 5 2 3 3 3 2 3" xfId="11592" xr:uid="{BDD0E859-5D1B-4682-9257-907529572C6B}"/>
    <cellStyle name="Normal 5 2 3 3 3 2 4" xfId="20040" xr:uid="{FC187A56-C411-4400-A224-DEB39386DED9}"/>
    <cellStyle name="Normal 5 2 3 3 3 3" xfId="5215" xr:uid="{00000000-0005-0000-0000-00009C180000}"/>
    <cellStyle name="Normal 5 2 3 3 3 3 2" xfId="13665" xr:uid="{A9F231B7-CAA8-497F-923A-74FF3984FF33}"/>
    <cellStyle name="Normal 5 2 3 3 3 3 3" xfId="22112" xr:uid="{F2763AB7-E430-4B42-BD7D-E3730E42FE09}"/>
    <cellStyle name="Normal 5 2 3 3 3 4" xfId="9447" xr:uid="{8A948F3E-CBBA-4DD8-965A-3F72B856F446}"/>
    <cellStyle name="Normal 5 2 3 3 3 5" xfId="17895" xr:uid="{D644FFAB-2EEC-49E4-8D0E-32B9C68180F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720E198C-CEDC-4AEF-BD33-457EFEC8C21A}"/>
    <cellStyle name="Normal 5 2 3 3 4 2 2 3" xfId="24670" xr:uid="{71D58284-D3F0-4504-8B3C-42BD1FEF6E91}"/>
    <cellStyle name="Normal 5 2 3 3 4 2 3" xfId="12005" xr:uid="{2DA4A0F3-3A74-496D-8956-4CD63FEE20E6}"/>
    <cellStyle name="Normal 5 2 3 3 4 2 4" xfId="20453" xr:uid="{B373C9B8-8E60-49AE-BC11-EACC0ED3FED7}"/>
    <cellStyle name="Normal 5 2 3 3 4 3" xfId="5628" xr:uid="{00000000-0005-0000-0000-0000A0180000}"/>
    <cellStyle name="Normal 5 2 3 3 4 3 2" xfId="14078" xr:uid="{EA4B011B-3D68-4B6C-95F8-117FA48DDBE8}"/>
    <cellStyle name="Normal 5 2 3 3 4 3 3" xfId="22525" xr:uid="{49D0EC52-6941-480B-93C1-09C845437AB2}"/>
    <cellStyle name="Normal 5 2 3 3 4 4" xfId="9860" xr:uid="{1538A5A5-516F-424E-BFCE-415EAA8A5CF1}"/>
    <cellStyle name="Normal 5 2 3 3 4 5" xfId="18308" xr:uid="{EE03E7D5-02AF-4BCE-BC9B-3461E4C778DC}"/>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8274925A-5226-4C84-9247-519107604F7F}"/>
    <cellStyle name="Normal 5 2 3 3 5 2 2 3" xfId="25083" xr:uid="{FE7C4551-15BC-4CD0-BF79-94A5CD5B4BD3}"/>
    <cellStyle name="Normal 5 2 3 3 5 2 3" xfId="12418" xr:uid="{41F680D8-E7A2-4D74-8571-E7C2EC7D1D66}"/>
    <cellStyle name="Normal 5 2 3 3 5 2 4" xfId="20866" xr:uid="{03B2ED71-7A16-46B0-93B3-3B4B35712B00}"/>
    <cellStyle name="Normal 5 2 3 3 5 3" xfId="6041" xr:uid="{00000000-0005-0000-0000-0000A4180000}"/>
    <cellStyle name="Normal 5 2 3 3 5 3 2" xfId="14491" xr:uid="{FEC7727A-A2E2-4E06-8A12-28A1C1F16659}"/>
    <cellStyle name="Normal 5 2 3 3 5 3 3" xfId="22938" xr:uid="{BC4F8205-6FC9-4847-BF49-4FEC93ACD365}"/>
    <cellStyle name="Normal 5 2 3 3 5 4" xfId="10273" xr:uid="{12C888FB-634C-42AC-9C07-037F5136AB44}"/>
    <cellStyle name="Normal 5 2 3 3 5 5" xfId="18721" xr:uid="{12593C6F-270F-463C-996B-BFEDB9413A30}"/>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FB36FA40-2427-4440-86FD-21EDDFD9A55E}"/>
    <cellStyle name="Normal 5 2 3 3 6 2 2 3" xfId="25496" xr:uid="{5DA81727-4296-4B29-9A0C-BD64664BB9DD}"/>
    <cellStyle name="Normal 5 2 3 3 6 2 3" xfId="12831" xr:uid="{E6110725-A989-4986-AB6F-4F9052DA3723}"/>
    <cellStyle name="Normal 5 2 3 3 6 2 4" xfId="21279" xr:uid="{CC49F697-D139-4E1C-B78F-1F57073439AF}"/>
    <cellStyle name="Normal 5 2 3 3 6 3" xfId="6454" xr:uid="{00000000-0005-0000-0000-0000A8180000}"/>
    <cellStyle name="Normal 5 2 3 3 6 3 2" xfId="14904" xr:uid="{030FE4F5-A551-4039-B8E6-9CEE5B049FD3}"/>
    <cellStyle name="Normal 5 2 3 3 6 3 3" xfId="23351" xr:uid="{715A09CF-CA5B-4344-9570-592EAEC32EAE}"/>
    <cellStyle name="Normal 5 2 3 3 6 4" xfId="10686" xr:uid="{A397B0F4-B751-47EE-A63B-058C230EAC88}"/>
    <cellStyle name="Normal 5 2 3 3 6 5" xfId="19134" xr:uid="{E4890C10-4B80-4558-BFCA-7F073134FFEF}"/>
    <cellStyle name="Normal 5 2 3 3 7" xfId="2584" xr:uid="{00000000-0005-0000-0000-0000A9180000}"/>
    <cellStyle name="Normal 5 2 3 3 7 2" xfId="6867" xr:uid="{00000000-0005-0000-0000-0000AA180000}"/>
    <cellStyle name="Normal 5 2 3 3 7 2 2" xfId="15317" xr:uid="{76F147B5-9910-4E02-ABB9-40969DA249EF}"/>
    <cellStyle name="Normal 5 2 3 3 7 2 3" xfId="23764" xr:uid="{552BADF8-D174-4380-BDCF-251FA44A18B0}"/>
    <cellStyle name="Normal 5 2 3 3 7 3" xfId="11099" xr:uid="{F8953861-43FF-41A5-8300-F391F688AF0F}"/>
    <cellStyle name="Normal 5 2 3 3 7 4" xfId="19547" xr:uid="{18A00750-4738-4CD1-BB02-F5CADA150246}"/>
    <cellStyle name="Normal 5 2 3 3 8" xfId="4802" xr:uid="{00000000-0005-0000-0000-0000AB180000}"/>
    <cellStyle name="Normal 5 2 3 3 8 2" xfId="13252" xr:uid="{554C4E89-A2FA-424E-AF34-4CC9B22DACD2}"/>
    <cellStyle name="Normal 5 2 3 3 8 3" xfId="21699" xr:uid="{575F4D62-D345-4C04-A7C4-06B249911B5A}"/>
    <cellStyle name="Normal 5 2 3 3 9" xfId="9034" xr:uid="{4FC6BCE1-3D6B-4928-ACD3-5EC5E2FC5903}"/>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3A73F7C8-22C3-4D76-BF24-5B8AB83F3ABF}"/>
    <cellStyle name="Normal 5 2 3 4 2 2 2 3" xfId="24259" xr:uid="{AB179B83-4FFE-4DB4-BCC2-A58B099E22D8}"/>
    <cellStyle name="Normal 5 2 3 4 2 2 3" xfId="11594" xr:uid="{383CFDD9-7DCB-435B-836A-B82D55639E38}"/>
    <cellStyle name="Normal 5 2 3 4 2 2 4" xfId="20042" xr:uid="{311C1951-5AD2-4657-A5CE-B5AD943CBFE4}"/>
    <cellStyle name="Normal 5 2 3 4 2 3" xfId="5217" xr:uid="{00000000-0005-0000-0000-0000B0180000}"/>
    <cellStyle name="Normal 5 2 3 4 2 3 2" xfId="13667" xr:uid="{F6B3122B-F332-4BE7-9A90-2C224DF49AFB}"/>
    <cellStyle name="Normal 5 2 3 4 2 3 3" xfId="22114" xr:uid="{39B87104-C51C-4688-BF46-8FB6A3A6B900}"/>
    <cellStyle name="Normal 5 2 3 4 2 4" xfId="9449" xr:uid="{DB712F12-D5A3-4287-AD85-C6EB3CEE3BE2}"/>
    <cellStyle name="Normal 5 2 3 4 2 5" xfId="17897" xr:uid="{7F7F1E95-576B-4183-9FCC-0FFAB4595EA3}"/>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DB324E6B-CBF5-4BC8-A73C-157174EFB60E}"/>
    <cellStyle name="Normal 5 2 3 4 3 2 2 3" xfId="24672" xr:uid="{5E349336-971B-4473-AFA7-C5CF568BED15}"/>
    <cellStyle name="Normal 5 2 3 4 3 2 3" xfId="12007" xr:uid="{65EFA17A-0272-4ACB-B31B-447287E1E2FD}"/>
    <cellStyle name="Normal 5 2 3 4 3 2 4" xfId="20455" xr:uid="{26A78BFF-A7CB-4A96-A078-30DAC1016935}"/>
    <cellStyle name="Normal 5 2 3 4 3 3" xfId="5630" xr:uid="{00000000-0005-0000-0000-0000B4180000}"/>
    <cellStyle name="Normal 5 2 3 4 3 3 2" xfId="14080" xr:uid="{BC68B75C-B4D7-425E-B15E-501E46184A29}"/>
    <cellStyle name="Normal 5 2 3 4 3 3 3" xfId="22527" xr:uid="{1D09C82B-7F10-4B3D-9249-FF99A63AD18A}"/>
    <cellStyle name="Normal 5 2 3 4 3 4" xfId="9862" xr:uid="{6C6118B7-84AF-4B32-AE76-CD260BAD647D}"/>
    <cellStyle name="Normal 5 2 3 4 3 5" xfId="18310" xr:uid="{DA93EABF-37DD-43C9-987C-D37B0FDF869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0103038C-B7C4-44CC-BD3E-709188ABB2A7}"/>
    <cellStyle name="Normal 5 2 3 4 4 2 2 3" xfId="25085" xr:uid="{308FD203-FC5B-4D5A-A192-BB45CDD8DF8A}"/>
    <cellStyle name="Normal 5 2 3 4 4 2 3" xfId="12420" xr:uid="{14F1978D-9F2F-4A85-B95C-088D2E500883}"/>
    <cellStyle name="Normal 5 2 3 4 4 2 4" xfId="20868" xr:uid="{20CD580A-3C1B-4FA7-A747-174069195CF6}"/>
    <cellStyle name="Normal 5 2 3 4 4 3" xfId="6043" xr:uid="{00000000-0005-0000-0000-0000B8180000}"/>
    <cellStyle name="Normal 5 2 3 4 4 3 2" xfId="14493" xr:uid="{21C68A29-BA34-48C3-8E6D-38C6E399141E}"/>
    <cellStyle name="Normal 5 2 3 4 4 3 3" xfId="22940" xr:uid="{280D51DE-E478-457E-ABEC-6970356B03E8}"/>
    <cellStyle name="Normal 5 2 3 4 4 4" xfId="10275" xr:uid="{2B5CDD15-A067-451D-A10E-9BF8B82B090E}"/>
    <cellStyle name="Normal 5 2 3 4 4 5" xfId="18723" xr:uid="{D5196610-FF4D-4323-BCC3-E0B4D9365EFA}"/>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D21AA000-4BEE-4246-ACB9-1BBFDEFB33A2}"/>
    <cellStyle name="Normal 5 2 3 4 5 2 2 3" xfId="25498" xr:uid="{AA6F6C60-2E30-4C90-8EB4-0BC7E5CB2991}"/>
    <cellStyle name="Normal 5 2 3 4 5 2 3" xfId="12833" xr:uid="{EB0F4A5B-0B8F-4CD5-90B7-B2D39FA1E86E}"/>
    <cellStyle name="Normal 5 2 3 4 5 2 4" xfId="21281" xr:uid="{A5726320-6A5E-480A-82EE-9AF85902DE00}"/>
    <cellStyle name="Normal 5 2 3 4 5 3" xfId="6456" xr:uid="{00000000-0005-0000-0000-0000BC180000}"/>
    <cellStyle name="Normal 5 2 3 4 5 3 2" xfId="14906" xr:uid="{6A47F37F-A273-42F2-8DA3-35176A1B5219}"/>
    <cellStyle name="Normal 5 2 3 4 5 3 3" xfId="23353" xr:uid="{A8E991D8-EC83-4A2E-8CC2-D36903DC5381}"/>
    <cellStyle name="Normal 5 2 3 4 5 4" xfId="10688" xr:uid="{84351EA6-27EC-4489-B56C-92C70BE61DE8}"/>
    <cellStyle name="Normal 5 2 3 4 5 5" xfId="19136" xr:uid="{2FF86633-95C6-49C2-BD48-244EF09F8D41}"/>
    <cellStyle name="Normal 5 2 3 4 6" xfId="2586" xr:uid="{00000000-0005-0000-0000-0000BD180000}"/>
    <cellStyle name="Normal 5 2 3 4 6 2" xfId="6869" xr:uid="{00000000-0005-0000-0000-0000BE180000}"/>
    <cellStyle name="Normal 5 2 3 4 6 2 2" xfId="15319" xr:uid="{B1BE7F62-1343-407A-A4D2-FBE54C9D53DB}"/>
    <cellStyle name="Normal 5 2 3 4 6 2 3" xfId="23766" xr:uid="{E806B07E-0A02-4CA7-9F8C-C07B2B4BE102}"/>
    <cellStyle name="Normal 5 2 3 4 6 3" xfId="11101" xr:uid="{8244F8E4-B346-439E-BBBA-219285C36E0E}"/>
    <cellStyle name="Normal 5 2 3 4 6 4" xfId="19549" xr:uid="{FA5CBC98-C894-420D-B499-47DD63BC6C6E}"/>
    <cellStyle name="Normal 5 2 3 4 7" xfId="4804" xr:uid="{00000000-0005-0000-0000-0000BF180000}"/>
    <cellStyle name="Normal 5 2 3 4 7 2" xfId="13254" xr:uid="{30D2AB99-7E68-49D2-AD3D-14E7925D82A7}"/>
    <cellStyle name="Normal 5 2 3 4 7 3" xfId="21701" xr:uid="{193ABF01-3966-4B6E-A771-C209F4621AB8}"/>
    <cellStyle name="Normal 5 2 3 4 8" xfId="9036" xr:uid="{AAB1CB84-923D-4482-B96B-7A9C683CEAD8}"/>
    <cellStyle name="Normal 5 2 3 4 9" xfId="17484" xr:uid="{E23BFE5E-8CD9-4024-BA01-D4D71C42635C}"/>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A2510C78-4B64-4A68-BE45-3C4687312589}"/>
    <cellStyle name="Normal 5 2 3 5 2 2 3" xfId="24252" xr:uid="{53D24556-E025-4484-AD5C-D9428CEA4728}"/>
    <cellStyle name="Normal 5 2 3 5 2 3" xfId="11587" xr:uid="{CF4CA58D-2B3A-4F4C-ACDA-5E0A09ADB028}"/>
    <cellStyle name="Normal 5 2 3 5 2 4" xfId="20035" xr:uid="{6F91D865-11B0-4C8A-AC16-FD1A9D517D62}"/>
    <cellStyle name="Normal 5 2 3 5 3" xfId="5210" xr:uid="{00000000-0005-0000-0000-0000C3180000}"/>
    <cellStyle name="Normal 5 2 3 5 3 2" xfId="13660" xr:uid="{53C29D24-146D-4B5D-B9E7-8B948C54DF78}"/>
    <cellStyle name="Normal 5 2 3 5 3 3" xfId="22107" xr:uid="{371333C2-8CAC-4001-8B78-604FF8D134B6}"/>
    <cellStyle name="Normal 5 2 3 5 4" xfId="9442" xr:uid="{E165DBA8-36A7-4433-A56C-657DFA656988}"/>
    <cellStyle name="Normal 5 2 3 5 5" xfId="17890" xr:uid="{E3FDADA8-DF8C-42A7-A261-C3042DD38FF4}"/>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EC5B4CD8-2041-4D4E-ABE0-9A14D17834A7}"/>
    <cellStyle name="Normal 5 2 3 6 2 2 3" xfId="24665" xr:uid="{201CB41D-823E-4AF1-91BA-6F8434C6C199}"/>
    <cellStyle name="Normal 5 2 3 6 2 3" xfId="12000" xr:uid="{8E384DDE-BE29-4AAB-9B89-3B94A491FEBA}"/>
    <cellStyle name="Normal 5 2 3 6 2 4" xfId="20448" xr:uid="{1BC47FA2-D912-47F8-8C29-A1FA366BB5FC}"/>
    <cellStyle name="Normal 5 2 3 6 3" xfId="5623" xr:uid="{00000000-0005-0000-0000-0000C7180000}"/>
    <cellStyle name="Normal 5 2 3 6 3 2" xfId="14073" xr:uid="{AA6F1038-EFF7-4C89-BAB5-A7D5A1475EFD}"/>
    <cellStyle name="Normal 5 2 3 6 3 3" xfId="22520" xr:uid="{63B9F22F-9BC9-49A8-945D-DA2FF9BCF290}"/>
    <cellStyle name="Normal 5 2 3 6 4" xfId="9855" xr:uid="{881BE6CD-7583-4BFC-9674-3ADCA6076C84}"/>
    <cellStyle name="Normal 5 2 3 6 5" xfId="18303" xr:uid="{3D18BC0C-D45B-4653-BB88-ECBB47CB4FC6}"/>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2E869D4C-B8EC-4024-AE16-4B50BD460D9D}"/>
    <cellStyle name="Normal 5 2 3 7 2 2 3" xfId="25078" xr:uid="{0D69124E-30DE-4D8A-BAB7-5F45B1FE3BEE}"/>
    <cellStyle name="Normal 5 2 3 7 2 3" xfId="12413" xr:uid="{8309036F-EE0C-434D-94DC-A5D2CB2B7CD4}"/>
    <cellStyle name="Normal 5 2 3 7 2 4" xfId="20861" xr:uid="{E0EB2C44-40CE-4972-82C4-A7369D759E01}"/>
    <cellStyle name="Normal 5 2 3 7 3" xfId="6036" xr:uid="{00000000-0005-0000-0000-0000CB180000}"/>
    <cellStyle name="Normal 5 2 3 7 3 2" xfId="14486" xr:uid="{F2C1DDB1-EB96-4A28-848E-268710619E2C}"/>
    <cellStyle name="Normal 5 2 3 7 3 3" xfId="22933" xr:uid="{02294530-2181-476B-BAE9-FCB9D50B2BE3}"/>
    <cellStyle name="Normal 5 2 3 7 4" xfId="10268" xr:uid="{D7381A1C-2FF9-481B-84E5-BF3183CE040E}"/>
    <cellStyle name="Normal 5 2 3 7 5" xfId="18716" xr:uid="{B9D06033-630C-4005-82DD-0FE0A3255375}"/>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5FFE4BFF-A555-4528-90F7-F5EADD8DB321}"/>
    <cellStyle name="Normal 5 2 3 8 2 2 3" xfId="25491" xr:uid="{68992ABB-8C40-41B8-BD31-7C718DAB2AB2}"/>
    <cellStyle name="Normal 5 2 3 8 2 3" xfId="12826" xr:uid="{E0747D27-BAF5-4763-905B-28FBA1F2C291}"/>
    <cellStyle name="Normal 5 2 3 8 2 4" xfId="21274" xr:uid="{933B7976-20A9-4A41-B4F2-5402A7A32A28}"/>
    <cellStyle name="Normal 5 2 3 8 3" xfId="6449" xr:uid="{00000000-0005-0000-0000-0000CF180000}"/>
    <cellStyle name="Normal 5 2 3 8 3 2" xfId="14899" xr:uid="{B0D4D3BC-9027-4699-AD4D-21A28BC6028D}"/>
    <cellStyle name="Normal 5 2 3 8 3 3" xfId="23346" xr:uid="{75A7E0BD-DD36-4F11-818C-16980BAAE460}"/>
    <cellStyle name="Normal 5 2 3 8 4" xfId="10681" xr:uid="{66D3A293-D689-46CB-BD95-2CA67EFE618D}"/>
    <cellStyle name="Normal 5 2 3 8 5" xfId="19129" xr:uid="{0C768895-C309-4A1D-9745-5DE01F4B16D0}"/>
    <cellStyle name="Normal 5 2 3 9" xfId="2579" xr:uid="{00000000-0005-0000-0000-0000D0180000}"/>
    <cellStyle name="Normal 5 2 3 9 2" xfId="6862" xr:uid="{00000000-0005-0000-0000-0000D1180000}"/>
    <cellStyle name="Normal 5 2 3 9 2 2" xfId="15312" xr:uid="{CCBD8248-7B37-4A19-ADBF-E72AE8DE1CED}"/>
    <cellStyle name="Normal 5 2 3 9 2 3" xfId="23759" xr:uid="{66916F71-EE91-43EB-B622-B5A2B1C56B11}"/>
    <cellStyle name="Normal 5 2 3 9 3" xfId="11094" xr:uid="{28B5FCE5-7460-42A1-8477-13DF2B5F8081}"/>
    <cellStyle name="Normal 5 2 3 9 4" xfId="19542" xr:uid="{558537BB-B59B-4881-812C-4454312705E7}"/>
    <cellStyle name="Normal 5 2 4" xfId="432" xr:uid="{00000000-0005-0000-0000-0000D2180000}"/>
    <cellStyle name="Normal 5 2 4 10" xfId="9037" xr:uid="{F35BCEB6-C6A4-45DD-AC92-B0452D525113}"/>
    <cellStyle name="Normal 5 2 4 11" xfId="17485" xr:uid="{500770CA-E20B-49C9-8F5F-24BA2C98DF0A}"/>
    <cellStyle name="Normal 5 2 4 2" xfId="433" xr:uid="{00000000-0005-0000-0000-0000D3180000}"/>
    <cellStyle name="Normal 5 2 4 2 10" xfId="17486" xr:uid="{78CC9D2A-EF76-4D14-B3D1-735F449FB97B}"/>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08F6CB79-75D0-4C8E-90ED-3AD0C1D80DA5}"/>
    <cellStyle name="Normal 5 2 4 2 2 2 2 2 3" xfId="24262" xr:uid="{60F1107F-DB17-4B66-8CE8-068DB016577F}"/>
    <cellStyle name="Normal 5 2 4 2 2 2 2 3" xfId="11597" xr:uid="{A547C20E-F648-4D5A-B8DD-90079AC36A09}"/>
    <cellStyle name="Normal 5 2 4 2 2 2 2 4" xfId="20045" xr:uid="{5BCA6970-F3A9-45CA-AC84-FBF8D819B47B}"/>
    <cellStyle name="Normal 5 2 4 2 2 2 3" xfId="5220" xr:uid="{00000000-0005-0000-0000-0000D8180000}"/>
    <cellStyle name="Normal 5 2 4 2 2 2 3 2" xfId="13670" xr:uid="{A4541F67-C414-4EFC-8B7C-61510E710A8E}"/>
    <cellStyle name="Normal 5 2 4 2 2 2 3 3" xfId="22117" xr:uid="{40B9CD70-A64F-4597-A6FB-B87A26B7E892}"/>
    <cellStyle name="Normal 5 2 4 2 2 2 4" xfId="9452" xr:uid="{D9DFE15E-5D4B-482C-AE57-7DD1E3456AA1}"/>
    <cellStyle name="Normal 5 2 4 2 2 2 5" xfId="17900" xr:uid="{1124E266-E25C-46B6-9C83-654FB3C64D51}"/>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2725AB65-330C-44E0-B211-A4903C2CFFE1}"/>
    <cellStyle name="Normal 5 2 4 2 2 3 2 2 3" xfId="24675" xr:uid="{06CA2FFA-AC09-4BBD-8B99-ADF3E1C8ECB1}"/>
    <cellStyle name="Normal 5 2 4 2 2 3 2 3" xfId="12010" xr:uid="{8EA477FC-986E-45ED-9705-363EB64C4ED1}"/>
    <cellStyle name="Normal 5 2 4 2 2 3 2 4" xfId="20458" xr:uid="{D772E39D-9E75-4303-8C0E-0CFA575B7AEF}"/>
    <cellStyle name="Normal 5 2 4 2 2 3 3" xfId="5633" xr:uid="{00000000-0005-0000-0000-0000DC180000}"/>
    <cellStyle name="Normal 5 2 4 2 2 3 3 2" xfId="14083" xr:uid="{9CD0B130-4BFA-4B39-9E6A-FD5D5B3BBF54}"/>
    <cellStyle name="Normal 5 2 4 2 2 3 3 3" xfId="22530" xr:uid="{15A14834-C004-4007-8013-7C54C796CDB6}"/>
    <cellStyle name="Normal 5 2 4 2 2 3 4" xfId="9865" xr:uid="{8BB6552D-F980-4D3C-A732-3F98E6B6ADE2}"/>
    <cellStyle name="Normal 5 2 4 2 2 3 5" xfId="18313" xr:uid="{7AF92C89-E1E0-45D3-9BAA-02832394A52E}"/>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D8522B4E-E100-4D9B-9A51-517404F2F9FA}"/>
    <cellStyle name="Normal 5 2 4 2 2 4 2 2 3" xfId="25088" xr:uid="{C9AA913E-5545-428E-BCB4-74EC31DEA2AE}"/>
    <cellStyle name="Normal 5 2 4 2 2 4 2 3" xfId="12423" xr:uid="{7C136DBE-7F8D-4470-9C75-705F39249D5B}"/>
    <cellStyle name="Normal 5 2 4 2 2 4 2 4" xfId="20871" xr:uid="{C09F9FD6-FCFB-49A7-B2CF-4499C4270290}"/>
    <cellStyle name="Normal 5 2 4 2 2 4 3" xfId="6046" xr:uid="{00000000-0005-0000-0000-0000E0180000}"/>
    <cellStyle name="Normal 5 2 4 2 2 4 3 2" xfId="14496" xr:uid="{6492B963-6D2E-4996-8B7B-D8A9431E10E5}"/>
    <cellStyle name="Normal 5 2 4 2 2 4 3 3" xfId="22943" xr:uid="{879D00C4-B87F-4B51-BD6C-64BA2BD04C2C}"/>
    <cellStyle name="Normal 5 2 4 2 2 4 4" xfId="10278" xr:uid="{C6E66A74-B88A-4177-BF26-3B52B6D1CD71}"/>
    <cellStyle name="Normal 5 2 4 2 2 4 5" xfId="18726" xr:uid="{1352ED4F-493D-46B6-8733-18056AD0D8A2}"/>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7C316DA3-1D01-4D84-935B-B1BDCC2A34EE}"/>
    <cellStyle name="Normal 5 2 4 2 2 5 2 2 3" xfId="25501" xr:uid="{9800CF4E-07F5-4645-AFEA-F9AC21A28930}"/>
    <cellStyle name="Normal 5 2 4 2 2 5 2 3" xfId="12836" xr:uid="{9656DBD1-A12D-42A3-9F3C-0DB9481A63A2}"/>
    <cellStyle name="Normal 5 2 4 2 2 5 2 4" xfId="21284" xr:uid="{DA0C1915-2638-41BA-BB38-124095AD4931}"/>
    <cellStyle name="Normal 5 2 4 2 2 5 3" xfId="6459" xr:uid="{00000000-0005-0000-0000-0000E4180000}"/>
    <cellStyle name="Normal 5 2 4 2 2 5 3 2" xfId="14909" xr:uid="{02933884-C292-4664-B9BF-5E6F072B2F9F}"/>
    <cellStyle name="Normal 5 2 4 2 2 5 3 3" xfId="23356" xr:uid="{258E8356-1D37-415F-8BF5-473D86CD6341}"/>
    <cellStyle name="Normal 5 2 4 2 2 5 4" xfId="10691" xr:uid="{337FFD06-E64F-4468-B7C6-E8BE03681A4B}"/>
    <cellStyle name="Normal 5 2 4 2 2 5 5" xfId="19139" xr:uid="{FCD0A56C-7E0F-4656-A8DE-2657C6E3707D}"/>
    <cellStyle name="Normal 5 2 4 2 2 6" xfId="2589" xr:uid="{00000000-0005-0000-0000-0000E5180000}"/>
    <cellStyle name="Normal 5 2 4 2 2 6 2" xfId="6872" xr:uid="{00000000-0005-0000-0000-0000E6180000}"/>
    <cellStyle name="Normal 5 2 4 2 2 6 2 2" xfId="15322" xr:uid="{09C7BF01-3140-449D-BC15-66F36DB83374}"/>
    <cellStyle name="Normal 5 2 4 2 2 6 2 3" xfId="23769" xr:uid="{1EA8E8AC-F599-4ABB-A1E0-5AB157528F44}"/>
    <cellStyle name="Normal 5 2 4 2 2 6 3" xfId="11104" xr:uid="{C5BF8B34-3279-48AA-B918-37E329AE60BD}"/>
    <cellStyle name="Normal 5 2 4 2 2 6 4" xfId="19552" xr:uid="{EE5FCF98-4BE7-4144-B8DF-C42F700CBFC7}"/>
    <cellStyle name="Normal 5 2 4 2 2 7" xfId="4807" xr:uid="{00000000-0005-0000-0000-0000E7180000}"/>
    <cellStyle name="Normal 5 2 4 2 2 7 2" xfId="13257" xr:uid="{1890C0E0-74DE-47FF-82BD-9F0E82E92F8C}"/>
    <cellStyle name="Normal 5 2 4 2 2 7 3" xfId="21704" xr:uid="{302EFF99-6192-4FEF-BA6F-A3D827B0CC7D}"/>
    <cellStyle name="Normal 5 2 4 2 2 8" xfId="9039" xr:uid="{3925280B-A4BB-4039-B4AE-7E9F2BD355C3}"/>
    <cellStyle name="Normal 5 2 4 2 2 9" xfId="17487" xr:uid="{FDE5C9DD-39FF-4BF0-BD3B-1ACFDCF49E1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EED556B3-3B61-48FA-92E7-CFBE8E10AD91}"/>
    <cellStyle name="Normal 5 2 4 2 3 2 2 3" xfId="24261" xr:uid="{568C4A57-6F1A-4B53-9233-AD5A31AE3526}"/>
    <cellStyle name="Normal 5 2 4 2 3 2 3" xfId="11596" xr:uid="{E760E05C-5F7D-4B51-A5B3-B14008BE128B}"/>
    <cellStyle name="Normal 5 2 4 2 3 2 4" xfId="20044" xr:uid="{563080CC-6555-48B2-AA78-69E8ACB7E661}"/>
    <cellStyle name="Normal 5 2 4 2 3 3" xfId="5219" xr:uid="{00000000-0005-0000-0000-0000EB180000}"/>
    <cellStyle name="Normal 5 2 4 2 3 3 2" xfId="13669" xr:uid="{4A290D3B-1C7C-4807-A1EF-50908693A0AE}"/>
    <cellStyle name="Normal 5 2 4 2 3 3 3" xfId="22116" xr:uid="{B218047C-5BE6-424E-A1D9-DE39EFDA4F63}"/>
    <cellStyle name="Normal 5 2 4 2 3 4" xfId="9451" xr:uid="{ADFE1088-70BD-4834-B825-A8FA2DD399FF}"/>
    <cellStyle name="Normal 5 2 4 2 3 5" xfId="17899" xr:uid="{CDC2549F-2555-4020-BBB4-BECD53645975}"/>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3B6809EE-361B-4E30-A12E-38B57BFDB3A1}"/>
    <cellStyle name="Normal 5 2 4 2 4 2 2 3" xfId="24674" xr:uid="{3978F363-1FBA-4257-844B-0E379E29410D}"/>
    <cellStyle name="Normal 5 2 4 2 4 2 3" xfId="12009" xr:uid="{EF40D99B-7773-486D-973F-C0B1D2ABAE26}"/>
    <cellStyle name="Normal 5 2 4 2 4 2 4" xfId="20457" xr:uid="{7F9CCC9A-741D-45BA-846E-999C8F439308}"/>
    <cellStyle name="Normal 5 2 4 2 4 3" xfId="5632" xr:uid="{00000000-0005-0000-0000-0000EF180000}"/>
    <cellStyle name="Normal 5 2 4 2 4 3 2" xfId="14082" xr:uid="{42242408-1B59-45DD-92AD-A36B4ACEDB36}"/>
    <cellStyle name="Normal 5 2 4 2 4 3 3" xfId="22529" xr:uid="{9896DB77-3EDC-48C4-97A1-2B11BD42DE11}"/>
    <cellStyle name="Normal 5 2 4 2 4 4" xfId="9864" xr:uid="{0AA9D1C7-E1AE-48C3-BCFC-20E6F0B5DB6A}"/>
    <cellStyle name="Normal 5 2 4 2 4 5" xfId="18312" xr:uid="{D84393BB-8FDE-4561-9104-B39B99FA51BF}"/>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57C4FE51-C4FA-4472-92F7-4B582A568DBE}"/>
    <cellStyle name="Normal 5 2 4 2 5 2 2 3" xfId="25087" xr:uid="{0CB1732F-3677-42AF-B17A-6710E7B4658D}"/>
    <cellStyle name="Normal 5 2 4 2 5 2 3" xfId="12422" xr:uid="{4B3412D0-FF73-41FB-885E-055E97EC3DE5}"/>
    <cellStyle name="Normal 5 2 4 2 5 2 4" xfId="20870" xr:uid="{FA178E36-F788-40EB-AEC6-6DC9CE0F97FF}"/>
    <cellStyle name="Normal 5 2 4 2 5 3" xfId="6045" xr:uid="{00000000-0005-0000-0000-0000F3180000}"/>
    <cellStyle name="Normal 5 2 4 2 5 3 2" xfId="14495" xr:uid="{925FF2B5-3AA8-4C53-B5AE-A50756AC743E}"/>
    <cellStyle name="Normal 5 2 4 2 5 3 3" xfId="22942" xr:uid="{8EAF29D8-5057-43DC-8C5B-7B6AF3119955}"/>
    <cellStyle name="Normal 5 2 4 2 5 4" xfId="10277" xr:uid="{D25CD4D7-409A-4A77-8FFF-506BE052D3EB}"/>
    <cellStyle name="Normal 5 2 4 2 5 5" xfId="18725" xr:uid="{199FB00B-995D-437D-BC1B-AA31DBA98913}"/>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68E55154-26D1-4E5B-8130-63F1ACF22F16}"/>
    <cellStyle name="Normal 5 2 4 2 6 2 2 3" xfId="25500" xr:uid="{28840F1F-3156-402D-8B0F-563E06689537}"/>
    <cellStyle name="Normal 5 2 4 2 6 2 3" xfId="12835" xr:uid="{ABEE9971-ECED-42AD-9AE7-DA83C344BA8D}"/>
    <cellStyle name="Normal 5 2 4 2 6 2 4" xfId="21283" xr:uid="{494B02B0-4EA6-42DE-8CB6-22503C49B01D}"/>
    <cellStyle name="Normal 5 2 4 2 6 3" xfId="6458" xr:uid="{00000000-0005-0000-0000-0000F7180000}"/>
    <cellStyle name="Normal 5 2 4 2 6 3 2" xfId="14908" xr:uid="{FDE4A08C-A9C9-43FF-A58C-435DCDAD3DF3}"/>
    <cellStyle name="Normal 5 2 4 2 6 3 3" xfId="23355" xr:uid="{A4029D0C-31D1-4AB7-B58D-907471C9AC15}"/>
    <cellStyle name="Normal 5 2 4 2 6 4" xfId="10690" xr:uid="{D13942C8-B110-4030-A9FB-0385BE66E498}"/>
    <cellStyle name="Normal 5 2 4 2 6 5" xfId="19138" xr:uid="{8187A2D2-C20A-49B7-935F-0F40B6BE3038}"/>
    <cellStyle name="Normal 5 2 4 2 7" xfId="2588" xr:uid="{00000000-0005-0000-0000-0000F8180000}"/>
    <cellStyle name="Normal 5 2 4 2 7 2" xfId="6871" xr:uid="{00000000-0005-0000-0000-0000F9180000}"/>
    <cellStyle name="Normal 5 2 4 2 7 2 2" xfId="15321" xr:uid="{72100A85-14FE-4922-A386-D9AC35CDFF8E}"/>
    <cellStyle name="Normal 5 2 4 2 7 2 3" xfId="23768" xr:uid="{5E7582EC-C074-44A6-9A0D-FF19FA693F17}"/>
    <cellStyle name="Normal 5 2 4 2 7 3" xfId="11103" xr:uid="{5CB0507C-3BDB-43ED-B088-F90E94B4603C}"/>
    <cellStyle name="Normal 5 2 4 2 7 4" xfId="19551" xr:uid="{9A1B1F69-3189-4CD6-BD6B-E578B158D073}"/>
    <cellStyle name="Normal 5 2 4 2 8" xfId="4806" xr:uid="{00000000-0005-0000-0000-0000FA180000}"/>
    <cellStyle name="Normal 5 2 4 2 8 2" xfId="13256" xr:uid="{BFA6DFA6-35C8-43A7-9A28-059292600039}"/>
    <cellStyle name="Normal 5 2 4 2 8 3" xfId="21703" xr:uid="{FF6611CF-F514-40B5-BD6F-B91AB1408559}"/>
    <cellStyle name="Normal 5 2 4 2 9" xfId="9038" xr:uid="{70140E25-BE96-4939-80EA-1664DEB59198}"/>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B8B41B4D-A2BF-4D94-8A10-9A4761DF8451}"/>
    <cellStyle name="Normal 5 2 4 3 2 2 2 3" xfId="24263" xr:uid="{ACD6E414-4F84-4C5B-A84E-796B2C30D2D4}"/>
    <cellStyle name="Normal 5 2 4 3 2 2 3" xfId="11598" xr:uid="{9CA1E05E-62F2-4831-9212-491D7102471D}"/>
    <cellStyle name="Normal 5 2 4 3 2 2 4" xfId="20046" xr:uid="{6D198CD7-062D-4B12-9C81-B82A8D802438}"/>
    <cellStyle name="Normal 5 2 4 3 2 3" xfId="5221" xr:uid="{00000000-0005-0000-0000-0000FF180000}"/>
    <cellStyle name="Normal 5 2 4 3 2 3 2" xfId="13671" xr:uid="{8361D1FF-7304-4EBB-8DA8-69C335865AF1}"/>
    <cellStyle name="Normal 5 2 4 3 2 3 3" xfId="22118" xr:uid="{B5D18688-00CA-481B-9CF3-1A285C51ABD8}"/>
    <cellStyle name="Normal 5 2 4 3 2 4" xfId="9453" xr:uid="{CF5BC7D3-3CE6-4FEB-AEFF-96A3BED10653}"/>
    <cellStyle name="Normal 5 2 4 3 2 5" xfId="17901" xr:uid="{618A0AE0-EB77-43AA-AFE7-0D1DAB6FB9FB}"/>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F6D207C0-2559-4727-8B40-F4169B806584}"/>
    <cellStyle name="Normal 5 2 4 3 3 2 2 3" xfId="24676" xr:uid="{B4F049F7-D32A-4910-A89C-503F43B074BC}"/>
    <cellStyle name="Normal 5 2 4 3 3 2 3" xfId="12011" xr:uid="{56244CD0-2D55-483B-9313-E69443C0A9C7}"/>
    <cellStyle name="Normal 5 2 4 3 3 2 4" xfId="20459" xr:uid="{8C2B2161-89F2-46FE-A5A1-1868D7844829}"/>
    <cellStyle name="Normal 5 2 4 3 3 3" xfId="5634" xr:uid="{00000000-0005-0000-0000-000003190000}"/>
    <cellStyle name="Normal 5 2 4 3 3 3 2" xfId="14084" xr:uid="{9FD98664-0A85-4D70-8BA1-426973C33CE1}"/>
    <cellStyle name="Normal 5 2 4 3 3 3 3" xfId="22531" xr:uid="{2A542416-EAAE-44B2-AE81-DDD17CF69521}"/>
    <cellStyle name="Normal 5 2 4 3 3 4" xfId="9866" xr:uid="{3263C184-883A-4BF1-A1DC-F46D17B96D0D}"/>
    <cellStyle name="Normal 5 2 4 3 3 5" xfId="18314" xr:uid="{8C7AAF9E-F741-4AFB-93AC-67AD7BC6E2B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DDEC7F7C-59F8-4409-8E7B-2E735E838973}"/>
    <cellStyle name="Normal 5 2 4 3 4 2 2 3" xfId="25089" xr:uid="{84C19833-BDB2-41AF-9424-C5404A60BFD4}"/>
    <cellStyle name="Normal 5 2 4 3 4 2 3" xfId="12424" xr:uid="{BFBD5CA4-1C58-45D5-BB2A-681A3D7275A1}"/>
    <cellStyle name="Normal 5 2 4 3 4 2 4" xfId="20872" xr:uid="{A716893B-44A3-4F5D-AAA8-C0687AF29350}"/>
    <cellStyle name="Normal 5 2 4 3 4 3" xfId="6047" xr:uid="{00000000-0005-0000-0000-000007190000}"/>
    <cellStyle name="Normal 5 2 4 3 4 3 2" xfId="14497" xr:uid="{FC4379F9-5432-4926-BFD3-2C4FA2C6F75A}"/>
    <cellStyle name="Normal 5 2 4 3 4 3 3" xfId="22944" xr:uid="{E3F07ECB-706C-4A4F-A922-837BBF9C691B}"/>
    <cellStyle name="Normal 5 2 4 3 4 4" xfId="10279" xr:uid="{7CE0E219-6EA1-4A40-9FB1-640CB54F73B9}"/>
    <cellStyle name="Normal 5 2 4 3 4 5" xfId="18727" xr:uid="{05F6CEDF-83E0-4D97-86CD-748A6D8A637B}"/>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D90C6A04-541A-4FE3-B748-3F67C290CCE4}"/>
    <cellStyle name="Normal 5 2 4 3 5 2 2 3" xfId="25502" xr:uid="{2844105E-606E-4F0B-A474-C25EB8E6B0F4}"/>
    <cellStyle name="Normal 5 2 4 3 5 2 3" xfId="12837" xr:uid="{4B87DFB4-1D2D-4A89-BB20-A64C9AEEC669}"/>
    <cellStyle name="Normal 5 2 4 3 5 2 4" xfId="21285" xr:uid="{BC9CD3D8-C74B-4890-AE74-1F65769D61CD}"/>
    <cellStyle name="Normal 5 2 4 3 5 3" xfId="6460" xr:uid="{00000000-0005-0000-0000-00000B190000}"/>
    <cellStyle name="Normal 5 2 4 3 5 3 2" xfId="14910" xr:uid="{86FF7140-6FBF-4A0E-BCB3-0F95223066F5}"/>
    <cellStyle name="Normal 5 2 4 3 5 3 3" xfId="23357" xr:uid="{A7FC6A4F-AE0D-4DC4-8184-CAB78B7D0EC0}"/>
    <cellStyle name="Normal 5 2 4 3 5 4" xfId="10692" xr:uid="{DF9AC987-A6F2-4560-B8F0-91EE85D6422E}"/>
    <cellStyle name="Normal 5 2 4 3 5 5" xfId="19140" xr:uid="{BBBC65E6-09F1-4611-8A85-B4EEE4791FEE}"/>
    <cellStyle name="Normal 5 2 4 3 6" xfId="2590" xr:uid="{00000000-0005-0000-0000-00000C190000}"/>
    <cellStyle name="Normal 5 2 4 3 6 2" xfId="6873" xr:uid="{00000000-0005-0000-0000-00000D190000}"/>
    <cellStyle name="Normal 5 2 4 3 6 2 2" xfId="15323" xr:uid="{F13A906E-9784-4262-9A6C-BA754E2EA3CE}"/>
    <cellStyle name="Normal 5 2 4 3 6 2 3" xfId="23770" xr:uid="{A412D906-32CF-4D22-9F5F-8AA3476FEEB6}"/>
    <cellStyle name="Normal 5 2 4 3 6 3" xfId="11105" xr:uid="{DBD3CEF5-8F7A-413F-9E29-C39040FB823B}"/>
    <cellStyle name="Normal 5 2 4 3 6 4" xfId="19553" xr:uid="{DD32F22E-AF73-43E1-AE1C-DF5F1D2A283A}"/>
    <cellStyle name="Normal 5 2 4 3 7" xfId="4808" xr:uid="{00000000-0005-0000-0000-00000E190000}"/>
    <cellStyle name="Normal 5 2 4 3 7 2" xfId="13258" xr:uid="{C48D29BD-7F17-4F45-ADD4-D00E0849B56F}"/>
    <cellStyle name="Normal 5 2 4 3 7 3" xfId="21705" xr:uid="{C7BDA39B-FFA6-4066-B9E1-DC86154A81F9}"/>
    <cellStyle name="Normal 5 2 4 3 8" xfId="9040" xr:uid="{FA811467-4F63-45F5-AF14-758FA33963EB}"/>
    <cellStyle name="Normal 5 2 4 3 9" xfId="17488" xr:uid="{5E34945F-E0D6-49BF-9C54-6570637C1107}"/>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6B8BD53F-33AE-4ACE-9E61-5F642FC776E8}"/>
    <cellStyle name="Normal 5 2 4 4 2 2 3" xfId="24260" xr:uid="{6598D1B7-F458-4CA1-8D64-F11CD4561DF8}"/>
    <cellStyle name="Normal 5 2 4 4 2 3" xfId="11595" xr:uid="{4E4C9944-1EA1-4AF6-A31A-D675F92CE3C5}"/>
    <cellStyle name="Normal 5 2 4 4 2 4" xfId="20043" xr:uid="{117D9868-8794-464B-82E8-C90E02C43559}"/>
    <cellStyle name="Normal 5 2 4 4 3" xfId="5218" xr:uid="{00000000-0005-0000-0000-000012190000}"/>
    <cellStyle name="Normal 5 2 4 4 3 2" xfId="13668" xr:uid="{54144B09-62D4-41F4-A1E5-6F40E4924C23}"/>
    <cellStyle name="Normal 5 2 4 4 3 3" xfId="22115" xr:uid="{415E8017-C4E6-4D92-B0A7-FC80CBDBEF55}"/>
    <cellStyle name="Normal 5 2 4 4 4" xfId="9450" xr:uid="{1E4F17D7-D85C-4755-834F-AFACD189B240}"/>
    <cellStyle name="Normal 5 2 4 4 5" xfId="17898" xr:uid="{C94861F4-E37E-45D8-B467-B1D9CDA57B0F}"/>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7A3F4156-5B1E-4116-B319-2A62254E529A}"/>
    <cellStyle name="Normal 5 2 4 5 2 2 3" xfId="24673" xr:uid="{B850BF5D-03BE-4967-82FB-94E84D3527E9}"/>
    <cellStyle name="Normal 5 2 4 5 2 3" xfId="12008" xr:uid="{D222F4E7-C512-4A7D-9031-191E82408DF6}"/>
    <cellStyle name="Normal 5 2 4 5 2 4" xfId="20456" xr:uid="{487E505E-0E8E-4FB8-A385-DDB5F5CAE5BA}"/>
    <cellStyle name="Normal 5 2 4 5 3" xfId="5631" xr:uid="{00000000-0005-0000-0000-000016190000}"/>
    <cellStyle name="Normal 5 2 4 5 3 2" xfId="14081" xr:uid="{F2B2E6D7-55DB-446E-91F6-63FC4135C709}"/>
    <cellStyle name="Normal 5 2 4 5 3 3" xfId="22528" xr:uid="{6364C539-32B8-4C0F-9442-936EAAE50A93}"/>
    <cellStyle name="Normal 5 2 4 5 4" xfId="9863" xr:uid="{D3D6FBD6-3015-42F2-9E53-93295D1A84DB}"/>
    <cellStyle name="Normal 5 2 4 5 5" xfId="18311" xr:uid="{B6579E34-D84C-4F44-816F-FF3C99F3C5ED}"/>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DA44670C-D0D4-49CE-9C57-B93E6D387F68}"/>
    <cellStyle name="Normal 5 2 4 6 2 2 3" xfId="25086" xr:uid="{2F8B0575-86BB-4042-BFC0-85BB12AC8142}"/>
    <cellStyle name="Normal 5 2 4 6 2 3" xfId="12421" xr:uid="{8370A790-9B1B-434B-AFED-CFC03BA6892E}"/>
    <cellStyle name="Normal 5 2 4 6 2 4" xfId="20869" xr:uid="{21322F91-1A34-42C3-9D29-2363DB503375}"/>
    <cellStyle name="Normal 5 2 4 6 3" xfId="6044" xr:uid="{00000000-0005-0000-0000-00001A190000}"/>
    <cellStyle name="Normal 5 2 4 6 3 2" xfId="14494" xr:uid="{67AD570B-F745-4E89-A89B-FCDFACC1DCAB}"/>
    <cellStyle name="Normal 5 2 4 6 3 3" xfId="22941" xr:uid="{C3C9ABA4-C6A2-4CEB-8426-64EF462376D6}"/>
    <cellStyle name="Normal 5 2 4 6 4" xfId="10276" xr:uid="{5703CDC2-3039-4E22-9416-0C97A402133B}"/>
    <cellStyle name="Normal 5 2 4 6 5" xfId="18724" xr:uid="{789DCBC6-5517-488B-A515-6AD400D671B0}"/>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C51E78F9-823E-4D3B-B083-FB39AD74AE2A}"/>
    <cellStyle name="Normal 5 2 4 7 2 2 3" xfId="25499" xr:uid="{A83454C3-DFFF-47D6-8017-276065E68E3C}"/>
    <cellStyle name="Normal 5 2 4 7 2 3" xfId="12834" xr:uid="{99AFB2B4-7DE8-4B37-8C3E-BD6D44262389}"/>
    <cellStyle name="Normal 5 2 4 7 2 4" xfId="21282" xr:uid="{FA1FB110-CF63-4007-9FF1-88B999AC584C}"/>
    <cellStyle name="Normal 5 2 4 7 3" xfId="6457" xr:uid="{00000000-0005-0000-0000-00001E190000}"/>
    <cellStyle name="Normal 5 2 4 7 3 2" xfId="14907" xr:uid="{7472A952-3B0E-4DAE-B336-EF39E2A42758}"/>
    <cellStyle name="Normal 5 2 4 7 3 3" xfId="23354" xr:uid="{C036767D-AE7F-4D23-907D-D139C1A8FBF8}"/>
    <cellStyle name="Normal 5 2 4 7 4" xfId="10689" xr:uid="{0D8025A5-573F-496A-B92E-8964D0C4740D}"/>
    <cellStyle name="Normal 5 2 4 7 5" xfId="19137" xr:uid="{60E3F23F-A423-4C68-949B-35D52CA5757E}"/>
    <cellStyle name="Normal 5 2 4 8" xfId="2587" xr:uid="{00000000-0005-0000-0000-00001F190000}"/>
    <cellStyle name="Normal 5 2 4 8 2" xfId="6870" xr:uid="{00000000-0005-0000-0000-000020190000}"/>
    <cellStyle name="Normal 5 2 4 8 2 2" xfId="15320" xr:uid="{AEF7FC9F-8FA3-4E9D-9A1F-13CC5C511CEE}"/>
    <cellStyle name="Normal 5 2 4 8 2 3" xfId="23767" xr:uid="{D6F2C0E2-71D2-476F-9632-8DB741AAF1D7}"/>
    <cellStyle name="Normal 5 2 4 8 3" xfId="11102" xr:uid="{1E56F43B-5D69-4F76-B26D-B9883CC34FB0}"/>
    <cellStyle name="Normal 5 2 4 8 4" xfId="19550" xr:uid="{8F4B2131-F05F-467D-AFBD-7E14D920109D}"/>
    <cellStyle name="Normal 5 2 4 9" xfId="4805" xr:uid="{00000000-0005-0000-0000-000021190000}"/>
    <cellStyle name="Normal 5 2 4 9 2" xfId="13255" xr:uid="{A4262EF7-85A3-47B9-81FC-BE5625C51ED3}"/>
    <cellStyle name="Normal 5 2 4 9 3" xfId="21702" xr:uid="{E3D12B80-7E05-4CE0-AE9D-9D650D7269DA}"/>
    <cellStyle name="Normal 5 2 5" xfId="436" xr:uid="{00000000-0005-0000-0000-000022190000}"/>
    <cellStyle name="Normal 5 2 5 10" xfId="17489" xr:uid="{EAC91A70-5A84-4378-A63C-98EB9530FE8E}"/>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0F0AA517-DBB8-4AB6-BC2F-B405C246BC7C}"/>
    <cellStyle name="Normal 5 2 5 2 2 2 2 3" xfId="24265" xr:uid="{0743AFE0-6F6B-4B07-BCD9-512A3A8B9D3A}"/>
    <cellStyle name="Normal 5 2 5 2 2 2 3" xfId="11600" xr:uid="{A4B2E48F-DAAF-4ECF-8009-DC18975D5C24}"/>
    <cellStyle name="Normal 5 2 5 2 2 2 4" xfId="20048" xr:uid="{39163BD1-DD5E-421B-B271-06C0C0E8C432}"/>
    <cellStyle name="Normal 5 2 5 2 2 3" xfId="5223" xr:uid="{00000000-0005-0000-0000-000027190000}"/>
    <cellStyle name="Normal 5 2 5 2 2 3 2" xfId="13673" xr:uid="{98B36608-0310-43AC-97AB-B1C66533A439}"/>
    <cellStyle name="Normal 5 2 5 2 2 3 3" xfId="22120" xr:uid="{544A0EF5-E2B8-48F4-AD94-11195D0D1243}"/>
    <cellStyle name="Normal 5 2 5 2 2 4" xfId="9455" xr:uid="{7B955A2B-5A21-4D1E-A52E-98F82FE781EE}"/>
    <cellStyle name="Normal 5 2 5 2 2 5" xfId="17903" xr:uid="{080F3A57-AC22-4BE0-BE21-F530C8FDA526}"/>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B31406F6-D1D1-4C34-8BC9-1ED221AD6C10}"/>
    <cellStyle name="Normal 5 2 5 2 3 2 2 3" xfId="24678" xr:uid="{A6E1840C-B08D-450A-A82C-234F1B0BD076}"/>
    <cellStyle name="Normal 5 2 5 2 3 2 3" xfId="12013" xr:uid="{7BCE09DE-51A6-4A3E-B0D5-4AB60DC79163}"/>
    <cellStyle name="Normal 5 2 5 2 3 2 4" xfId="20461" xr:uid="{DD64514F-7544-43AB-9AB7-08C2E505B174}"/>
    <cellStyle name="Normal 5 2 5 2 3 3" xfId="5636" xr:uid="{00000000-0005-0000-0000-00002B190000}"/>
    <cellStyle name="Normal 5 2 5 2 3 3 2" xfId="14086" xr:uid="{C2C1DD51-FB30-44CE-8910-1992BD206420}"/>
    <cellStyle name="Normal 5 2 5 2 3 3 3" xfId="22533" xr:uid="{B4694B7C-9D9A-4EDD-B3D6-0A4E0391AC3C}"/>
    <cellStyle name="Normal 5 2 5 2 3 4" xfId="9868" xr:uid="{F62923E8-32C3-4A66-93BB-8135B318003A}"/>
    <cellStyle name="Normal 5 2 5 2 3 5" xfId="18316" xr:uid="{2ADD699B-3B79-4786-90A9-9365AEBBC8A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9EBC57FD-A68F-4A61-AD45-4DF18471C97E}"/>
    <cellStyle name="Normal 5 2 5 2 4 2 2 3" xfId="25091" xr:uid="{4CCF5E31-A88B-4920-B511-6E32DAE94A06}"/>
    <cellStyle name="Normal 5 2 5 2 4 2 3" xfId="12426" xr:uid="{0CEBD626-2136-4001-860C-B7BDE6D85CF5}"/>
    <cellStyle name="Normal 5 2 5 2 4 2 4" xfId="20874" xr:uid="{EFA28159-767F-4053-955A-B6D79800746A}"/>
    <cellStyle name="Normal 5 2 5 2 4 3" xfId="6049" xr:uid="{00000000-0005-0000-0000-00002F190000}"/>
    <cellStyle name="Normal 5 2 5 2 4 3 2" xfId="14499" xr:uid="{BBD6AFEA-2AD9-453C-BCE5-7BCBC0BA924B}"/>
    <cellStyle name="Normal 5 2 5 2 4 3 3" xfId="22946" xr:uid="{2926DD42-89C4-4DE9-82C7-B26BDE01914D}"/>
    <cellStyle name="Normal 5 2 5 2 4 4" xfId="10281" xr:uid="{5719FB1B-7A8B-49C1-B00D-A0E91B6630DE}"/>
    <cellStyle name="Normal 5 2 5 2 4 5" xfId="18729" xr:uid="{6C43C6EB-40F6-43E0-833C-3E059862EF1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B6BB89FC-96E2-475D-90E0-34EB0BDB7184}"/>
    <cellStyle name="Normal 5 2 5 2 5 2 2 3" xfId="25504" xr:uid="{EC6AA446-8B61-4DB7-94D1-678109CA154C}"/>
    <cellStyle name="Normal 5 2 5 2 5 2 3" xfId="12839" xr:uid="{5D60C96B-12F8-4680-AB9C-A2321521CE78}"/>
    <cellStyle name="Normal 5 2 5 2 5 2 4" xfId="21287" xr:uid="{7807DE75-2764-4838-94E2-B3C599BAE5FD}"/>
    <cellStyle name="Normal 5 2 5 2 5 3" xfId="6462" xr:uid="{00000000-0005-0000-0000-000033190000}"/>
    <cellStyle name="Normal 5 2 5 2 5 3 2" xfId="14912" xr:uid="{51CF3912-2108-453C-8748-2F341EB3726D}"/>
    <cellStyle name="Normal 5 2 5 2 5 3 3" xfId="23359" xr:uid="{53F73800-BB64-46A6-B4C4-CA309CB5C4AF}"/>
    <cellStyle name="Normal 5 2 5 2 5 4" xfId="10694" xr:uid="{931EFD38-953E-4A3F-BDB3-F0C6A65A2DAB}"/>
    <cellStyle name="Normal 5 2 5 2 5 5" xfId="19142" xr:uid="{0583CBAB-45C3-473C-AD34-73000ADE9BCF}"/>
    <cellStyle name="Normal 5 2 5 2 6" xfId="2592" xr:uid="{00000000-0005-0000-0000-000034190000}"/>
    <cellStyle name="Normal 5 2 5 2 6 2" xfId="6875" xr:uid="{00000000-0005-0000-0000-000035190000}"/>
    <cellStyle name="Normal 5 2 5 2 6 2 2" xfId="15325" xr:uid="{A0C5926B-5261-4900-AD29-47B965DAF26C}"/>
    <cellStyle name="Normal 5 2 5 2 6 2 3" xfId="23772" xr:uid="{DF9B9A39-6EE9-4ED6-AD37-014237906F6C}"/>
    <cellStyle name="Normal 5 2 5 2 6 3" xfId="11107" xr:uid="{420C9692-8152-433A-87A4-B655436CBF48}"/>
    <cellStyle name="Normal 5 2 5 2 6 4" xfId="19555" xr:uid="{C7E1BB34-9FCF-4B03-95A9-F03BAE253393}"/>
    <cellStyle name="Normal 5 2 5 2 7" xfId="4810" xr:uid="{00000000-0005-0000-0000-000036190000}"/>
    <cellStyle name="Normal 5 2 5 2 7 2" xfId="13260" xr:uid="{A20A78A5-0661-4A45-8E68-2335BDD78BDA}"/>
    <cellStyle name="Normal 5 2 5 2 7 3" xfId="21707" xr:uid="{3C4559A2-DB1E-4DC0-B1FD-3A1F6C5BAA54}"/>
    <cellStyle name="Normal 5 2 5 2 8" xfId="9042" xr:uid="{B66656E0-4D12-4847-8895-20A7BD249BBB}"/>
    <cellStyle name="Normal 5 2 5 2 9" xfId="17490" xr:uid="{670FBD5A-D9C1-4E8D-AC75-966FA0A3EAC0}"/>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47F4E8FD-AE3D-43E3-A885-81B94B1F00F6}"/>
    <cellStyle name="Normal 5 2 5 3 2 2 3" xfId="24264" xr:uid="{85CBCA2D-C088-4180-9761-4002BE7DF3A9}"/>
    <cellStyle name="Normal 5 2 5 3 2 3" xfId="11599" xr:uid="{21C0FED0-38FD-47FE-AAB8-A44BB5A8D237}"/>
    <cellStyle name="Normal 5 2 5 3 2 4" xfId="20047" xr:uid="{FB947A59-1A3A-45AB-B6E1-E6003286A500}"/>
    <cellStyle name="Normal 5 2 5 3 3" xfId="5222" xr:uid="{00000000-0005-0000-0000-00003A190000}"/>
    <cellStyle name="Normal 5 2 5 3 3 2" xfId="13672" xr:uid="{0582A6BC-0662-4027-92F6-2D640B14E483}"/>
    <cellStyle name="Normal 5 2 5 3 3 3" xfId="22119" xr:uid="{784E2F32-FB69-40E3-A14E-AE9F3D570DA3}"/>
    <cellStyle name="Normal 5 2 5 3 4" xfId="9454" xr:uid="{59E95C2C-092E-480C-866E-95D2AAD6711A}"/>
    <cellStyle name="Normal 5 2 5 3 5" xfId="17902" xr:uid="{15FA87EB-DABD-4EC2-ACB8-9FE6B0DC20E7}"/>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15D132CA-46E1-4EB1-A226-FBC2BCFC740D}"/>
    <cellStyle name="Normal 5 2 5 4 2 2 3" xfId="24677" xr:uid="{7FBB0991-0B80-45F9-A986-970ECA3514CE}"/>
    <cellStyle name="Normal 5 2 5 4 2 3" xfId="12012" xr:uid="{699C2F55-6F6D-4D79-A2EC-B02F5E3EFA42}"/>
    <cellStyle name="Normal 5 2 5 4 2 4" xfId="20460" xr:uid="{CFD3FEFC-03C3-4AB8-9927-778CD635E5A0}"/>
    <cellStyle name="Normal 5 2 5 4 3" xfId="5635" xr:uid="{00000000-0005-0000-0000-00003E190000}"/>
    <cellStyle name="Normal 5 2 5 4 3 2" xfId="14085" xr:uid="{4AE5A8C5-ED1C-4877-9331-692783A3053E}"/>
    <cellStyle name="Normal 5 2 5 4 3 3" xfId="22532" xr:uid="{3410F23C-62E3-4759-9671-C35B6F7868FD}"/>
    <cellStyle name="Normal 5 2 5 4 4" xfId="9867" xr:uid="{B5FA509D-12E7-4581-BC56-E70396A369AF}"/>
    <cellStyle name="Normal 5 2 5 4 5" xfId="18315" xr:uid="{FDA02571-A91E-4400-BEE7-2828E9063882}"/>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5E5E80A1-2B13-4A69-A743-ED457F545333}"/>
    <cellStyle name="Normal 5 2 5 5 2 2 3" xfId="25090" xr:uid="{56362175-3417-4BE6-8F4B-6E45C8DB78C9}"/>
    <cellStyle name="Normal 5 2 5 5 2 3" xfId="12425" xr:uid="{96CCFE2B-5404-4FF9-9493-A9A52724597E}"/>
    <cellStyle name="Normal 5 2 5 5 2 4" xfId="20873" xr:uid="{11C9F068-867C-4D66-AFEA-153D65C23A9F}"/>
    <cellStyle name="Normal 5 2 5 5 3" xfId="6048" xr:uid="{00000000-0005-0000-0000-000042190000}"/>
    <cellStyle name="Normal 5 2 5 5 3 2" xfId="14498" xr:uid="{FB5603C7-CBAF-44BF-B63E-D5C3765EC299}"/>
    <cellStyle name="Normal 5 2 5 5 3 3" xfId="22945" xr:uid="{DEBA02BE-8E95-4607-8038-0F97484BA7F6}"/>
    <cellStyle name="Normal 5 2 5 5 4" xfId="10280" xr:uid="{852254D9-CBCC-4485-B382-746663FC1B9A}"/>
    <cellStyle name="Normal 5 2 5 5 5" xfId="18728" xr:uid="{F1DD6841-0E49-4960-8AAC-4536B3C73500}"/>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E8C4D58B-92AF-4B0A-8871-09E91DE8C8B3}"/>
    <cellStyle name="Normal 5 2 5 6 2 2 3" xfId="25503" xr:uid="{9AB24D08-28C8-40F7-B9DB-2CF9C20DA44D}"/>
    <cellStyle name="Normal 5 2 5 6 2 3" xfId="12838" xr:uid="{A9F801B8-46A3-4C2F-A65D-9FC45B4ABF10}"/>
    <cellStyle name="Normal 5 2 5 6 2 4" xfId="21286" xr:uid="{A0397B8B-65B6-41C4-9B3D-1978738E17E9}"/>
    <cellStyle name="Normal 5 2 5 6 3" xfId="6461" xr:uid="{00000000-0005-0000-0000-000046190000}"/>
    <cellStyle name="Normal 5 2 5 6 3 2" xfId="14911" xr:uid="{7CB8EE55-6E1A-4A67-A91F-EE3C2E85D3C1}"/>
    <cellStyle name="Normal 5 2 5 6 3 3" xfId="23358" xr:uid="{C069EB0A-6835-44D3-8B32-63ACD24980F8}"/>
    <cellStyle name="Normal 5 2 5 6 4" xfId="10693" xr:uid="{F0592895-C142-44D2-BA46-6252E6F508D6}"/>
    <cellStyle name="Normal 5 2 5 6 5" xfId="19141" xr:uid="{463DD493-6323-4409-823C-CC95D7DDE275}"/>
    <cellStyle name="Normal 5 2 5 7" xfId="2591" xr:uid="{00000000-0005-0000-0000-000047190000}"/>
    <cellStyle name="Normal 5 2 5 7 2" xfId="6874" xr:uid="{00000000-0005-0000-0000-000048190000}"/>
    <cellStyle name="Normal 5 2 5 7 2 2" xfId="15324" xr:uid="{DA6197CC-4687-4A44-9152-264FF5306FDA}"/>
    <cellStyle name="Normal 5 2 5 7 2 3" xfId="23771" xr:uid="{84259F77-3C38-4A33-B107-F25DDEA8A487}"/>
    <cellStyle name="Normal 5 2 5 7 3" xfId="11106" xr:uid="{1FF0A559-09BC-403C-B7C0-B2B4B233CEA8}"/>
    <cellStyle name="Normal 5 2 5 7 4" xfId="19554" xr:uid="{2C0B56AD-BD76-4331-984A-1D96657FDC93}"/>
    <cellStyle name="Normal 5 2 5 8" xfId="4809" xr:uid="{00000000-0005-0000-0000-000049190000}"/>
    <cellStyle name="Normal 5 2 5 8 2" xfId="13259" xr:uid="{EF57F9E3-BCFF-4CB7-BFB2-C485E0F0BD4B}"/>
    <cellStyle name="Normal 5 2 5 8 3" xfId="21706" xr:uid="{E973E65F-1475-4CB0-A9E6-EA7FA39F542D}"/>
    <cellStyle name="Normal 5 2 5 9" xfId="9041" xr:uid="{1800FF82-775C-4B38-A494-0386B4AE710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3E84AAFA-1B20-484B-A91C-EF7B1BB723AE}"/>
    <cellStyle name="Normal 5 2 6 2 2 2 3" xfId="24266" xr:uid="{C86A57DF-F0A1-49CA-9D71-A4F1FBC9C9FE}"/>
    <cellStyle name="Normal 5 2 6 2 2 3" xfId="11601" xr:uid="{9563BFE9-4622-4CAD-B37B-64367F56F764}"/>
    <cellStyle name="Normal 5 2 6 2 2 4" xfId="20049" xr:uid="{78892190-C90E-45B4-9E4B-F0358587D460}"/>
    <cellStyle name="Normal 5 2 6 2 3" xfId="5224" xr:uid="{00000000-0005-0000-0000-00004E190000}"/>
    <cellStyle name="Normal 5 2 6 2 3 2" xfId="13674" xr:uid="{D4A062DD-FD63-4A77-B66C-3554DB3D17E5}"/>
    <cellStyle name="Normal 5 2 6 2 3 3" xfId="22121" xr:uid="{57EC8228-1CE5-4E47-9304-6D3899BD8254}"/>
    <cellStyle name="Normal 5 2 6 2 4" xfId="9456" xr:uid="{6B2D474C-DAE6-4E02-81F6-CE05C21DA934}"/>
    <cellStyle name="Normal 5 2 6 2 5" xfId="17904" xr:uid="{279B7325-D949-437B-BEDB-16BA80140F98}"/>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2ABF6A33-6A35-4F2E-89BA-48EC63A0FDD6}"/>
    <cellStyle name="Normal 5 2 6 3 2 2 3" xfId="24679" xr:uid="{B52E0E7F-6068-415D-8EA8-D0A1058786BC}"/>
    <cellStyle name="Normal 5 2 6 3 2 3" xfId="12014" xr:uid="{1C133480-7999-4527-BA86-B5D42A43C2E9}"/>
    <cellStyle name="Normal 5 2 6 3 2 4" xfId="20462" xr:uid="{17D78D99-B4F4-4AFA-9E7A-0DD629E2FEF6}"/>
    <cellStyle name="Normal 5 2 6 3 3" xfId="5637" xr:uid="{00000000-0005-0000-0000-000052190000}"/>
    <cellStyle name="Normal 5 2 6 3 3 2" xfId="14087" xr:uid="{9204FAF3-B7BF-408A-870B-95E958064417}"/>
    <cellStyle name="Normal 5 2 6 3 3 3" xfId="22534" xr:uid="{F6D97263-3ECF-458D-808D-BB2A8B5186E5}"/>
    <cellStyle name="Normal 5 2 6 3 4" xfId="9869" xr:uid="{4E8F6BC8-BE15-4F91-A03B-57B09A9A9DEA}"/>
    <cellStyle name="Normal 5 2 6 3 5" xfId="18317" xr:uid="{F6665D2F-35D3-421C-AEFB-C7B4156C9F81}"/>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455A31D6-1F57-48DA-A9C4-E9655BABB88C}"/>
    <cellStyle name="Normal 5 2 6 4 2 2 3" xfId="25092" xr:uid="{6D1078AB-96EF-4F34-9052-438FA4EED009}"/>
    <cellStyle name="Normal 5 2 6 4 2 3" xfId="12427" xr:uid="{BBDD3761-BC19-4250-8ADF-A9F46D6718F7}"/>
    <cellStyle name="Normal 5 2 6 4 2 4" xfId="20875" xr:uid="{BA3B0523-7B94-4074-BB75-DD9EC99FEE75}"/>
    <cellStyle name="Normal 5 2 6 4 3" xfId="6050" xr:uid="{00000000-0005-0000-0000-000056190000}"/>
    <cellStyle name="Normal 5 2 6 4 3 2" xfId="14500" xr:uid="{81C1042C-0E31-40A5-9458-C76ADE61CA8E}"/>
    <cellStyle name="Normal 5 2 6 4 3 3" xfId="22947" xr:uid="{0E642503-872B-4A90-9273-A599A3356011}"/>
    <cellStyle name="Normal 5 2 6 4 4" xfId="10282" xr:uid="{10F77FDF-2B5C-40DE-AA99-B89B292FE7CE}"/>
    <cellStyle name="Normal 5 2 6 4 5" xfId="18730" xr:uid="{D99FB424-D605-49E0-ABBE-F5C0D98B0639}"/>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F1FA148D-68FD-4655-B736-D2CE908E3FB1}"/>
    <cellStyle name="Normal 5 2 6 5 2 2 3" xfId="25505" xr:uid="{42B2D5BE-F493-4FAA-8D96-76FC6FA4F5D7}"/>
    <cellStyle name="Normal 5 2 6 5 2 3" xfId="12840" xr:uid="{5CB384BE-8B7E-489F-8CEE-2C81CA587CFC}"/>
    <cellStyle name="Normal 5 2 6 5 2 4" xfId="21288" xr:uid="{BDDB9140-C63F-41C8-8416-E2F49B5556E1}"/>
    <cellStyle name="Normal 5 2 6 5 3" xfId="6463" xr:uid="{00000000-0005-0000-0000-00005A190000}"/>
    <cellStyle name="Normal 5 2 6 5 3 2" xfId="14913" xr:uid="{E4DE27C0-70E0-4A2C-9153-39EEABC31412}"/>
    <cellStyle name="Normal 5 2 6 5 3 3" xfId="23360" xr:uid="{837DE46E-713C-41F9-98EC-FC391AA571CC}"/>
    <cellStyle name="Normal 5 2 6 5 4" xfId="10695" xr:uid="{F7409730-2123-41BC-B498-70598BBDC679}"/>
    <cellStyle name="Normal 5 2 6 5 5" xfId="19143" xr:uid="{ACC089A6-267C-4D89-8829-4B3C1682CE67}"/>
    <cellStyle name="Normal 5 2 6 6" xfId="2593" xr:uid="{00000000-0005-0000-0000-00005B190000}"/>
    <cellStyle name="Normal 5 2 6 6 2" xfId="6876" xr:uid="{00000000-0005-0000-0000-00005C190000}"/>
    <cellStyle name="Normal 5 2 6 6 2 2" xfId="15326" xr:uid="{1E4A48CE-DEBC-4031-8E50-C05830733BD1}"/>
    <cellStyle name="Normal 5 2 6 6 2 3" xfId="23773" xr:uid="{331C6F88-13EE-460C-837D-97352C15CFCF}"/>
    <cellStyle name="Normal 5 2 6 6 3" xfId="11108" xr:uid="{0AB24C09-135C-4F3E-831E-61707AE9605B}"/>
    <cellStyle name="Normal 5 2 6 6 4" xfId="19556" xr:uid="{8AE42B40-115A-49B8-9557-5E2D1C9A5CC8}"/>
    <cellStyle name="Normal 5 2 6 7" xfId="4811" xr:uid="{00000000-0005-0000-0000-00005D190000}"/>
    <cellStyle name="Normal 5 2 6 7 2" xfId="13261" xr:uid="{79E9C8F6-7AD5-4B20-A053-AF76C7D85948}"/>
    <cellStyle name="Normal 5 2 6 7 3" xfId="21708" xr:uid="{22993B52-CDF9-4922-9EB7-80D3C308ACAC}"/>
    <cellStyle name="Normal 5 2 6 8" xfId="9043" xr:uid="{C2CC8FAA-0AC4-4E37-83E2-2DDB102A8C3E}"/>
    <cellStyle name="Normal 5 2 6 9" xfId="17491" xr:uid="{160DD23D-46C2-4A56-8BA2-BAB7081B33E5}"/>
    <cellStyle name="Normal 5 2 7" xfId="881" xr:uid="{00000000-0005-0000-0000-00005E190000}"/>
    <cellStyle name="Normal 5 2 7 2" xfId="3116" xr:uid="{00000000-0005-0000-0000-00005F190000}"/>
    <cellStyle name="Normal 5 2 7 2 2" xfId="7338" xr:uid="{00000000-0005-0000-0000-000060190000}"/>
    <cellStyle name="Normal 5 2 7 2 2 2" xfId="15788" xr:uid="{1460A2CE-13B9-4236-9B30-C34B3EBD92E2}"/>
    <cellStyle name="Normal 5 2 7 2 2 3" xfId="24235" xr:uid="{B6E477BA-283F-492A-B145-626134ECF66F}"/>
    <cellStyle name="Normal 5 2 7 2 3" xfId="11570" xr:uid="{2A855377-8FF1-4A7E-B11E-FE6D0AAC9B1E}"/>
    <cellStyle name="Normal 5 2 7 2 4" xfId="20018" xr:uid="{3357186B-F36C-414A-8CAE-7A367A821AC0}"/>
    <cellStyle name="Normal 5 2 7 3" xfId="5193" xr:uid="{00000000-0005-0000-0000-000061190000}"/>
    <cellStyle name="Normal 5 2 7 3 2" xfId="13643" xr:uid="{03B0CED5-87AA-401A-9DD9-6925E01471AA}"/>
    <cellStyle name="Normal 5 2 7 3 3" xfId="22090" xr:uid="{BD2BD140-68C7-4ED2-8B68-5D290A64B4D3}"/>
    <cellStyle name="Normal 5 2 7 4" xfId="9425" xr:uid="{DF4BC5E2-58ED-45E2-95B3-F5803F5181D8}"/>
    <cellStyle name="Normal 5 2 7 5" xfId="17873" xr:uid="{717E92AA-710D-4CC8-9D43-E28F3F6846B1}"/>
    <cellStyle name="Normal 5 2 8" xfId="1299" xr:uid="{00000000-0005-0000-0000-000062190000}"/>
    <cellStyle name="Normal 5 2 8 2" xfId="3529" xr:uid="{00000000-0005-0000-0000-000063190000}"/>
    <cellStyle name="Normal 5 2 8 2 2" xfId="7751" xr:uid="{00000000-0005-0000-0000-000064190000}"/>
    <cellStyle name="Normal 5 2 8 2 2 2" xfId="16201" xr:uid="{E659D2B0-4DB7-489F-B469-19AA896FB2B6}"/>
    <cellStyle name="Normal 5 2 8 2 2 3" xfId="24648" xr:uid="{718B9BE8-4B37-4A68-98D4-F79A458B255E}"/>
    <cellStyle name="Normal 5 2 8 2 3" xfId="11983" xr:uid="{27D12467-E818-40EE-A079-FC8F84ED90EB}"/>
    <cellStyle name="Normal 5 2 8 2 4" xfId="20431" xr:uid="{A11A8C9F-7DA7-4E9A-B976-AD399E6EE473}"/>
    <cellStyle name="Normal 5 2 8 3" xfId="5606" xr:uid="{00000000-0005-0000-0000-000065190000}"/>
    <cellStyle name="Normal 5 2 8 3 2" xfId="14056" xr:uid="{8AD122DE-48C1-48F7-B6D9-A29D3134808F}"/>
    <cellStyle name="Normal 5 2 8 3 3" xfId="22503" xr:uid="{5918776C-5457-4A40-AC50-3E1E38D0E07F}"/>
    <cellStyle name="Normal 5 2 8 4" xfId="9838" xr:uid="{B3FAEB8B-46E1-4342-8D6B-32788E16F624}"/>
    <cellStyle name="Normal 5 2 8 5" xfId="18286" xr:uid="{65FDC903-B955-4BD5-BC29-10A847FDBF06}"/>
    <cellStyle name="Normal 5 2 9" xfId="1712" xr:uid="{00000000-0005-0000-0000-000066190000}"/>
    <cellStyle name="Normal 5 2 9 2" xfId="3942" xr:uid="{00000000-0005-0000-0000-000067190000}"/>
    <cellStyle name="Normal 5 2 9 2 2" xfId="8164" xr:uid="{00000000-0005-0000-0000-000068190000}"/>
    <cellStyle name="Normal 5 2 9 2 2 2" xfId="16614" xr:uid="{99D37681-6672-4BD5-90EA-6EB7A545E793}"/>
    <cellStyle name="Normal 5 2 9 2 2 3" xfId="25061" xr:uid="{06A0CB3C-B925-4D8F-A03A-677219E60198}"/>
    <cellStyle name="Normal 5 2 9 2 3" xfId="12396" xr:uid="{B91F58FC-3E03-4A01-BF9A-42CF7468AADA}"/>
    <cellStyle name="Normal 5 2 9 2 4" xfId="20844" xr:uid="{55D5D511-A4FF-409B-A207-A59D47770E9A}"/>
    <cellStyle name="Normal 5 2 9 3" xfId="6019" xr:uid="{00000000-0005-0000-0000-000069190000}"/>
    <cellStyle name="Normal 5 2 9 3 2" xfId="14469" xr:uid="{D8D0B7C1-2A89-46FA-9075-5DA574C8390C}"/>
    <cellStyle name="Normal 5 2 9 3 3" xfId="22916" xr:uid="{168179EA-CD1F-4A66-B9BD-7152BAD8498B}"/>
    <cellStyle name="Normal 5 2 9 4" xfId="10251" xr:uid="{A9102C9D-6982-4734-92FA-92350C9F10C7}"/>
    <cellStyle name="Normal 5 2 9 5" xfId="18699" xr:uid="{43D13DD1-1678-4405-BDCE-AF9A1BFCB84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5756D528-095B-44C4-8D64-50027CF01F8B}"/>
    <cellStyle name="Normal 5 3 10 2 2 3" xfId="25506" xr:uid="{454CB578-2880-4A7E-8192-E7651A5F46A8}"/>
    <cellStyle name="Normal 5 3 10 2 3" xfId="12841" xr:uid="{82FACDAC-155E-4E89-9A52-B8D302AD2B7C}"/>
    <cellStyle name="Normal 5 3 10 2 4" xfId="21289" xr:uid="{37088F42-67CD-4570-9850-43CD3E2D5D63}"/>
    <cellStyle name="Normal 5 3 10 3" xfId="6464" xr:uid="{00000000-0005-0000-0000-00006E190000}"/>
    <cellStyle name="Normal 5 3 10 3 2" xfId="14914" xr:uid="{1CB43F90-4220-4BC0-BF40-2CA8D57BE159}"/>
    <cellStyle name="Normal 5 3 10 3 3" xfId="23361" xr:uid="{7BCDF68E-1B08-4EFB-9C6E-8E6016BC0FB3}"/>
    <cellStyle name="Normal 5 3 10 4" xfId="10696" xr:uid="{8DFACD5A-D523-4FBB-9817-AD977DD15EA5}"/>
    <cellStyle name="Normal 5 3 10 5" xfId="19144" xr:uid="{35BF2799-804B-46A9-8C1D-9E7C5B751541}"/>
    <cellStyle name="Normal 5 3 11" xfId="2594" xr:uid="{00000000-0005-0000-0000-00006F190000}"/>
    <cellStyle name="Normal 5 3 11 2" xfId="6877" xr:uid="{00000000-0005-0000-0000-000070190000}"/>
    <cellStyle name="Normal 5 3 11 2 2" xfId="15327" xr:uid="{3A75922D-14A3-428F-BE83-276606F54FD4}"/>
    <cellStyle name="Normal 5 3 11 2 3" xfId="23774" xr:uid="{091F8C6A-88CB-48F2-89D7-311DF4B89491}"/>
    <cellStyle name="Normal 5 3 11 3" xfId="11109" xr:uid="{4352EA58-6F82-403A-9121-6EE8D0573A65}"/>
    <cellStyle name="Normal 5 3 11 4" xfId="19557" xr:uid="{8FB9C8D0-BE0E-448D-9864-2659F3251BB6}"/>
    <cellStyle name="Normal 5 3 12" xfId="4812" xr:uid="{00000000-0005-0000-0000-000071190000}"/>
    <cellStyle name="Normal 5 3 12 2" xfId="13262" xr:uid="{DE5DB5F6-257A-4CC8-9A43-EAB4CF9CCF76}"/>
    <cellStyle name="Normal 5 3 12 3" xfId="21709" xr:uid="{6EFF87E9-C2F8-42AC-98B1-54AECD64BA5E}"/>
    <cellStyle name="Normal 5 3 13" xfId="9044" xr:uid="{DA1D89A1-4CE8-45A9-8674-20E38DA3535D}"/>
    <cellStyle name="Normal 5 3 14" xfId="17492" xr:uid="{F5E1A194-B80D-4BDA-987E-B73492C4103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A7A85D8F-208A-4129-9E69-14A21096D01D}"/>
    <cellStyle name="Normal 5 3 3 10 3" xfId="21710" xr:uid="{75AE8B88-EBAA-4B7B-9E63-972E94D514D2}"/>
    <cellStyle name="Normal 5 3 3 11" xfId="9045" xr:uid="{0FF471B8-02B1-4F0F-AAFE-FED54CFF7F94}"/>
    <cellStyle name="Normal 5 3 3 12" xfId="17493" xr:uid="{335F6DDC-053F-4F3B-8C47-C275EC658DF3}"/>
    <cellStyle name="Normal 5 3 3 2" xfId="442" xr:uid="{00000000-0005-0000-0000-000076190000}"/>
    <cellStyle name="Normal 5 3 3 2 10" xfId="9046" xr:uid="{5593DD8B-1D7A-4DEB-A388-F5E4A0FB1BDD}"/>
    <cellStyle name="Normal 5 3 3 2 11" xfId="17494" xr:uid="{782D6997-B26B-4D53-ADB8-DAD687E52355}"/>
    <cellStyle name="Normal 5 3 3 2 2" xfId="443" xr:uid="{00000000-0005-0000-0000-000077190000}"/>
    <cellStyle name="Normal 5 3 3 2 2 10" xfId="17495" xr:uid="{B73F25EC-1132-404C-A316-A054E7FD30B6}"/>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9002A96B-5BD5-49D0-9F43-AC0CB9433394}"/>
    <cellStyle name="Normal 5 3 3 2 2 2 2 2 2 3" xfId="24271" xr:uid="{1C39BD8B-5CD5-4F4A-84A4-151FB4071ED3}"/>
    <cellStyle name="Normal 5 3 3 2 2 2 2 2 3" xfId="11606" xr:uid="{C524F155-661D-4543-ABBB-6B03DE33816D}"/>
    <cellStyle name="Normal 5 3 3 2 2 2 2 2 4" xfId="20054" xr:uid="{C0DEDB75-66AC-4BE0-86EF-CCEA30C04560}"/>
    <cellStyle name="Normal 5 3 3 2 2 2 2 3" xfId="5229" xr:uid="{00000000-0005-0000-0000-00007C190000}"/>
    <cellStyle name="Normal 5 3 3 2 2 2 2 3 2" xfId="13679" xr:uid="{34F506BE-255F-490D-9468-A1619617C81F}"/>
    <cellStyle name="Normal 5 3 3 2 2 2 2 3 3" xfId="22126" xr:uid="{6A736B1F-A729-4789-8DFF-DF47BA3CBB66}"/>
    <cellStyle name="Normal 5 3 3 2 2 2 2 4" xfId="9461" xr:uid="{42814C31-084F-406E-BD9A-70D98B84B873}"/>
    <cellStyle name="Normal 5 3 3 2 2 2 2 5" xfId="17909" xr:uid="{6522930E-B06D-4743-94EE-4FBE1AC9F5B2}"/>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FB9272C5-87F2-460E-B23B-A510ED94F92E}"/>
    <cellStyle name="Normal 5 3 3 2 2 2 3 2 2 3" xfId="24684" xr:uid="{61707F29-1E43-4D87-B5F2-769F508C10FC}"/>
    <cellStyle name="Normal 5 3 3 2 2 2 3 2 3" xfId="12019" xr:uid="{141B7CFC-959F-4924-8983-C50586C15948}"/>
    <cellStyle name="Normal 5 3 3 2 2 2 3 2 4" xfId="20467" xr:uid="{58BC4DC9-63A3-46B0-A6CF-4E25DC8485EB}"/>
    <cellStyle name="Normal 5 3 3 2 2 2 3 3" xfId="5642" xr:uid="{00000000-0005-0000-0000-000080190000}"/>
    <cellStyle name="Normal 5 3 3 2 2 2 3 3 2" xfId="14092" xr:uid="{E544D607-A248-4EF2-B5DF-7773E721C67A}"/>
    <cellStyle name="Normal 5 3 3 2 2 2 3 3 3" xfId="22539" xr:uid="{A51E5980-7AB6-4B86-A564-023E263A7FF4}"/>
    <cellStyle name="Normal 5 3 3 2 2 2 3 4" xfId="9874" xr:uid="{F3B1A384-D7CB-4139-97BD-A7CE8FFB3969}"/>
    <cellStyle name="Normal 5 3 3 2 2 2 3 5" xfId="18322" xr:uid="{658BC4AE-45E6-465E-8369-3D6158F63906}"/>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6A1646BE-3792-4CBC-8D98-263F8B4AEA6A}"/>
    <cellStyle name="Normal 5 3 3 2 2 2 4 2 2 3" xfId="25097" xr:uid="{5ECEE4A8-F524-4F98-8C28-A394EDC5B513}"/>
    <cellStyle name="Normal 5 3 3 2 2 2 4 2 3" xfId="12432" xr:uid="{D5A10C16-4D13-40F6-8773-A321D0F8BD78}"/>
    <cellStyle name="Normal 5 3 3 2 2 2 4 2 4" xfId="20880" xr:uid="{44F654C0-AFB2-4DE8-BCD5-E793DBC9B111}"/>
    <cellStyle name="Normal 5 3 3 2 2 2 4 3" xfId="6055" xr:uid="{00000000-0005-0000-0000-000084190000}"/>
    <cellStyle name="Normal 5 3 3 2 2 2 4 3 2" xfId="14505" xr:uid="{3DDA8A18-D6FA-44C7-842A-EB87369CA6A8}"/>
    <cellStyle name="Normal 5 3 3 2 2 2 4 3 3" xfId="22952" xr:uid="{9114D175-BF40-4906-B91B-6331392F30E4}"/>
    <cellStyle name="Normal 5 3 3 2 2 2 4 4" xfId="10287" xr:uid="{9C502D18-88F4-436D-8F81-55DA8B78A0CE}"/>
    <cellStyle name="Normal 5 3 3 2 2 2 4 5" xfId="18735" xr:uid="{4DA75ECB-9BB4-499F-8DD5-43DF3A1171F6}"/>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DC8566CC-1F1C-449C-937A-CCC597CDEBAC}"/>
    <cellStyle name="Normal 5 3 3 2 2 2 5 2 2 3" xfId="25510" xr:uid="{3C337C0E-833A-404D-A075-A6980596E038}"/>
    <cellStyle name="Normal 5 3 3 2 2 2 5 2 3" xfId="12845" xr:uid="{D41F8EA0-6E6B-44D5-9719-7F56E352269F}"/>
    <cellStyle name="Normal 5 3 3 2 2 2 5 2 4" xfId="21293" xr:uid="{CCD0452A-0E20-427B-AAEA-DD078DDC58D6}"/>
    <cellStyle name="Normal 5 3 3 2 2 2 5 3" xfId="6468" xr:uid="{00000000-0005-0000-0000-000088190000}"/>
    <cellStyle name="Normal 5 3 3 2 2 2 5 3 2" xfId="14918" xr:uid="{AD906883-F8DD-4A88-BE72-D7BAD6283966}"/>
    <cellStyle name="Normal 5 3 3 2 2 2 5 3 3" xfId="23365" xr:uid="{33215C90-CE52-4A3D-93D6-5487068628A2}"/>
    <cellStyle name="Normal 5 3 3 2 2 2 5 4" xfId="10700" xr:uid="{8C8DB59F-786C-4AB5-8478-9A51F73A7BAA}"/>
    <cellStyle name="Normal 5 3 3 2 2 2 5 5" xfId="19148" xr:uid="{9FBA722A-AB1E-44F8-A61D-A752A34A274E}"/>
    <cellStyle name="Normal 5 3 3 2 2 2 6" xfId="2598" xr:uid="{00000000-0005-0000-0000-000089190000}"/>
    <cellStyle name="Normal 5 3 3 2 2 2 6 2" xfId="6881" xr:uid="{00000000-0005-0000-0000-00008A190000}"/>
    <cellStyle name="Normal 5 3 3 2 2 2 6 2 2" xfId="15331" xr:uid="{7935A17E-7962-4F8C-B5C1-3EAFA94B1501}"/>
    <cellStyle name="Normal 5 3 3 2 2 2 6 2 3" xfId="23778" xr:uid="{EF9AD9B9-5FFB-4FCD-BCE6-94932470DBFE}"/>
    <cellStyle name="Normal 5 3 3 2 2 2 6 3" xfId="11113" xr:uid="{DCB73485-5EC4-4935-B2C4-68AC993363DA}"/>
    <cellStyle name="Normal 5 3 3 2 2 2 6 4" xfId="19561" xr:uid="{84F610F5-412B-44B5-A68E-745BBE92DBF4}"/>
    <cellStyle name="Normal 5 3 3 2 2 2 7" xfId="4816" xr:uid="{00000000-0005-0000-0000-00008B190000}"/>
    <cellStyle name="Normal 5 3 3 2 2 2 7 2" xfId="13266" xr:uid="{12755339-6581-4B2A-B097-782664E2BDEA}"/>
    <cellStyle name="Normal 5 3 3 2 2 2 7 3" xfId="21713" xr:uid="{50A70411-8124-468D-8D76-94A4E0B0C927}"/>
    <cellStyle name="Normal 5 3 3 2 2 2 8" xfId="9048" xr:uid="{FBD3C1A4-408E-4F8A-A641-CEA88FF3D800}"/>
    <cellStyle name="Normal 5 3 3 2 2 2 9" xfId="17496" xr:uid="{A8A40DF0-B4E9-4749-959A-629944C4C19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4F549600-B93C-4CCE-A6F6-E51BBF0C2D06}"/>
    <cellStyle name="Normal 5 3 3 2 2 3 2 2 3" xfId="24270" xr:uid="{56548D10-2F7E-46B1-BD85-85903D120D31}"/>
    <cellStyle name="Normal 5 3 3 2 2 3 2 3" xfId="11605" xr:uid="{46DFFAC0-4898-48B5-A3BF-08F906EA4B25}"/>
    <cellStyle name="Normal 5 3 3 2 2 3 2 4" xfId="20053" xr:uid="{8B2E2DC8-476F-4C09-9B75-75BA7DF3E742}"/>
    <cellStyle name="Normal 5 3 3 2 2 3 3" xfId="5228" xr:uid="{00000000-0005-0000-0000-00008F190000}"/>
    <cellStyle name="Normal 5 3 3 2 2 3 3 2" xfId="13678" xr:uid="{1E2AAAB6-DDC5-4611-98E7-4D03539D37ED}"/>
    <cellStyle name="Normal 5 3 3 2 2 3 3 3" xfId="22125" xr:uid="{996289E1-79F5-40FF-98D4-821C9D780238}"/>
    <cellStyle name="Normal 5 3 3 2 2 3 4" xfId="9460" xr:uid="{7851AD4C-F397-4987-8225-9C6672773955}"/>
    <cellStyle name="Normal 5 3 3 2 2 3 5" xfId="17908" xr:uid="{5845F3CD-1559-47CA-8EE2-F14DFF0D705B}"/>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79EAC5DE-8336-40C2-8862-D28DF24B27A6}"/>
    <cellStyle name="Normal 5 3 3 2 2 4 2 2 3" xfId="24683" xr:uid="{6596CE99-CCAE-4989-85B8-D8AEA7185054}"/>
    <cellStyle name="Normal 5 3 3 2 2 4 2 3" xfId="12018" xr:uid="{3AD77612-0A37-42EB-8770-083296333671}"/>
    <cellStyle name="Normal 5 3 3 2 2 4 2 4" xfId="20466" xr:uid="{27B22483-E229-4C8C-A4E2-DC9C1822F60C}"/>
    <cellStyle name="Normal 5 3 3 2 2 4 3" xfId="5641" xr:uid="{00000000-0005-0000-0000-000093190000}"/>
    <cellStyle name="Normal 5 3 3 2 2 4 3 2" xfId="14091" xr:uid="{F5BFC77D-EA93-4FA7-8776-77BCD8F46664}"/>
    <cellStyle name="Normal 5 3 3 2 2 4 3 3" xfId="22538" xr:uid="{D1FAC45E-CAEC-4FC5-8E22-5D59A513783D}"/>
    <cellStyle name="Normal 5 3 3 2 2 4 4" xfId="9873" xr:uid="{9099D687-79D1-4C94-89FD-8C6901E31C1E}"/>
    <cellStyle name="Normal 5 3 3 2 2 4 5" xfId="18321" xr:uid="{3969521B-016F-435D-85D6-AF1209D642D4}"/>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9B66C276-7325-4398-B62C-2807BDBD9E00}"/>
    <cellStyle name="Normal 5 3 3 2 2 5 2 2 3" xfId="25096" xr:uid="{2B297126-6336-4968-9207-E2CD646768FB}"/>
    <cellStyle name="Normal 5 3 3 2 2 5 2 3" xfId="12431" xr:uid="{CDCB1C3F-86E8-47DF-B10C-68D2B52EC5E7}"/>
    <cellStyle name="Normal 5 3 3 2 2 5 2 4" xfId="20879" xr:uid="{55C62809-4F4E-447F-8A53-2E5A2274D99B}"/>
    <cellStyle name="Normal 5 3 3 2 2 5 3" xfId="6054" xr:uid="{00000000-0005-0000-0000-000097190000}"/>
    <cellStyle name="Normal 5 3 3 2 2 5 3 2" xfId="14504" xr:uid="{15C2C63D-6F09-4181-9CAE-0BBDC2A12B80}"/>
    <cellStyle name="Normal 5 3 3 2 2 5 3 3" xfId="22951" xr:uid="{21A5D967-A2E5-49C2-848C-5A834A005710}"/>
    <cellStyle name="Normal 5 3 3 2 2 5 4" xfId="10286" xr:uid="{6D3EFDED-5BB9-48DB-8B3A-E0D3EF5677D5}"/>
    <cellStyle name="Normal 5 3 3 2 2 5 5" xfId="18734" xr:uid="{6C7659DC-B3C7-43A5-8471-6855B1BED8A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83FB4A92-AD97-4834-8698-D1BACF434A26}"/>
    <cellStyle name="Normal 5 3 3 2 2 6 2 2 3" xfId="25509" xr:uid="{95C603F6-C376-4FD4-BC9D-D18759FE20BD}"/>
    <cellStyle name="Normal 5 3 3 2 2 6 2 3" xfId="12844" xr:uid="{BF4369E7-041B-4558-B382-70255BB01272}"/>
    <cellStyle name="Normal 5 3 3 2 2 6 2 4" xfId="21292" xr:uid="{C3F8F967-BB50-4DDA-82EF-E25A65C7DC98}"/>
    <cellStyle name="Normal 5 3 3 2 2 6 3" xfId="6467" xr:uid="{00000000-0005-0000-0000-00009B190000}"/>
    <cellStyle name="Normal 5 3 3 2 2 6 3 2" xfId="14917" xr:uid="{1A40C4C1-EBB5-434E-8AD9-ECF7342EBF34}"/>
    <cellStyle name="Normal 5 3 3 2 2 6 3 3" xfId="23364" xr:uid="{09EF979F-2F15-45A5-9D2C-AE562B93220A}"/>
    <cellStyle name="Normal 5 3 3 2 2 6 4" xfId="10699" xr:uid="{80824B6D-C565-4E8A-9FDE-A56DFAC750E3}"/>
    <cellStyle name="Normal 5 3 3 2 2 6 5" xfId="19147" xr:uid="{EAB8E936-6F20-4946-9DB9-FA486CC6F121}"/>
    <cellStyle name="Normal 5 3 3 2 2 7" xfId="2597" xr:uid="{00000000-0005-0000-0000-00009C190000}"/>
    <cellStyle name="Normal 5 3 3 2 2 7 2" xfId="6880" xr:uid="{00000000-0005-0000-0000-00009D190000}"/>
    <cellStyle name="Normal 5 3 3 2 2 7 2 2" xfId="15330" xr:uid="{2E3CC08B-A07E-4A11-BD40-43FB107B0C30}"/>
    <cellStyle name="Normal 5 3 3 2 2 7 2 3" xfId="23777" xr:uid="{758932C3-41B4-4904-B060-E24A2E9E9383}"/>
    <cellStyle name="Normal 5 3 3 2 2 7 3" xfId="11112" xr:uid="{E5F3ECC5-CE76-4F90-B416-69429A4BABF3}"/>
    <cellStyle name="Normal 5 3 3 2 2 7 4" xfId="19560" xr:uid="{A97D3220-3BC0-4547-99E3-CC3CA32BF44C}"/>
    <cellStyle name="Normal 5 3 3 2 2 8" xfId="4815" xr:uid="{00000000-0005-0000-0000-00009E190000}"/>
    <cellStyle name="Normal 5 3 3 2 2 8 2" xfId="13265" xr:uid="{A5DF42FA-CF91-4C9E-AC8E-817B357559F4}"/>
    <cellStyle name="Normal 5 3 3 2 2 8 3" xfId="21712" xr:uid="{7C057655-4694-4A18-A082-7F6383DA6AD4}"/>
    <cellStyle name="Normal 5 3 3 2 2 9" xfId="9047" xr:uid="{A2CC5E03-7188-47E0-A0F1-886E8C6313B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A847BEE7-CB5F-4627-A3A8-4DE92186A3FC}"/>
    <cellStyle name="Normal 5 3 3 2 3 2 2 2 3" xfId="24272" xr:uid="{75409E02-2355-44D4-B4C1-5A51CA8C91E4}"/>
    <cellStyle name="Normal 5 3 3 2 3 2 2 3" xfId="11607" xr:uid="{D5876DDA-F723-4124-BF33-F8BB6AF35DB5}"/>
    <cellStyle name="Normal 5 3 3 2 3 2 2 4" xfId="20055" xr:uid="{279CDB81-7FD9-426E-8E7D-78E55DBB1DBE}"/>
    <cellStyle name="Normal 5 3 3 2 3 2 3" xfId="5230" xr:uid="{00000000-0005-0000-0000-0000A3190000}"/>
    <cellStyle name="Normal 5 3 3 2 3 2 3 2" xfId="13680" xr:uid="{76DDCCF4-1A43-4909-A150-0B5E7A34AC5D}"/>
    <cellStyle name="Normal 5 3 3 2 3 2 3 3" xfId="22127" xr:uid="{D13B1C7E-ED97-44D8-8DBF-0D6E7867841D}"/>
    <cellStyle name="Normal 5 3 3 2 3 2 4" xfId="9462" xr:uid="{827DA393-D667-43DF-8A38-D6E8E4AB72C3}"/>
    <cellStyle name="Normal 5 3 3 2 3 2 5" xfId="17910" xr:uid="{B7B17C58-16BE-495A-94B7-516EF429E1F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F32BA013-A75D-461F-B0F2-65D6CC4BD957}"/>
    <cellStyle name="Normal 5 3 3 2 3 3 2 2 3" xfId="24685" xr:uid="{53CA9FB7-D717-4E27-88D0-2400AFA9ECDE}"/>
    <cellStyle name="Normal 5 3 3 2 3 3 2 3" xfId="12020" xr:uid="{D0579B7C-B602-463A-A8FE-8E2A621ADDD7}"/>
    <cellStyle name="Normal 5 3 3 2 3 3 2 4" xfId="20468" xr:uid="{7EFB2F32-B778-455C-A491-96FBD2C72682}"/>
    <cellStyle name="Normal 5 3 3 2 3 3 3" xfId="5643" xr:uid="{00000000-0005-0000-0000-0000A7190000}"/>
    <cellStyle name="Normal 5 3 3 2 3 3 3 2" xfId="14093" xr:uid="{A2FA805F-060E-4D75-AF35-018D31564333}"/>
    <cellStyle name="Normal 5 3 3 2 3 3 3 3" xfId="22540" xr:uid="{57CACC70-FC08-46D3-88ED-DB1B2255E5FA}"/>
    <cellStyle name="Normal 5 3 3 2 3 3 4" xfId="9875" xr:uid="{6BA29185-00E8-46F5-907F-DE3362FEA2FD}"/>
    <cellStyle name="Normal 5 3 3 2 3 3 5" xfId="18323" xr:uid="{FA920800-CD19-4977-A2B9-8B914A9DFD15}"/>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DC7C8A84-7D7A-4160-83D8-C4CA19B331C2}"/>
    <cellStyle name="Normal 5 3 3 2 3 4 2 2 3" xfId="25098" xr:uid="{3940B891-75C6-427C-9FCC-1E8375DC8910}"/>
    <cellStyle name="Normal 5 3 3 2 3 4 2 3" xfId="12433" xr:uid="{4898C2CA-AD9C-4734-A603-20B595CA6F27}"/>
    <cellStyle name="Normal 5 3 3 2 3 4 2 4" xfId="20881" xr:uid="{6524BBB5-8275-4455-93B7-39FC689A5613}"/>
    <cellStyle name="Normal 5 3 3 2 3 4 3" xfId="6056" xr:uid="{00000000-0005-0000-0000-0000AB190000}"/>
    <cellStyle name="Normal 5 3 3 2 3 4 3 2" xfId="14506" xr:uid="{0A22CF9C-FC34-477E-AA82-28FF86C76696}"/>
    <cellStyle name="Normal 5 3 3 2 3 4 3 3" xfId="22953" xr:uid="{844C40B9-66A4-40BD-A053-DF49B0D9EE63}"/>
    <cellStyle name="Normal 5 3 3 2 3 4 4" xfId="10288" xr:uid="{7E486F6A-DFD9-41E6-9147-431E153541E1}"/>
    <cellStyle name="Normal 5 3 3 2 3 4 5" xfId="18736" xr:uid="{0C08DAD1-E962-466A-AF22-B3C016A441F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79410249-D03D-4F72-8F53-C135974AD0AD}"/>
    <cellStyle name="Normal 5 3 3 2 3 5 2 2 3" xfId="25511" xr:uid="{6BDA4E17-95B3-4613-81B8-208C9F4D6C32}"/>
    <cellStyle name="Normal 5 3 3 2 3 5 2 3" xfId="12846" xr:uid="{855A1893-9D6A-4DF0-B996-4CB78DB33D5F}"/>
    <cellStyle name="Normal 5 3 3 2 3 5 2 4" xfId="21294" xr:uid="{7E40B401-4BBB-43DA-91FC-1A1661FB44D2}"/>
    <cellStyle name="Normal 5 3 3 2 3 5 3" xfId="6469" xr:uid="{00000000-0005-0000-0000-0000AF190000}"/>
    <cellStyle name="Normal 5 3 3 2 3 5 3 2" xfId="14919" xr:uid="{E102C6A5-FF30-4B2C-8935-70FD20600C98}"/>
    <cellStyle name="Normal 5 3 3 2 3 5 3 3" xfId="23366" xr:uid="{F7BC878B-DF7E-419C-A79F-E37740156066}"/>
    <cellStyle name="Normal 5 3 3 2 3 5 4" xfId="10701" xr:uid="{B93385CC-2BD2-430E-A975-D9EE94E19E4C}"/>
    <cellStyle name="Normal 5 3 3 2 3 5 5" xfId="19149" xr:uid="{D92CE192-DE78-4DC7-8D5D-4CBF9A917C97}"/>
    <cellStyle name="Normal 5 3 3 2 3 6" xfId="2599" xr:uid="{00000000-0005-0000-0000-0000B0190000}"/>
    <cellStyle name="Normal 5 3 3 2 3 6 2" xfId="6882" xr:uid="{00000000-0005-0000-0000-0000B1190000}"/>
    <cellStyle name="Normal 5 3 3 2 3 6 2 2" xfId="15332" xr:uid="{34B5CFB5-5A42-4A9F-8E43-434A1AB8BDAE}"/>
    <cellStyle name="Normal 5 3 3 2 3 6 2 3" xfId="23779" xr:uid="{608271C2-A60E-48B6-ADD7-796427141502}"/>
    <cellStyle name="Normal 5 3 3 2 3 6 3" xfId="11114" xr:uid="{DCD7D37B-DD8F-4B42-8039-127019C7D620}"/>
    <cellStyle name="Normal 5 3 3 2 3 6 4" xfId="19562" xr:uid="{B12F01EF-C174-4B3A-9A6D-9E6855846EF1}"/>
    <cellStyle name="Normal 5 3 3 2 3 7" xfId="4817" xr:uid="{00000000-0005-0000-0000-0000B2190000}"/>
    <cellStyle name="Normal 5 3 3 2 3 7 2" xfId="13267" xr:uid="{AF7FA34D-49E7-4AF4-A410-42D66C79EDD9}"/>
    <cellStyle name="Normal 5 3 3 2 3 7 3" xfId="21714" xr:uid="{7AAB0825-EF41-4CD0-8C5F-B94067BC4728}"/>
    <cellStyle name="Normal 5 3 3 2 3 8" xfId="9049" xr:uid="{D3F30FE1-CD45-477F-987B-1FFD43463B7A}"/>
    <cellStyle name="Normal 5 3 3 2 3 9" xfId="17497" xr:uid="{9DC06384-E6FB-41A0-8D04-4D2648A66469}"/>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29E9BEB1-DD1B-4102-ABDB-501B303EB69F}"/>
    <cellStyle name="Normal 5 3 3 2 4 2 2 3" xfId="24269" xr:uid="{37921D45-C647-488A-9F4D-919E6D57046E}"/>
    <cellStyle name="Normal 5 3 3 2 4 2 3" xfId="11604" xr:uid="{B3863FEE-BB2D-42CD-BA29-055362B92583}"/>
    <cellStyle name="Normal 5 3 3 2 4 2 4" xfId="20052" xr:uid="{E5B13477-6A9D-4441-8779-CAF98B2CDA29}"/>
    <cellStyle name="Normal 5 3 3 2 4 3" xfId="5227" xr:uid="{00000000-0005-0000-0000-0000B6190000}"/>
    <cellStyle name="Normal 5 3 3 2 4 3 2" xfId="13677" xr:uid="{ECE82E18-6C03-4964-AD1A-93A339EC7BA2}"/>
    <cellStyle name="Normal 5 3 3 2 4 3 3" xfId="22124" xr:uid="{FC31DFB0-A9D5-459E-9211-02C95DA4EF35}"/>
    <cellStyle name="Normal 5 3 3 2 4 4" xfId="9459" xr:uid="{BF0C418D-79B1-4A88-98D0-9EC50AF392BF}"/>
    <cellStyle name="Normal 5 3 3 2 4 5" xfId="17907" xr:uid="{A1F2C45F-BA47-45C6-88E3-BCB60BF6B25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655E8E88-8FB2-416C-9F19-4FF143737DBD}"/>
    <cellStyle name="Normal 5 3 3 2 5 2 2 3" xfId="24682" xr:uid="{3C59A274-5159-489A-98A5-EE98D79DC882}"/>
    <cellStyle name="Normal 5 3 3 2 5 2 3" xfId="12017" xr:uid="{DC59683E-3399-4756-AC18-16C2DDDD9A9E}"/>
    <cellStyle name="Normal 5 3 3 2 5 2 4" xfId="20465" xr:uid="{AF8907CB-8D46-4194-9A49-1DBE54BF3596}"/>
    <cellStyle name="Normal 5 3 3 2 5 3" xfId="5640" xr:uid="{00000000-0005-0000-0000-0000BA190000}"/>
    <cellStyle name="Normal 5 3 3 2 5 3 2" xfId="14090" xr:uid="{5EFDCE03-F1DD-40AA-828A-2762B39CD60B}"/>
    <cellStyle name="Normal 5 3 3 2 5 3 3" xfId="22537" xr:uid="{7EE9EB39-BCDF-4139-A2F5-3492EBB712E6}"/>
    <cellStyle name="Normal 5 3 3 2 5 4" xfId="9872" xr:uid="{20D717C6-E775-44A9-BF8B-B591B722950A}"/>
    <cellStyle name="Normal 5 3 3 2 5 5" xfId="18320" xr:uid="{299E5EF6-FBB8-471B-B5B9-39AFB1A29424}"/>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5277FAF4-D8CC-48AE-98E7-1E25EBF9DB8F}"/>
    <cellStyle name="Normal 5 3 3 2 6 2 2 3" xfId="25095" xr:uid="{5B9E922D-DC8B-437C-B75C-7AE31529696E}"/>
    <cellStyle name="Normal 5 3 3 2 6 2 3" xfId="12430" xr:uid="{A338BD66-8D01-402A-A19F-CA4903D81E1B}"/>
    <cellStyle name="Normal 5 3 3 2 6 2 4" xfId="20878" xr:uid="{2FF6028D-0E68-4759-91FC-25C089F5EF5F}"/>
    <cellStyle name="Normal 5 3 3 2 6 3" xfId="6053" xr:uid="{00000000-0005-0000-0000-0000BE190000}"/>
    <cellStyle name="Normal 5 3 3 2 6 3 2" xfId="14503" xr:uid="{ACCE10F8-208C-4F2B-BF69-82E0B6C30083}"/>
    <cellStyle name="Normal 5 3 3 2 6 3 3" xfId="22950" xr:uid="{CEDF381D-F8C6-42C9-9289-3D59E214EC1E}"/>
    <cellStyle name="Normal 5 3 3 2 6 4" xfId="10285" xr:uid="{D73C6E9F-CBC1-4B7E-A0D5-6F2567032506}"/>
    <cellStyle name="Normal 5 3 3 2 6 5" xfId="18733" xr:uid="{B02D1B14-EEDF-416B-8423-C149561EC4C5}"/>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A9C55E5E-A75F-4829-A4F1-9468DFFE3D6A}"/>
    <cellStyle name="Normal 5 3 3 2 7 2 2 3" xfId="25508" xr:uid="{074F482B-81C5-4101-A4D5-ED7004479122}"/>
    <cellStyle name="Normal 5 3 3 2 7 2 3" xfId="12843" xr:uid="{0A2DFCE8-335C-4DFF-B7FE-D9972D23FECE}"/>
    <cellStyle name="Normal 5 3 3 2 7 2 4" xfId="21291" xr:uid="{0AC3F544-0C17-4125-8CE9-CFCDA6768CAA}"/>
    <cellStyle name="Normal 5 3 3 2 7 3" xfId="6466" xr:uid="{00000000-0005-0000-0000-0000C2190000}"/>
    <cellStyle name="Normal 5 3 3 2 7 3 2" xfId="14916" xr:uid="{BED46068-2206-457A-A438-3C2268A45731}"/>
    <cellStyle name="Normal 5 3 3 2 7 3 3" xfId="23363" xr:uid="{F31C5C78-E191-4CF6-8B98-94E34DCC59D9}"/>
    <cellStyle name="Normal 5 3 3 2 7 4" xfId="10698" xr:uid="{73F95182-7E76-45FA-87CA-6AB325199E30}"/>
    <cellStyle name="Normal 5 3 3 2 7 5" xfId="19146" xr:uid="{BE9E79EB-3BA5-4F5D-8228-C49F694CFC34}"/>
    <cellStyle name="Normal 5 3 3 2 8" xfId="2596" xr:uid="{00000000-0005-0000-0000-0000C3190000}"/>
    <cellStyle name="Normal 5 3 3 2 8 2" xfId="6879" xr:uid="{00000000-0005-0000-0000-0000C4190000}"/>
    <cellStyle name="Normal 5 3 3 2 8 2 2" xfId="15329" xr:uid="{C9E237CC-DFC2-4BD6-8CD6-49FCBBD5D3D2}"/>
    <cellStyle name="Normal 5 3 3 2 8 2 3" xfId="23776" xr:uid="{A94B3C88-375E-4255-B31D-B7B86F0F7B96}"/>
    <cellStyle name="Normal 5 3 3 2 8 3" xfId="11111" xr:uid="{B5AA974D-A444-45D5-8099-0CCB4533C966}"/>
    <cellStyle name="Normal 5 3 3 2 8 4" xfId="19559" xr:uid="{DB6EADA2-6238-4BE6-8C9D-0919B0615C16}"/>
    <cellStyle name="Normal 5 3 3 2 9" xfId="4814" xr:uid="{00000000-0005-0000-0000-0000C5190000}"/>
    <cellStyle name="Normal 5 3 3 2 9 2" xfId="13264" xr:uid="{EEDC772C-6B72-4B52-9022-D448925D278E}"/>
    <cellStyle name="Normal 5 3 3 2 9 3" xfId="21711" xr:uid="{CC51D63D-E880-4C33-8928-519AA4426263}"/>
    <cellStyle name="Normal 5 3 3 3" xfId="446" xr:uid="{00000000-0005-0000-0000-0000C6190000}"/>
    <cellStyle name="Normal 5 3 3 3 10" xfId="17498" xr:uid="{90A83747-AD4C-4C29-A3AC-FA4E51298C22}"/>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D911FC0E-E799-466C-BF6C-D9C4BA837245}"/>
    <cellStyle name="Normal 5 3 3 3 2 2 2 2 3" xfId="24274" xr:uid="{AEB2526D-9452-4F21-B999-9B41C3FE2D7C}"/>
    <cellStyle name="Normal 5 3 3 3 2 2 2 3" xfId="11609" xr:uid="{B40B7F16-970E-4A70-B029-C27E15673DD1}"/>
    <cellStyle name="Normal 5 3 3 3 2 2 2 4" xfId="20057" xr:uid="{01A44D24-6561-4C41-9F70-F0D83159E2EA}"/>
    <cellStyle name="Normal 5 3 3 3 2 2 3" xfId="5232" xr:uid="{00000000-0005-0000-0000-0000CB190000}"/>
    <cellStyle name="Normal 5 3 3 3 2 2 3 2" xfId="13682" xr:uid="{1FCD1B2B-EB8F-47E7-ABDE-01842B6142F0}"/>
    <cellStyle name="Normal 5 3 3 3 2 2 3 3" xfId="22129" xr:uid="{EA95D49C-8D51-4116-9326-68C490871412}"/>
    <cellStyle name="Normal 5 3 3 3 2 2 4" xfId="9464" xr:uid="{2E9C7B15-49A5-48FC-A33E-9F7B511D7FB2}"/>
    <cellStyle name="Normal 5 3 3 3 2 2 5" xfId="17912" xr:uid="{192A5C69-826B-41C7-84B7-5641796BB52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7EFDD1BA-0DCC-48B4-BAFB-FAB018447CDA}"/>
    <cellStyle name="Normal 5 3 3 3 2 3 2 2 3" xfId="24687" xr:uid="{4A0B4908-E601-4379-92E0-63A1A2C4E0F9}"/>
    <cellStyle name="Normal 5 3 3 3 2 3 2 3" xfId="12022" xr:uid="{0F97FB6F-0BB0-44A7-B1D1-752B5A58C853}"/>
    <cellStyle name="Normal 5 3 3 3 2 3 2 4" xfId="20470" xr:uid="{B5D14E56-2E9F-4B1B-A842-89759BA00B40}"/>
    <cellStyle name="Normal 5 3 3 3 2 3 3" xfId="5645" xr:uid="{00000000-0005-0000-0000-0000CF190000}"/>
    <cellStyle name="Normal 5 3 3 3 2 3 3 2" xfId="14095" xr:uid="{BAA9CADE-97B1-43D0-BA2E-8C770559D37E}"/>
    <cellStyle name="Normal 5 3 3 3 2 3 3 3" xfId="22542" xr:uid="{0A2E7A6F-5D2B-4093-86B5-42A550B5C7D5}"/>
    <cellStyle name="Normal 5 3 3 3 2 3 4" xfId="9877" xr:uid="{78026349-7668-4E4D-9135-BAED6693EE3F}"/>
    <cellStyle name="Normal 5 3 3 3 2 3 5" xfId="18325" xr:uid="{3C3D00CA-4663-4F1B-9D61-CBC220B3472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4D3024A8-E56D-4732-AC6E-D1AC1BC97DC1}"/>
    <cellStyle name="Normal 5 3 3 3 2 4 2 2 3" xfId="25100" xr:uid="{A13F580A-C617-4938-A99C-F4682F384F80}"/>
    <cellStyle name="Normal 5 3 3 3 2 4 2 3" xfId="12435" xr:uid="{517D7999-0746-48B1-8CF2-0C9DC29B6E4D}"/>
    <cellStyle name="Normal 5 3 3 3 2 4 2 4" xfId="20883" xr:uid="{F3AC9969-AEB4-43CD-BCA8-8D30AA377E56}"/>
    <cellStyle name="Normal 5 3 3 3 2 4 3" xfId="6058" xr:uid="{00000000-0005-0000-0000-0000D3190000}"/>
    <cellStyle name="Normal 5 3 3 3 2 4 3 2" xfId="14508" xr:uid="{163653B8-CB90-40CE-B859-4FB5E6ACA742}"/>
    <cellStyle name="Normal 5 3 3 3 2 4 3 3" xfId="22955" xr:uid="{D3B454AF-F7B8-4714-B37C-37DC634481E6}"/>
    <cellStyle name="Normal 5 3 3 3 2 4 4" xfId="10290" xr:uid="{C0D2B6E1-5AAC-4D91-992F-361BAC0AFE01}"/>
    <cellStyle name="Normal 5 3 3 3 2 4 5" xfId="18738" xr:uid="{88F62D1A-2F68-4A66-AE7C-12C15B89475E}"/>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E5CBD3BE-DC8E-478D-8DAB-2AFD09C302C6}"/>
    <cellStyle name="Normal 5 3 3 3 2 5 2 2 3" xfId="25513" xr:uid="{198C35F2-41FB-475A-B6C6-5B48BD219D2A}"/>
    <cellStyle name="Normal 5 3 3 3 2 5 2 3" xfId="12848" xr:uid="{BE677275-2070-4727-A83B-8646531BC806}"/>
    <cellStyle name="Normal 5 3 3 3 2 5 2 4" xfId="21296" xr:uid="{2D80A539-97E7-453B-8616-36B2CC8A973B}"/>
    <cellStyle name="Normal 5 3 3 3 2 5 3" xfId="6471" xr:uid="{00000000-0005-0000-0000-0000D7190000}"/>
    <cellStyle name="Normal 5 3 3 3 2 5 3 2" xfId="14921" xr:uid="{4E080DFB-6C1C-48CB-9BA2-53FD29E68D55}"/>
    <cellStyle name="Normal 5 3 3 3 2 5 3 3" xfId="23368" xr:uid="{F10A7B76-83F1-41A3-8632-82C1F2DA8916}"/>
    <cellStyle name="Normal 5 3 3 3 2 5 4" xfId="10703" xr:uid="{F911304B-5A98-4092-8E5E-E3531F86B475}"/>
    <cellStyle name="Normal 5 3 3 3 2 5 5" xfId="19151" xr:uid="{046FDF2B-04DE-42F4-9597-F1EEE10FA20F}"/>
    <cellStyle name="Normal 5 3 3 3 2 6" xfId="2601" xr:uid="{00000000-0005-0000-0000-0000D8190000}"/>
    <cellStyle name="Normal 5 3 3 3 2 6 2" xfId="6884" xr:uid="{00000000-0005-0000-0000-0000D9190000}"/>
    <cellStyle name="Normal 5 3 3 3 2 6 2 2" xfId="15334" xr:uid="{9076E0D8-276B-44E2-B5B2-138F76C09D77}"/>
    <cellStyle name="Normal 5 3 3 3 2 6 2 3" xfId="23781" xr:uid="{A5E62BA4-5AF6-4900-96F2-3BAD05BD4D4F}"/>
    <cellStyle name="Normal 5 3 3 3 2 6 3" xfId="11116" xr:uid="{E1B44295-B412-4AF1-BBE6-826CA273AB90}"/>
    <cellStyle name="Normal 5 3 3 3 2 6 4" xfId="19564" xr:uid="{01DE10B8-6AF0-416D-AB09-ACD7FAF4D5CA}"/>
    <cellStyle name="Normal 5 3 3 3 2 7" xfId="4819" xr:uid="{00000000-0005-0000-0000-0000DA190000}"/>
    <cellStyle name="Normal 5 3 3 3 2 7 2" xfId="13269" xr:uid="{C22FD0B2-1CD7-4D8E-84E7-F9AEA0853D1A}"/>
    <cellStyle name="Normal 5 3 3 3 2 7 3" xfId="21716" xr:uid="{70992CAE-7742-4A92-9489-5D0380700576}"/>
    <cellStyle name="Normal 5 3 3 3 2 8" xfId="9051" xr:uid="{DECD1CA0-580D-4D0D-9C0E-163870EF9171}"/>
    <cellStyle name="Normal 5 3 3 3 2 9" xfId="17499" xr:uid="{520CC95A-E124-44AA-A68A-41F89E04FD6E}"/>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6ABA6218-0D87-4E9A-94D9-D84F03B4992E}"/>
    <cellStyle name="Normal 5 3 3 3 3 2 2 3" xfId="24273" xr:uid="{CE39D120-4AD9-4D4A-BAE3-6E7F4822B9FA}"/>
    <cellStyle name="Normal 5 3 3 3 3 2 3" xfId="11608" xr:uid="{4026AE21-3B1C-4462-9FFD-ABE7917E163C}"/>
    <cellStyle name="Normal 5 3 3 3 3 2 4" xfId="20056" xr:uid="{DB17A43B-6FF9-4FF1-BCB9-3FE275AB7303}"/>
    <cellStyle name="Normal 5 3 3 3 3 3" xfId="5231" xr:uid="{00000000-0005-0000-0000-0000DE190000}"/>
    <cellStyle name="Normal 5 3 3 3 3 3 2" xfId="13681" xr:uid="{1929F8AA-4B03-4793-A38C-AF1E47D9FCFC}"/>
    <cellStyle name="Normal 5 3 3 3 3 3 3" xfId="22128" xr:uid="{1F82DA2F-2567-4893-A176-67B9D6A939BB}"/>
    <cellStyle name="Normal 5 3 3 3 3 4" xfId="9463" xr:uid="{0F931581-91D6-47B1-AA2A-F9D7143DBDEB}"/>
    <cellStyle name="Normal 5 3 3 3 3 5" xfId="17911" xr:uid="{0E0B7A13-FA6C-4138-9873-4ED59573360C}"/>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9B46AFE0-CC99-4FD3-B6E2-0964849C2DB5}"/>
    <cellStyle name="Normal 5 3 3 3 4 2 2 3" xfId="24686" xr:uid="{43099CAF-4835-44B9-AFC0-0919621B311C}"/>
    <cellStyle name="Normal 5 3 3 3 4 2 3" xfId="12021" xr:uid="{1FE24F19-3BEC-468F-A3AF-3E4D6E41479C}"/>
    <cellStyle name="Normal 5 3 3 3 4 2 4" xfId="20469" xr:uid="{E965842A-3247-40BC-A9B6-7587431164FD}"/>
    <cellStyle name="Normal 5 3 3 3 4 3" xfId="5644" xr:uid="{00000000-0005-0000-0000-0000E2190000}"/>
    <cellStyle name="Normal 5 3 3 3 4 3 2" xfId="14094" xr:uid="{9FA6580B-8351-4398-92E2-6A4AF3B8CE75}"/>
    <cellStyle name="Normal 5 3 3 3 4 3 3" xfId="22541" xr:uid="{6659675B-8BC2-46E0-9076-50DE73E4AE9F}"/>
    <cellStyle name="Normal 5 3 3 3 4 4" xfId="9876" xr:uid="{23B8786B-04C3-43BC-B290-DFEAE5880429}"/>
    <cellStyle name="Normal 5 3 3 3 4 5" xfId="18324" xr:uid="{327A9BD9-56FA-43B9-BBFF-FF0FAB0A116C}"/>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9445AAEB-82FF-4CE6-B8BF-B817B5DA6BF1}"/>
    <cellStyle name="Normal 5 3 3 3 5 2 2 3" xfId="25099" xr:uid="{3B1ED39C-E497-48D9-B504-D07A5FD6B5D6}"/>
    <cellStyle name="Normal 5 3 3 3 5 2 3" xfId="12434" xr:uid="{41C1CD49-DD80-41E3-AB50-E33D31D9114C}"/>
    <cellStyle name="Normal 5 3 3 3 5 2 4" xfId="20882" xr:uid="{239D3B62-3A2A-4332-93F6-E1BC8FDD7BA6}"/>
    <cellStyle name="Normal 5 3 3 3 5 3" xfId="6057" xr:uid="{00000000-0005-0000-0000-0000E6190000}"/>
    <cellStyle name="Normal 5 3 3 3 5 3 2" xfId="14507" xr:uid="{A7941D0C-E15F-4334-AFCB-AC7532638687}"/>
    <cellStyle name="Normal 5 3 3 3 5 3 3" xfId="22954" xr:uid="{01998A5F-D184-4E14-92CD-EC3FCD89BCDD}"/>
    <cellStyle name="Normal 5 3 3 3 5 4" xfId="10289" xr:uid="{ABC30E91-274D-417D-A568-999113080F12}"/>
    <cellStyle name="Normal 5 3 3 3 5 5" xfId="18737" xr:uid="{EE9A1457-6BDD-4CE6-8A29-7B6922DEC78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76A05EA1-349B-44A0-92C5-6C4D2ACAC11D}"/>
    <cellStyle name="Normal 5 3 3 3 6 2 2 3" xfId="25512" xr:uid="{97828D1B-8BAC-4F42-A229-6B7D472E63A8}"/>
    <cellStyle name="Normal 5 3 3 3 6 2 3" xfId="12847" xr:uid="{D48AA5C5-4F37-4C7A-952B-98196F1C0F65}"/>
    <cellStyle name="Normal 5 3 3 3 6 2 4" xfId="21295" xr:uid="{61A2D2A1-A11F-4FA0-A9F2-02E0B85DB0F4}"/>
    <cellStyle name="Normal 5 3 3 3 6 3" xfId="6470" xr:uid="{00000000-0005-0000-0000-0000EA190000}"/>
    <cellStyle name="Normal 5 3 3 3 6 3 2" xfId="14920" xr:uid="{B04D3069-FE71-42D6-A29B-EE6DB93E6226}"/>
    <cellStyle name="Normal 5 3 3 3 6 3 3" xfId="23367" xr:uid="{C86AB37F-8B5F-41A4-923A-1885DD97236A}"/>
    <cellStyle name="Normal 5 3 3 3 6 4" xfId="10702" xr:uid="{0766D07F-3FD8-4158-95A6-4DB49BF728A1}"/>
    <cellStyle name="Normal 5 3 3 3 6 5" xfId="19150" xr:uid="{F8771107-6DCE-40FF-9C81-FFFE3C02DDFA}"/>
    <cellStyle name="Normal 5 3 3 3 7" xfId="2600" xr:uid="{00000000-0005-0000-0000-0000EB190000}"/>
    <cellStyle name="Normal 5 3 3 3 7 2" xfId="6883" xr:uid="{00000000-0005-0000-0000-0000EC190000}"/>
    <cellStyle name="Normal 5 3 3 3 7 2 2" xfId="15333" xr:uid="{026586E3-86BE-433E-BDC2-4EF6D27B4D65}"/>
    <cellStyle name="Normal 5 3 3 3 7 2 3" xfId="23780" xr:uid="{427B94DC-CE97-4EA3-9A66-65699EEFBAEC}"/>
    <cellStyle name="Normal 5 3 3 3 7 3" xfId="11115" xr:uid="{B3F1EA5B-C379-427B-9802-B2B23A8DDA71}"/>
    <cellStyle name="Normal 5 3 3 3 7 4" xfId="19563" xr:uid="{02DA6A94-E486-4EB2-A4D2-6828E1EE7DA7}"/>
    <cellStyle name="Normal 5 3 3 3 8" xfId="4818" xr:uid="{00000000-0005-0000-0000-0000ED190000}"/>
    <cellStyle name="Normal 5 3 3 3 8 2" xfId="13268" xr:uid="{66E4FB53-5A87-4A74-85DF-48949C863ECE}"/>
    <cellStyle name="Normal 5 3 3 3 8 3" xfId="21715" xr:uid="{ABDBE0CB-E488-4655-8B01-3B57A4A4D12B}"/>
    <cellStyle name="Normal 5 3 3 3 9" xfId="9050" xr:uid="{9B191AE6-D4B3-4F34-9383-900CC58B0CD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4F65E8F3-CE44-48D6-A522-C46B3DC955A3}"/>
    <cellStyle name="Normal 5 3 3 4 2 2 2 3" xfId="24275" xr:uid="{F000F168-F5AE-4B03-9105-08AEE808EEF6}"/>
    <cellStyle name="Normal 5 3 3 4 2 2 3" xfId="11610" xr:uid="{62B903DD-342B-485A-B4C0-564FB0D4F22D}"/>
    <cellStyle name="Normal 5 3 3 4 2 2 4" xfId="20058" xr:uid="{A8C40A9C-8D59-47B5-8ADF-DC2007343092}"/>
    <cellStyle name="Normal 5 3 3 4 2 3" xfId="5233" xr:uid="{00000000-0005-0000-0000-0000F2190000}"/>
    <cellStyle name="Normal 5 3 3 4 2 3 2" xfId="13683" xr:uid="{42A5DC15-0D7E-4DD1-A8B6-03D3646D29FF}"/>
    <cellStyle name="Normal 5 3 3 4 2 3 3" xfId="22130" xr:uid="{55BA1114-45D7-458A-81AD-CB9CEF8EBCC3}"/>
    <cellStyle name="Normal 5 3 3 4 2 4" xfId="9465" xr:uid="{85AAF7B2-FC6E-432B-AB0D-8BA304EEB8FF}"/>
    <cellStyle name="Normal 5 3 3 4 2 5" xfId="17913" xr:uid="{D1259913-71FE-46C8-A136-9EBE22588CCF}"/>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641F3B2D-C31B-45C4-9105-ED601AFDAE9E}"/>
    <cellStyle name="Normal 5 3 3 4 3 2 2 3" xfId="24688" xr:uid="{D43442FE-EA3F-4ABB-9F18-7171BB176CA3}"/>
    <cellStyle name="Normal 5 3 3 4 3 2 3" xfId="12023" xr:uid="{9E6E4F93-A5E8-41B5-8078-C2B045C3B9CB}"/>
    <cellStyle name="Normal 5 3 3 4 3 2 4" xfId="20471" xr:uid="{104CBAFE-CBE4-4640-BB45-E8D5F8402BBD}"/>
    <cellStyle name="Normal 5 3 3 4 3 3" xfId="5646" xr:uid="{00000000-0005-0000-0000-0000F6190000}"/>
    <cellStyle name="Normal 5 3 3 4 3 3 2" xfId="14096" xr:uid="{13BA4FCF-8294-4AD9-BA3D-2C0481D8E7CB}"/>
    <cellStyle name="Normal 5 3 3 4 3 3 3" xfId="22543" xr:uid="{BFF175BC-1023-4502-956A-5BE8FCD18193}"/>
    <cellStyle name="Normal 5 3 3 4 3 4" xfId="9878" xr:uid="{CCD430BB-07C2-4F9A-A370-2EF98769E1A2}"/>
    <cellStyle name="Normal 5 3 3 4 3 5" xfId="18326" xr:uid="{F8C9770C-02DC-40C5-8C90-784F4A18C567}"/>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8DFEA82F-7DF3-4409-AF17-2279F27A0E5D}"/>
    <cellStyle name="Normal 5 3 3 4 4 2 2 3" xfId="25101" xr:uid="{031C063D-9566-45E8-BD5E-E0FA82CD867B}"/>
    <cellStyle name="Normal 5 3 3 4 4 2 3" xfId="12436" xr:uid="{44F90B3A-18E7-4C0A-821F-D6842686DE01}"/>
    <cellStyle name="Normal 5 3 3 4 4 2 4" xfId="20884" xr:uid="{AC778C8C-2CB9-43BA-8417-B93153FD4820}"/>
    <cellStyle name="Normal 5 3 3 4 4 3" xfId="6059" xr:uid="{00000000-0005-0000-0000-0000FA190000}"/>
    <cellStyle name="Normal 5 3 3 4 4 3 2" xfId="14509" xr:uid="{86EE12E5-D3DE-4E2E-8D2E-D53CDCC2FE8A}"/>
    <cellStyle name="Normal 5 3 3 4 4 3 3" xfId="22956" xr:uid="{CE7FA311-6980-47F6-953B-4A743042DAB9}"/>
    <cellStyle name="Normal 5 3 3 4 4 4" xfId="10291" xr:uid="{5C7702C9-0858-4660-8D03-2286E248C5BB}"/>
    <cellStyle name="Normal 5 3 3 4 4 5" xfId="18739" xr:uid="{D2198A75-F2FD-4F07-95F4-0B00A56E661A}"/>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AD07D9EC-EE79-434D-8603-ABAF7F0DBD88}"/>
    <cellStyle name="Normal 5 3 3 4 5 2 2 3" xfId="25514" xr:uid="{65E8B042-E710-4DF2-9F7B-C4218FCBF9F1}"/>
    <cellStyle name="Normal 5 3 3 4 5 2 3" xfId="12849" xr:uid="{EC5AFC3D-EC49-43B4-A122-83E34A45A58B}"/>
    <cellStyle name="Normal 5 3 3 4 5 2 4" xfId="21297" xr:uid="{CD0A3282-B500-4C51-A1D0-6B8F1C8659A4}"/>
    <cellStyle name="Normal 5 3 3 4 5 3" xfId="6472" xr:uid="{00000000-0005-0000-0000-0000FE190000}"/>
    <cellStyle name="Normal 5 3 3 4 5 3 2" xfId="14922" xr:uid="{1775CDDE-A246-49AC-BE86-7328288A9556}"/>
    <cellStyle name="Normal 5 3 3 4 5 3 3" xfId="23369" xr:uid="{EC1C0B54-05E6-4640-9DAF-1F3499924E24}"/>
    <cellStyle name="Normal 5 3 3 4 5 4" xfId="10704" xr:uid="{05A39246-0B00-4BB7-A620-10BDE958F29A}"/>
    <cellStyle name="Normal 5 3 3 4 5 5" xfId="19152" xr:uid="{4BD6A396-CC55-452D-BC0D-41FD61099BBA}"/>
    <cellStyle name="Normal 5 3 3 4 6" xfId="2602" xr:uid="{00000000-0005-0000-0000-0000FF190000}"/>
    <cellStyle name="Normal 5 3 3 4 6 2" xfId="6885" xr:uid="{00000000-0005-0000-0000-0000001A0000}"/>
    <cellStyle name="Normal 5 3 3 4 6 2 2" xfId="15335" xr:uid="{0D6404E2-3731-46D1-AA15-9EE87BF29F41}"/>
    <cellStyle name="Normal 5 3 3 4 6 2 3" xfId="23782" xr:uid="{6FC432E3-DF95-4B72-B7F9-EABA1EC1744C}"/>
    <cellStyle name="Normal 5 3 3 4 6 3" xfId="11117" xr:uid="{3CEDEB4E-E52A-4843-8ECC-8E2C65034FBB}"/>
    <cellStyle name="Normal 5 3 3 4 6 4" xfId="19565" xr:uid="{C0C407C6-50DA-44AE-91CF-0AAEFBC914B0}"/>
    <cellStyle name="Normal 5 3 3 4 7" xfId="4820" xr:uid="{00000000-0005-0000-0000-0000011A0000}"/>
    <cellStyle name="Normal 5 3 3 4 7 2" xfId="13270" xr:uid="{991EA8B6-665E-4B3F-A7E4-A708BF4784D6}"/>
    <cellStyle name="Normal 5 3 3 4 7 3" xfId="21717" xr:uid="{456F6811-DD6F-4465-95B8-D756FA83EB3D}"/>
    <cellStyle name="Normal 5 3 3 4 8" xfId="9052" xr:uid="{1E12AF0F-0BC4-4233-9631-27E6BE14A7CB}"/>
    <cellStyle name="Normal 5 3 3 4 9" xfId="17500" xr:uid="{5FBA353D-0471-4C8A-BBAE-199F80A86CA5}"/>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DAFAB580-E702-414A-840D-0F2EABE5F1DB}"/>
    <cellStyle name="Normal 5 3 3 5 2 2 3" xfId="24268" xr:uid="{064EC4D1-6E38-453F-A1D6-F979B2E01E7C}"/>
    <cellStyle name="Normal 5 3 3 5 2 3" xfId="11603" xr:uid="{B1AC3369-890F-4850-A1F0-D03B1467E73E}"/>
    <cellStyle name="Normal 5 3 3 5 2 4" xfId="20051" xr:uid="{BA539A93-17D6-42A0-8B96-0D9E6AC3B8F6}"/>
    <cellStyle name="Normal 5 3 3 5 3" xfId="5226" xr:uid="{00000000-0005-0000-0000-0000051A0000}"/>
    <cellStyle name="Normal 5 3 3 5 3 2" xfId="13676" xr:uid="{A51866D8-2318-49B3-8A1A-7D42F6E89AB0}"/>
    <cellStyle name="Normal 5 3 3 5 3 3" xfId="22123" xr:uid="{3AD16A88-F4C1-4124-A7E2-CB9EB0205CDF}"/>
    <cellStyle name="Normal 5 3 3 5 4" xfId="9458" xr:uid="{0629229A-9F61-477F-8B5B-0F466BC7D483}"/>
    <cellStyle name="Normal 5 3 3 5 5" xfId="17906" xr:uid="{C423CB1C-1CD6-4125-9C33-A808D732D33C}"/>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94F9DE52-2616-408A-A67A-31CEB3C07A50}"/>
    <cellStyle name="Normal 5 3 3 6 2 2 3" xfId="24681" xr:uid="{55ED27A8-1403-4BEC-9244-2B8C01FD926C}"/>
    <cellStyle name="Normal 5 3 3 6 2 3" xfId="12016" xr:uid="{C00A59E5-031E-41E7-92AA-85BE42A3CEC8}"/>
    <cellStyle name="Normal 5 3 3 6 2 4" xfId="20464" xr:uid="{AA21D6DF-6E57-49B2-B20D-D99E0B5C3FC9}"/>
    <cellStyle name="Normal 5 3 3 6 3" xfId="5639" xr:uid="{00000000-0005-0000-0000-0000091A0000}"/>
    <cellStyle name="Normal 5 3 3 6 3 2" xfId="14089" xr:uid="{3B5C1F76-BAB6-4FCD-B5B7-C5073ED05551}"/>
    <cellStyle name="Normal 5 3 3 6 3 3" xfId="22536" xr:uid="{FB98ABA2-5D59-4313-938B-57C4E4FD277C}"/>
    <cellStyle name="Normal 5 3 3 6 4" xfId="9871" xr:uid="{45BE3C09-699C-4D6D-8806-6C913430F4BA}"/>
    <cellStyle name="Normal 5 3 3 6 5" xfId="18319" xr:uid="{ED64E1A6-99D3-4E5F-BC52-EB672BCF6782}"/>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716A7C09-7BD8-43AE-AF63-01A455B90438}"/>
    <cellStyle name="Normal 5 3 3 7 2 2 3" xfId="25094" xr:uid="{B196FFEE-8F32-4893-BB20-6A8B060DA83F}"/>
    <cellStyle name="Normal 5 3 3 7 2 3" xfId="12429" xr:uid="{0EA2C873-F26E-4864-817F-E3E72F79615F}"/>
    <cellStyle name="Normal 5 3 3 7 2 4" xfId="20877" xr:uid="{6A54CF19-2DB5-4AE2-9C50-BE90B93ECD04}"/>
    <cellStyle name="Normal 5 3 3 7 3" xfId="6052" xr:uid="{00000000-0005-0000-0000-00000D1A0000}"/>
    <cellStyle name="Normal 5 3 3 7 3 2" xfId="14502" xr:uid="{9C7F1D22-77E7-4A26-830D-DA1E6C45C8C7}"/>
    <cellStyle name="Normal 5 3 3 7 3 3" xfId="22949" xr:uid="{79E2A704-5AEB-4D10-9872-BDB9C87CEAB8}"/>
    <cellStyle name="Normal 5 3 3 7 4" xfId="10284" xr:uid="{8726AF2E-F3DF-4991-96F1-C8B3D0E413FE}"/>
    <cellStyle name="Normal 5 3 3 7 5" xfId="18732" xr:uid="{9F3EE0ED-C2EE-4793-992E-D5786C2A985B}"/>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9CB6DFA1-1F78-44B9-93C9-B2AB9109D5B9}"/>
    <cellStyle name="Normal 5 3 3 8 2 2 3" xfId="25507" xr:uid="{62F9A54C-CC1C-4A80-A123-8F972061720F}"/>
    <cellStyle name="Normal 5 3 3 8 2 3" xfId="12842" xr:uid="{EDBF76BE-4CF2-4BAB-83A1-7868A0422E68}"/>
    <cellStyle name="Normal 5 3 3 8 2 4" xfId="21290" xr:uid="{3F6DE990-4495-4D5A-B398-8DF9CD6FE3B8}"/>
    <cellStyle name="Normal 5 3 3 8 3" xfId="6465" xr:uid="{00000000-0005-0000-0000-0000111A0000}"/>
    <cellStyle name="Normal 5 3 3 8 3 2" xfId="14915" xr:uid="{6AC5ADFA-B843-4C9F-B751-6A91E9EDCD74}"/>
    <cellStyle name="Normal 5 3 3 8 3 3" xfId="23362" xr:uid="{75054968-BA69-44D5-8380-678FA03DAC7E}"/>
    <cellStyle name="Normal 5 3 3 8 4" xfId="10697" xr:uid="{493D760A-29FC-4844-A144-F74018A78891}"/>
    <cellStyle name="Normal 5 3 3 8 5" xfId="19145" xr:uid="{9DEE23EC-E287-4FDE-B4E7-60924BD02F5C}"/>
    <cellStyle name="Normal 5 3 3 9" xfId="2595" xr:uid="{00000000-0005-0000-0000-0000121A0000}"/>
    <cellStyle name="Normal 5 3 3 9 2" xfId="6878" xr:uid="{00000000-0005-0000-0000-0000131A0000}"/>
    <cellStyle name="Normal 5 3 3 9 2 2" xfId="15328" xr:uid="{82ED542D-07C3-4F9A-9BA1-9213A440C11F}"/>
    <cellStyle name="Normal 5 3 3 9 2 3" xfId="23775" xr:uid="{1A0A9C28-1F12-4D21-9614-D1D094DC83F9}"/>
    <cellStyle name="Normal 5 3 3 9 3" xfId="11110" xr:uid="{E48B6BEE-759E-4D85-B90E-57CAC118EBBD}"/>
    <cellStyle name="Normal 5 3 3 9 4" xfId="19558" xr:uid="{7BB2F979-F6BA-410E-AB0E-E565ABA09812}"/>
    <cellStyle name="Normal 5 3 4" xfId="449" xr:uid="{00000000-0005-0000-0000-0000141A0000}"/>
    <cellStyle name="Normal 5 3 4 10" xfId="9053" xr:uid="{AE87F869-D8D5-4912-A3BE-795FD30385A3}"/>
    <cellStyle name="Normal 5 3 4 11" xfId="17501" xr:uid="{53E7CA08-D35F-4474-A300-12FD30FB1D6A}"/>
    <cellStyle name="Normal 5 3 4 2" xfId="450" xr:uid="{00000000-0005-0000-0000-0000151A0000}"/>
    <cellStyle name="Normal 5 3 4 2 10" xfId="17502" xr:uid="{78A1CBAF-2E36-48BA-B469-12BCB1D5E22D}"/>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A1E6810C-EBCD-4275-97B5-0CA83B24C541}"/>
    <cellStyle name="Normal 5 3 4 2 2 2 2 2 3" xfId="24278" xr:uid="{7A402D43-044A-4371-B0D7-81C55E533267}"/>
    <cellStyle name="Normal 5 3 4 2 2 2 2 3" xfId="11613" xr:uid="{CD1B2F3B-066F-4D7A-92D6-7AF66FDADFE8}"/>
    <cellStyle name="Normal 5 3 4 2 2 2 2 4" xfId="20061" xr:uid="{C8B9E187-AB1E-427F-BB5C-20F5EA66414A}"/>
    <cellStyle name="Normal 5 3 4 2 2 2 3" xfId="5236" xr:uid="{00000000-0005-0000-0000-00001A1A0000}"/>
    <cellStyle name="Normal 5 3 4 2 2 2 3 2" xfId="13686" xr:uid="{715D47F8-CD0F-4647-9375-1A02EDB8795C}"/>
    <cellStyle name="Normal 5 3 4 2 2 2 3 3" xfId="22133" xr:uid="{5A8EC0A1-9958-4C4F-AE68-4DC1870B9845}"/>
    <cellStyle name="Normal 5 3 4 2 2 2 4" xfId="9468" xr:uid="{9AC8A14E-D0C1-4B05-BC7C-079A40A97B10}"/>
    <cellStyle name="Normal 5 3 4 2 2 2 5" xfId="17916" xr:uid="{DABF7103-4AF2-4F15-85C2-AB2C94F8248F}"/>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8EC63874-D7D5-4CAF-A720-EB74A43DF265}"/>
    <cellStyle name="Normal 5 3 4 2 2 3 2 2 3" xfId="24691" xr:uid="{22B01E6A-D514-41B2-AC66-A24FB1BA0EF8}"/>
    <cellStyle name="Normal 5 3 4 2 2 3 2 3" xfId="12026" xr:uid="{7C9492EB-F1C7-4938-AE65-A57E59A084D1}"/>
    <cellStyle name="Normal 5 3 4 2 2 3 2 4" xfId="20474" xr:uid="{37B38627-0DBE-4D83-901B-CFC561866A67}"/>
    <cellStyle name="Normal 5 3 4 2 2 3 3" xfId="5649" xr:uid="{00000000-0005-0000-0000-00001E1A0000}"/>
    <cellStyle name="Normal 5 3 4 2 2 3 3 2" xfId="14099" xr:uid="{56291780-CA55-4F8F-AAF1-10672D59D920}"/>
    <cellStyle name="Normal 5 3 4 2 2 3 3 3" xfId="22546" xr:uid="{3F3BDB48-C3B9-4917-A04C-E1B3DF04CC4B}"/>
    <cellStyle name="Normal 5 3 4 2 2 3 4" xfId="9881" xr:uid="{EDA3110F-11A7-4138-B38A-FCE416BA6ECD}"/>
    <cellStyle name="Normal 5 3 4 2 2 3 5" xfId="18329" xr:uid="{E0A95927-25EF-4C8F-B1ED-0C45170AF784}"/>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DF31372A-7E30-4DEA-B542-F2A203D4FD19}"/>
    <cellStyle name="Normal 5 3 4 2 2 4 2 2 3" xfId="25104" xr:uid="{9C99F803-09C7-40F4-9C6A-AA61055CEF9A}"/>
    <cellStyle name="Normal 5 3 4 2 2 4 2 3" xfId="12439" xr:uid="{2F611B8C-66CD-440A-BE2B-CF4605DEEA9B}"/>
    <cellStyle name="Normal 5 3 4 2 2 4 2 4" xfId="20887" xr:uid="{F31440F6-9C0A-4731-8669-5C9A309D9568}"/>
    <cellStyle name="Normal 5 3 4 2 2 4 3" xfId="6062" xr:uid="{00000000-0005-0000-0000-0000221A0000}"/>
    <cellStyle name="Normal 5 3 4 2 2 4 3 2" xfId="14512" xr:uid="{7DBFA3BF-B1F1-4424-ACF7-01327951FE7E}"/>
    <cellStyle name="Normal 5 3 4 2 2 4 3 3" xfId="22959" xr:uid="{10F7D4A0-5C24-4610-8BBC-93B69D42D660}"/>
    <cellStyle name="Normal 5 3 4 2 2 4 4" xfId="10294" xr:uid="{FE0790D7-A7DF-40AB-A887-B5504F6BF86A}"/>
    <cellStyle name="Normal 5 3 4 2 2 4 5" xfId="18742" xr:uid="{69EC3963-21D9-4858-8C00-72BCA5EA7C59}"/>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79499023-5984-4925-BEBF-5550A7476D2B}"/>
    <cellStyle name="Normal 5 3 4 2 2 5 2 2 3" xfId="25517" xr:uid="{CB5F2BDC-5FD1-496A-BB4B-161FCE269529}"/>
    <cellStyle name="Normal 5 3 4 2 2 5 2 3" xfId="12852" xr:uid="{BAA4858E-EA13-4E45-A253-7C270A65CAC6}"/>
    <cellStyle name="Normal 5 3 4 2 2 5 2 4" xfId="21300" xr:uid="{D6504D5E-28C8-400D-8B3E-8E2C2165C7E9}"/>
    <cellStyle name="Normal 5 3 4 2 2 5 3" xfId="6475" xr:uid="{00000000-0005-0000-0000-0000261A0000}"/>
    <cellStyle name="Normal 5 3 4 2 2 5 3 2" xfId="14925" xr:uid="{5A36BF2D-15DD-4044-834C-1B7AAA021C4C}"/>
    <cellStyle name="Normal 5 3 4 2 2 5 3 3" xfId="23372" xr:uid="{642456F5-F061-4E73-99A5-B5C451DB785E}"/>
    <cellStyle name="Normal 5 3 4 2 2 5 4" xfId="10707" xr:uid="{10A9741D-1B41-45AC-A5BA-36AA8CB18486}"/>
    <cellStyle name="Normal 5 3 4 2 2 5 5" xfId="19155" xr:uid="{46CFF9E5-7B65-4BE4-8D63-B0F034E681AC}"/>
    <cellStyle name="Normal 5 3 4 2 2 6" xfId="2605" xr:uid="{00000000-0005-0000-0000-0000271A0000}"/>
    <cellStyle name="Normal 5 3 4 2 2 6 2" xfId="6888" xr:uid="{00000000-0005-0000-0000-0000281A0000}"/>
    <cellStyle name="Normal 5 3 4 2 2 6 2 2" xfId="15338" xr:uid="{483A3956-EB41-4EBD-92E0-C3E62CB1C011}"/>
    <cellStyle name="Normal 5 3 4 2 2 6 2 3" xfId="23785" xr:uid="{2A616BC5-6CD2-4C5E-ADFA-39C117C1DB52}"/>
    <cellStyle name="Normal 5 3 4 2 2 6 3" xfId="11120" xr:uid="{B5ADDFEF-9F5C-4AED-860D-67F60C0B8AB9}"/>
    <cellStyle name="Normal 5 3 4 2 2 6 4" xfId="19568" xr:uid="{534712E2-483E-4347-9318-35D5693D2079}"/>
    <cellStyle name="Normal 5 3 4 2 2 7" xfId="4823" xr:uid="{00000000-0005-0000-0000-0000291A0000}"/>
    <cellStyle name="Normal 5 3 4 2 2 7 2" xfId="13273" xr:uid="{7953ADB3-31A0-43EF-B793-71B072D2A80C}"/>
    <cellStyle name="Normal 5 3 4 2 2 7 3" xfId="21720" xr:uid="{CD91785D-2ABA-4467-8435-2FEB1E962778}"/>
    <cellStyle name="Normal 5 3 4 2 2 8" xfId="9055" xr:uid="{AFF38702-EC1E-416A-A075-16DA77863B6B}"/>
    <cellStyle name="Normal 5 3 4 2 2 9" xfId="17503" xr:uid="{7BCD30A4-FFC8-4AF9-B934-F23C0EC8EBFF}"/>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A41D9F0D-DA39-47DE-A689-A1C467C6392F}"/>
    <cellStyle name="Normal 5 3 4 2 3 2 2 3" xfId="24277" xr:uid="{5950C1B8-8FC5-4D41-BFF3-0ABF3831F2C7}"/>
    <cellStyle name="Normal 5 3 4 2 3 2 3" xfId="11612" xr:uid="{7CA2861B-5FD5-4E09-A58D-009A25347FE1}"/>
    <cellStyle name="Normal 5 3 4 2 3 2 4" xfId="20060" xr:uid="{97910280-AF9E-46D4-ACDA-B8440BEAB8FD}"/>
    <cellStyle name="Normal 5 3 4 2 3 3" xfId="5235" xr:uid="{00000000-0005-0000-0000-00002D1A0000}"/>
    <cellStyle name="Normal 5 3 4 2 3 3 2" xfId="13685" xr:uid="{47391301-09D0-444F-B62F-09D06B6A25C4}"/>
    <cellStyle name="Normal 5 3 4 2 3 3 3" xfId="22132" xr:uid="{6916CBF1-6B7D-4EB7-AC93-5944204E0020}"/>
    <cellStyle name="Normal 5 3 4 2 3 4" xfId="9467" xr:uid="{D82DEA87-0F86-4260-8CBC-EE6D9796D63D}"/>
    <cellStyle name="Normal 5 3 4 2 3 5" xfId="17915" xr:uid="{843D9425-4493-4852-AEB0-EF94FE634AD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7611C94-1995-44FF-9BDD-14D14EEAD4B1}"/>
    <cellStyle name="Normal 5 3 4 2 4 2 2 3" xfId="24690" xr:uid="{433052D4-552E-4B9F-8ACC-E274C6991301}"/>
    <cellStyle name="Normal 5 3 4 2 4 2 3" xfId="12025" xr:uid="{32DD2A6E-FA75-4AB8-ABF4-E6DD2BF46237}"/>
    <cellStyle name="Normal 5 3 4 2 4 2 4" xfId="20473" xr:uid="{768D00C8-37D9-4BC8-926F-852A66634040}"/>
    <cellStyle name="Normal 5 3 4 2 4 3" xfId="5648" xr:uid="{00000000-0005-0000-0000-0000311A0000}"/>
    <cellStyle name="Normal 5 3 4 2 4 3 2" xfId="14098" xr:uid="{E48BE96B-6727-4D1C-AAE7-B8171A16B7E1}"/>
    <cellStyle name="Normal 5 3 4 2 4 3 3" xfId="22545" xr:uid="{ED9B8C90-4780-43FF-B361-31F61101E122}"/>
    <cellStyle name="Normal 5 3 4 2 4 4" xfId="9880" xr:uid="{7A1F3334-8858-4731-A9EE-AD2EC106F2B7}"/>
    <cellStyle name="Normal 5 3 4 2 4 5" xfId="18328" xr:uid="{E0689A35-EB2D-4105-B3EE-9694B5FC1120}"/>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A4AE2CDB-D5AC-4B45-8409-36F29323951E}"/>
    <cellStyle name="Normal 5 3 4 2 5 2 2 3" xfId="25103" xr:uid="{40C654B4-3C3F-461A-8449-BC4F89AF388F}"/>
    <cellStyle name="Normal 5 3 4 2 5 2 3" xfId="12438" xr:uid="{36336B92-794E-4727-91CB-8B17ADE1CFD9}"/>
    <cellStyle name="Normal 5 3 4 2 5 2 4" xfId="20886" xr:uid="{3939AB9D-4D92-41BC-9CFA-E086A8E6DD01}"/>
    <cellStyle name="Normal 5 3 4 2 5 3" xfId="6061" xr:uid="{00000000-0005-0000-0000-0000351A0000}"/>
    <cellStyle name="Normal 5 3 4 2 5 3 2" xfId="14511" xr:uid="{1BD12EE0-61DB-4F91-B2EA-BA79F1B4FE0B}"/>
    <cellStyle name="Normal 5 3 4 2 5 3 3" xfId="22958" xr:uid="{42276BEE-2CE6-401F-A969-0C22687B8F9F}"/>
    <cellStyle name="Normal 5 3 4 2 5 4" xfId="10293" xr:uid="{A9A68DE0-4322-4D97-8949-885DFFB9114C}"/>
    <cellStyle name="Normal 5 3 4 2 5 5" xfId="18741" xr:uid="{DA6A0D8D-3C52-4DB1-9F66-BF01E7C7A68C}"/>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4B9DB34-608B-4BBF-AB17-75D138361EA1}"/>
    <cellStyle name="Normal 5 3 4 2 6 2 2 3" xfId="25516" xr:uid="{C3024F3E-8B53-4FF4-8A20-9EE54EE91651}"/>
    <cellStyle name="Normal 5 3 4 2 6 2 3" xfId="12851" xr:uid="{A812D00D-F752-4F1C-9E73-D0FC9C684700}"/>
    <cellStyle name="Normal 5 3 4 2 6 2 4" xfId="21299" xr:uid="{05A5BE18-75D8-454E-B2FF-38D7FC61D820}"/>
    <cellStyle name="Normal 5 3 4 2 6 3" xfId="6474" xr:uid="{00000000-0005-0000-0000-0000391A0000}"/>
    <cellStyle name="Normal 5 3 4 2 6 3 2" xfId="14924" xr:uid="{73EFD920-759F-46B3-8C0B-920C64D26239}"/>
    <cellStyle name="Normal 5 3 4 2 6 3 3" xfId="23371" xr:uid="{2B3B894D-6F33-4173-9691-E03F11EFED39}"/>
    <cellStyle name="Normal 5 3 4 2 6 4" xfId="10706" xr:uid="{DE4A3979-6D89-44E9-B258-587F77897D41}"/>
    <cellStyle name="Normal 5 3 4 2 6 5" xfId="19154" xr:uid="{37AD065F-9AE4-472D-B51B-244A4B4E411B}"/>
    <cellStyle name="Normal 5 3 4 2 7" xfId="2604" xr:uid="{00000000-0005-0000-0000-00003A1A0000}"/>
    <cellStyle name="Normal 5 3 4 2 7 2" xfId="6887" xr:uid="{00000000-0005-0000-0000-00003B1A0000}"/>
    <cellStyle name="Normal 5 3 4 2 7 2 2" xfId="15337" xr:uid="{5B2ECECB-C3A0-4D06-BAE4-E7149F73DD3D}"/>
    <cellStyle name="Normal 5 3 4 2 7 2 3" xfId="23784" xr:uid="{8FAEAB3D-174D-4308-B4EA-614402227E6A}"/>
    <cellStyle name="Normal 5 3 4 2 7 3" xfId="11119" xr:uid="{DEC23FC7-A3AD-4326-A444-B6698E5C7E31}"/>
    <cellStyle name="Normal 5 3 4 2 7 4" xfId="19567" xr:uid="{4BAB69C7-7700-4182-9235-6854DBE9E878}"/>
    <cellStyle name="Normal 5 3 4 2 8" xfId="4822" xr:uid="{00000000-0005-0000-0000-00003C1A0000}"/>
    <cellStyle name="Normal 5 3 4 2 8 2" xfId="13272" xr:uid="{49D694A4-CC76-4590-B36C-778F4B9C80C7}"/>
    <cellStyle name="Normal 5 3 4 2 8 3" xfId="21719" xr:uid="{7D25FB9D-D2C0-4B0A-AB7D-9A42E474F00B}"/>
    <cellStyle name="Normal 5 3 4 2 9" xfId="9054" xr:uid="{8F6D85F9-4C67-4624-A6B1-F320E510664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4E68CE1F-D61B-4EC1-8C83-89322E04BEA8}"/>
    <cellStyle name="Normal 5 3 4 3 2 2 2 3" xfId="24279" xr:uid="{C5C3EB00-6B15-4E59-AE45-DEA1094AEE78}"/>
    <cellStyle name="Normal 5 3 4 3 2 2 3" xfId="11614" xr:uid="{FEEBA355-4196-436B-A7AF-65D49B75124A}"/>
    <cellStyle name="Normal 5 3 4 3 2 2 4" xfId="20062" xr:uid="{9EB09980-942E-4EF2-9644-37ACDEC78FD6}"/>
    <cellStyle name="Normal 5 3 4 3 2 3" xfId="5237" xr:uid="{00000000-0005-0000-0000-0000411A0000}"/>
    <cellStyle name="Normal 5 3 4 3 2 3 2" xfId="13687" xr:uid="{0A8DDEE5-9FC7-4815-BD90-9F2946454E83}"/>
    <cellStyle name="Normal 5 3 4 3 2 3 3" xfId="22134" xr:uid="{7AD90C2E-27F7-4624-9FB1-C37F551D227C}"/>
    <cellStyle name="Normal 5 3 4 3 2 4" xfId="9469" xr:uid="{DC31A190-A77E-45AF-B871-B8BD0EFA0A71}"/>
    <cellStyle name="Normal 5 3 4 3 2 5" xfId="17917" xr:uid="{2EBFE172-1F74-468C-96C1-943785848BE4}"/>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487F2D6B-34CF-43DA-9D7E-6915F35FA76F}"/>
    <cellStyle name="Normal 5 3 4 3 3 2 2 3" xfId="24692" xr:uid="{FE1EF955-E2CE-47E0-85FE-F15457BDBD4F}"/>
    <cellStyle name="Normal 5 3 4 3 3 2 3" xfId="12027" xr:uid="{84F1B297-9B17-4C24-A332-42B51030ED67}"/>
    <cellStyle name="Normal 5 3 4 3 3 2 4" xfId="20475" xr:uid="{A4347542-88A9-481D-8127-60E0E17C3A23}"/>
    <cellStyle name="Normal 5 3 4 3 3 3" xfId="5650" xr:uid="{00000000-0005-0000-0000-0000451A0000}"/>
    <cellStyle name="Normal 5 3 4 3 3 3 2" xfId="14100" xr:uid="{38FB2AD9-077F-45A3-A183-7E07AF1D3956}"/>
    <cellStyle name="Normal 5 3 4 3 3 3 3" xfId="22547" xr:uid="{5218EF47-7EBD-4488-AC47-1F16E5EF8EE6}"/>
    <cellStyle name="Normal 5 3 4 3 3 4" xfId="9882" xr:uid="{BEEEA50C-C53E-4EE1-9B36-C284BE31F93E}"/>
    <cellStyle name="Normal 5 3 4 3 3 5" xfId="18330" xr:uid="{98A80887-FFC5-4E53-8814-24796ECC13D5}"/>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2E7EC226-8B64-4250-B075-2D2293E1699F}"/>
    <cellStyle name="Normal 5 3 4 3 4 2 2 3" xfId="25105" xr:uid="{025310F0-013B-4928-B126-1ED68AA3FB33}"/>
    <cellStyle name="Normal 5 3 4 3 4 2 3" xfId="12440" xr:uid="{18848E97-B0CF-41E0-9725-FED94D40D8B1}"/>
    <cellStyle name="Normal 5 3 4 3 4 2 4" xfId="20888" xr:uid="{48EA1040-D980-4089-AC6E-7C8F72880248}"/>
    <cellStyle name="Normal 5 3 4 3 4 3" xfId="6063" xr:uid="{00000000-0005-0000-0000-0000491A0000}"/>
    <cellStyle name="Normal 5 3 4 3 4 3 2" xfId="14513" xr:uid="{ED761241-053D-47AC-952F-57027F88A21A}"/>
    <cellStyle name="Normal 5 3 4 3 4 3 3" xfId="22960" xr:uid="{C0290796-7C03-4C61-8130-F4BD4425AA27}"/>
    <cellStyle name="Normal 5 3 4 3 4 4" xfId="10295" xr:uid="{DFD5FDDF-9476-427C-9C70-A9F2924CDF64}"/>
    <cellStyle name="Normal 5 3 4 3 4 5" xfId="18743" xr:uid="{3E90BD6D-1E83-4888-9A1A-A83271EC374B}"/>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0A7ABC6C-23C2-4185-A9AC-BBD87BE201DA}"/>
    <cellStyle name="Normal 5 3 4 3 5 2 2 3" xfId="25518" xr:uid="{273EF3A9-63DD-46F1-B16C-6A22BF82E44E}"/>
    <cellStyle name="Normal 5 3 4 3 5 2 3" xfId="12853" xr:uid="{FBD125B6-E73D-4342-BA42-0DAEE2F79BA2}"/>
    <cellStyle name="Normal 5 3 4 3 5 2 4" xfId="21301" xr:uid="{8D84A719-80F9-456D-973B-9AB79F8C02A5}"/>
    <cellStyle name="Normal 5 3 4 3 5 3" xfId="6476" xr:uid="{00000000-0005-0000-0000-00004D1A0000}"/>
    <cellStyle name="Normal 5 3 4 3 5 3 2" xfId="14926" xr:uid="{78C53F74-4563-4DB0-B2B0-3FAF1BA3395D}"/>
    <cellStyle name="Normal 5 3 4 3 5 3 3" xfId="23373" xr:uid="{D897AE0F-3780-45C7-9DA2-3531E42B74DB}"/>
    <cellStyle name="Normal 5 3 4 3 5 4" xfId="10708" xr:uid="{298C1FEF-28E4-4B61-9605-F4C43D641812}"/>
    <cellStyle name="Normal 5 3 4 3 5 5" xfId="19156" xr:uid="{E88C2375-8E42-495D-BE2D-209ED7261247}"/>
    <cellStyle name="Normal 5 3 4 3 6" xfId="2606" xr:uid="{00000000-0005-0000-0000-00004E1A0000}"/>
    <cellStyle name="Normal 5 3 4 3 6 2" xfId="6889" xr:uid="{00000000-0005-0000-0000-00004F1A0000}"/>
    <cellStyle name="Normal 5 3 4 3 6 2 2" xfId="15339" xr:uid="{23FDB973-253A-4AC4-AC71-12EED6799725}"/>
    <cellStyle name="Normal 5 3 4 3 6 2 3" xfId="23786" xr:uid="{736CD6E8-A1B5-4964-A56B-7FD92C8A5B60}"/>
    <cellStyle name="Normal 5 3 4 3 6 3" xfId="11121" xr:uid="{7B6A9E21-9AD0-43AF-8C28-D85F376FD37F}"/>
    <cellStyle name="Normal 5 3 4 3 6 4" xfId="19569" xr:uid="{7919B9E6-6D09-4358-953D-6FF8A83687AE}"/>
    <cellStyle name="Normal 5 3 4 3 7" xfId="4824" xr:uid="{00000000-0005-0000-0000-0000501A0000}"/>
    <cellStyle name="Normal 5 3 4 3 7 2" xfId="13274" xr:uid="{568D79BE-014A-48B8-BF92-98AC1AFFEAF7}"/>
    <cellStyle name="Normal 5 3 4 3 7 3" xfId="21721" xr:uid="{1564DE8E-6B1D-4081-AFC8-AB6ED75D94E4}"/>
    <cellStyle name="Normal 5 3 4 3 8" xfId="9056" xr:uid="{065E2D7E-2DF2-4CA3-AF21-0EDF067E90D7}"/>
    <cellStyle name="Normal 5 3 4 3 9" xfId="17504" xr:uid="{71CD06EB-CC30-400C-B4A5-B6ECCF2B1470}"/>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F874FCC-AD47-4B7D-8C3F-641F7308C235}"/>
    <cellStyle name="Normal 5 3 4 4 2 2 3" xfId="24276" xr:uid="{58A93CB3-9AF1-4FF1-9C4D-B786F591AF05}"/>
    <cellStyle name="Normal 5 3 4 4 2 3" xfId="11611" xr:uid="{615E30AD-100B-4263-9B76-C8D7A5FE6EAE}"/>
    <cellStyle name="Normal 5 3 4 4 2 4" xfId="20059" xr:uid="{05BC651C-6242-406E-8EFB-5A08E84499B4}"/>
    <cellStyle name="Normal 5 3 4 4 3" xfId="5234" xr:uid="{00000000-0005-0000-0000-0000541A0000}"/>
    <cellStyle name="Normal 5 3 4 4 3 2" xfId="13684" xr:uid="{D01B6A69-64E1-4097-847A-AF5911FFB6E6}"/>
    <cellStyle name="Normal 5 3 4 4 3 3" xfId="22131" xr:uid="{B389B491-40B0-4E5A-98E9-61CABD8CAE8E}"/>
    <cellStyle name="Normal 5 3 4 4 4" xfId="9466" xr:uid="{A48BC0A3-E49A-429A-AF02-9FCCF63E1B30}"/>
    <cellStyle name="Normal 5 3 4 4 5" xfId="17914" xr:uid="{8C5A7AFF-3385-4C07-8FC3-ED1A4BA8F3F2}"/>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53243446-EB4E-4EBB-A72D-C15AE365714F}"/>
    <cellStyle name="Normal 5 3 4 5 2 2 3" xfId="24689" xr:uid="{6B68105B-690D-4DCA-A4D7-620E9D49675C}"/>
    <cellStyle name="Normal 5 3 4 5 2 3" xfId="12024" xr:uid="{77EC9EBD-8E65-466F-B1EC-06D65ACA4601}"/>
    <cellStyle name="Normal 5 3 4 5 2 4" xfId="20472" xr:uid="{E568BE11-217D-453E-8EED-2B08D3C69E03}"/>
    <cellStyle name="Normal 5 3 4 5 3" xfId="5647" xr:uid="{00000000-0005-0000-0000-0000581A0000}"/>
    <cellStyle name="Normal 5 3 4 5 3 2" xfId="14097" xr:uid="{66068936-E5D0-4401-B29F-B7148C14DD05}"/>
    <cellStyle name="Normal 5 3 4 5 3 3" xfId="22544" xr:uid="{FB385480-104E-4BAE-A4DC-9A0CC200DEE1}"/>
    <cellStyle name="Normal 5 3 4 5 4" xfId="9879" xr:uid="{6054C7B6-BF19-4004-B627-9DE16F18EA6E}"/>
    <cellStyle name="Normal 5 3 4 5 5" xfId="18327" xr:uid="{BC20709B-31EA-44A8-9CEE-8FE33FFE77BB}"/>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7CA123E9-C301-4519-8D29-7C28A2424FAA}"/>
    <cellStyle name="Normal 5 3 4 6 2 2 3" xfId="25102" xr:uid="{7EE732FC-AF44-47A0-8A3D-A8DA9AD2010F}"/>
    <cellStyle name="Normal 5 3 4 6 2 3" xfId="12437" xr:uid="{8C402029-9A91-45BF-94F4-A3ED7E5F0A4C}"/>
    <cellStyle name="Normal 5 3 4 6 2 4" xfId="20885" xr:uid="{C9745879-0500-4FD5-AA7F-E1F3A1E5A9E6}"/>
    <cellStyle name="Normal 5 3 4 6 3" xfId="6060" xr:uid="{00000000-0005-0000-0000-00005C1A0000}"/>
    <cellStyle name="Normal 5 3 4 6 3 2" xfId="14510" xr:uid="{12C321D7-D04B-4DD8-A589-82EED6765B01}"/>
    <cellStyle name="Normal 5 3 4 6 3 3" xfId="22957" xr:uid="{F3903617-39A9-4254-ABAC-099149901033}"/>
    <cellStyle name="Normal 5 3 4 6 4" xfId="10292" xr:uid="{5B88AF4C-EC54-4952-A608-241225165CF3}"/>
    <cellStyle name="Normal 5 3 4 6 5" xfId="18740" xr:uid="{5BE651C1-BC30-4E13-BCAA-CF66FAA4A3A4}"/>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A57652D7-26F7-4331-8AFC-D9FE89D92777}"/>
    <cellStyle name="Normal 5 3 4 7 2 2 3" xfId="25515" xr:uid="{F6F616E5-FCC1-4022-AD65-9DF90B5B5276}"/>
    <cellStyle name="Normal 5 3 4 7 2 3" xfId="12850" xr:uid="{BD64FE7B-54D2-4D1E-8138-2BBEF15082B7}"/>
    <cellStyle name="Normal 5 3 4 7 2 4" xfId="21298" xr:uid="{BB420182-84A3-4318-B17A-DFFAC22CB16B}"/>
    <cellStyle name="Normal 5 3 4 7 3" xfId="6473" xr:uid="{00000000-0005-0000-0000-0000601A0000}"/>
    <cellStyle name="Normal 5 3 4 7 3 2" xfId="14923" xr:uid="{65639EB5-8DA4-48B8-AA91-16DD593730C6}"/>
    <cellStyle name="Normal 5 3 4 7 3 3" xfId="23370" xr:uid="{ED912B35-BD41-44CE-AAA4-5688A0787459}"/>
    <cellStyle name="Normal 5 3 4 7 4" xfId="10705" xr:uid="{A6479B66-CADC-4C4A-A406-5BDB2B4DBEBE}"/>
    <cellStyle name="Normal 5 3 4 7 5" xfId="19153" xr:uid="{66048D1C-A8A7-4E69-9784-282EE212A67E}"/>
    <cellStyle name="Normal 5 3 4 8" xfId="2603" xr:uid="{00000000-0005-0000-0000-0000611A0000}"/>
    <cellStyle name="Normal 5 3 4 8 2" xfId="6886" xr:uid="{00000000-0005-0000-0000-0000621A0000}"/>
    <cellStyle name="Normal 5 3 4 8 2 2" xfId="15336" xr:uid="{E353051A-C399-4077-92DC-D27D82684D52}"/>
    <cellStyle name="Normal 5 3 4 8 2 3" xfId="23783" xr:uid="{3B509396-FA01-4600-AA83-308B4EA01410}"/>
    <cellStyle name="Normal 5 3 4 8 3" xfId="11118" xr:uid="{837DA5EB-547C-46E0-8CAE-53AF2E77EF90}"/>
    <cellStyle name="Normal 5 3 4 8 4" xfId="19566" xr:uid="{06CBB65E-369A-417C-883A-29EF1B59E1D1}"/>
    <cellStyle name="Normal 5 3 4 9" xfId="4821" xr:uid="{00000000-0005-0000-0000-0000631A0000}"/>
    <cellStyle name="Normal 5 3 4 9 2" xfId="13271" xr:uid="{1CB1736B-0E16-46CD-8401-E53046879A5C}"/>
    <cellStyle name="Normal 5 3 4 9 3" xfId="21718" xr:uid="{47604BC4-B39D-4DBD-81B2-68B7F38540A6}"/>
    <cellStyle name="Normal 5 3 5" xfId="453" xr:uid="{00000000-0005-0000-0000-0000641A0000}"/>
    <cellStyle name="Normal 5 3 5 10" xfId="17505" xr:uid="{A36B7DA9-5076-4311-9B54-550F0738BC0A}"/>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2EF11633-BCD4-4DE1-9B68-86E73CB9A605}"/>
    <cellStyle name="Normal 5 3 5 2 2 2 2 3" xfId="24281" xr:uid="{DE603C3A-85C8-4902-AE8C-09DEC1128427}"/>
    <cellStyle name="Normal 5 3 5 2 2 2 3" xfId="11616" xr:uid="{6C56DF95-2301-46B9-B1F0-DC65D0FDC07F}"/>
    <cellStyle name="Normal 5 3 5 2 2 2 4" xfId="20064" xr:uid="{FB4549FA-9F9D-473B-976C-38E2C8E447EC}"/>
    <cellStyle name="Normal 5 3 5 2 2 3" xfId="5239" xr:uid="{00000000-0005-0000-0000-0000691A0000}"/>
    <cellStyle name="Normal 5 3 5 2 2 3 2" xfId="13689" xr:uid="{A94D48B7-72F4-4F17-AA85-7F780DAC2D8D}"/>
    <cellStyle name="Normal 5 3 5 2 2 3 3" xfId="22136" xr:uid="{ED3DFB54-6C76-44EC-878A-D0664F42BE38}"/>
    <cellStyle name="Normal 5 3 5 2 2 4" xfId="9471" xr:uid="{3500A2D2-FBEA-4E0D-9C71-8B83B1243D05}"/>
    <cellStyle name="Normal 5 3 5 2 2 5" xfId="17919" xr:uid="{E9B2EC7E-BAB5-4198-B0F5-23A162D4CED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575397EB-FFC4-485B-9887-0DB282B1661C}"/>
    <cellStyle name="Normal 5 3 5 2 3 2 2 3" xfId="24694" xr:uid="{F1F70A03-583E-459D-B7A7-67C90626E6F6}"/>
    <cellStyle name="Normal 5 3 5 2 3 2 3" xfId="12029" xr:uid="{27EB0050-EB6B-40A1-9DC6-61067618EAC4}"/>
    <cellStyle name="Normal 5 3 5 2 3 2 4" xfId="20477" xr:uid="{3FE7CAA6-01D4-4505-9404-ABBC854F9A0F}"/>
    <cellStyle name="Normal 5 3 5 2 3 3" xfId="5652" xr:uid="{00000000-0005-0000-0000-00006D1A0000}"/>
    <cellStyle name="Normal 5 3 5 2 3 3 2" xfId="14102" xr:uid="{6E4A88EB-61BE-480C-912B-24436F23465B}"/>
    <cellStyle name="Normal 5 3 5 2 3 3 3" xfId="22549" xr:uid="{BD0D6A5B-C236-4B61-9BE9-D2C08D5E6CD7}"/>
    <cellStyle name="Normal 5 3 5 2 3 4" xfId="9884" xr:uid="{B362D4D3-7F03-4AC5-98BF-D1C7966155CB}"/>
    <cellStyle name="Normal 5 3 5 2 3 5" xfId="18332" xr:uid="{962C658E-A129-48CB-99C5-FECD94651489}"/>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F05F6AB2-33C3-4C4C-BF0B-B09E19091656}"/>
    <cellStyle name="Normal 5 3 5 2 4 2 2 3" xfId="25107" xr:uid="{4EBB8744-E922-467E-BCFF-143E98860AF4}"/>
    <cellStyle name="Normal 5 3 5 2 4 2 3" xfId="12442" xr:uid="{2FF06625-3331-442D-A05B-585FC2C37913}"/>
    <cellStyle name="Normal 5 3 5 2 4 2 4" xfId="20890" xr:uid="{6CDE1C75-101C-410C-8EDD-871C4AC72134}"/>
    <cellStyle name="Normal 5 3 5 2 4 3" xfId="6065" xr:uid="{00000000-0005-0000-0000-0000711A0000}"/>
    <cellStyle name="Normal 5 3 5 2 4 3 2" xfId="14515" xr:uid="{C39BBD7E-E71C-4716-BF59-B888B1D2B49E}"/>
    <cellStyle name="Normal 5 3 5 2 4 3 3" xfId="22962" xr:uid="{FC635CB7-C617-48DA-B2B6-686B00FFBD92}"/>
    <cellStyle name="Normal 5 3 5 2 4 4" xfId="10297" xr:uid="{01046CC0-A927-4819-ABF1-CBFD262DD203}"/>
    <cellStyle name="Normal 5 3 5 2 4 5" xfId="18745" xr:uid="{0370FD78-EF03-47F9-AAA6-EA2926250688}"/>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7FF95B39-4A14-4A76-BC58-9CF6D921804B}"/>
    <cellStyle name="Normal 5 3 5 2 5 2 2 3" xfId="25520" xr:uid="{489511ED-1C2F-4BC6-B603-F3C9C78BFE16}"/>
    <cellStyle name="Normal 5 3 5 2 5 2 3" xfId="12855" xr:uid="{732DC290-D5CC-4B59-946E-ACDFB2715843}"/>
    <cellStyle name="Normal 5 3 5 2 5 2 4" xfId="21303" xr:uid="{1F04C2BF-E4D8-44FB-8B5C-A7CEECD0AB86}"/>
    <cellStyle name="Normal 5 3 5 2 5 3" xfId="6478" xr:uid="{00000000-0005-0000-0000-0000751A0000}"/>
    <cellStyle name="Normal 5 3 5 2 5 3 2" xfId="14928" xr:uid="{719DB521-1228-4F06-A10F-150FF830EFF9}"/>
    <cellStyle name="Normal 5 3 5 2 5 3 3" xfId="23375" xr:uid="{8D104489-B155-4BF3-8AF2-53EE43AFE1CB}"/>
    <cellStyle name="Normal 5 3 5 2 5 4" xfId="10710" xr:uid="{E833952B-FE8B-4133-B474-CFA65C499DB4}"/>
    <cellStyle name="Normal 5 3 5 2 5 5" xfId="19158" xr:uid="{A70F2DA5-FB05-4446-8023-6027A88BE38A}"/>
    <cellStyle name="Normal 5 3 5 2 6" xfId="2608" xr:uid="{00000000-0005-0000-0000-0000761A0000}"/>
    <cellStyle name="Normal 5 3 5 2 6 2" xfId="6891" xr:uid="{00000000-0005-0000-0000-0000771A0000}"/>
    <cellStyle name="Normal 5 3 5 2 6 2 2" xfId="15341" xr:uid="{6BF61A95-9EDC-46E2-BA58-1E517BFBC044}"/>
    <cellStyle name="Normal 5 3 5 2 6 2 3" xfId="23788" xr:uid="{7BFF8D63-602A-4E02-A43C-86D91A9DD287}"/>
    <cellStyle name="Normal 5 3 5 2 6 3" xfId="11123" xr:uid="{9632D4C5-39F0-4B08-9C95-81CFE5F08772}"/>
    <cellStyle name="Normal 5 3 5 2 6 4" xfId="19571" xr:uid="{4C90B26B-C763-4CBA-83A6-724FD2253615}"/>
    <cellStyle name="Normal 5 3 5 2 7" xfId="4826" xr:uid="{00000000-0005-0000-0000-0000781A0000}"/>
    <cellStyle name="Normal 5 3 5 2 7 2" xfId="13276" xr:uid="{0773CF26-1C91-4F22-AE3E-DFFA3CBFC635}"/>
    <cellStyle name="Normal 5 3 5 2 7 3" xfId="21723" xr:uid="{1CE662FE-323A-4C18-AD52-62BF3ED9F757}"/>
    <cellStyle name="Normal 5 3 5 2 8" xfId="9058" xr:uid="{B9B0F635-17BB-4AE8-9AD1-D485831D7651}"/>
    <cellStyle name="Normal 5 3 5 2 9" xfId="17506" xr:uid="{25BBF474-DB3A-4AEC-A485-3DB8D009F5B7}"/>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522BE8AA-BE47-4851-A144-0EA43A31191B}"/>
    <cellStyle name="Normal 5 3 5 3 2 2 3" xfId="24280" xr:uid="{6E5B81C1-4715-4F1C-8F7D-6227715680CF}"/>
    <cellStyle name="Normal 5 3 5 3 2 3" xfId="11615" xr:uid="{FAEFE4B0-7C4A-4769-9FD2-167D944044D2}"/>
    <cellStyle name="Normal 5 3 5 3 2 4" xfId="20063" xr:uid="{8D1A8FC2-E2FA-4394-98B9-6EDF03D8DC0B}"/>
    <cellStyle name="Normal 5 3 5 3 3" xfId="5238" xr:uid="{00000000-0005-0000-0000-00007C1A0000}"/>
    <cellStyle name="Normal 5 3 5 3 3 2" xfId="13688" xr:uid="{7625314D-42AA-4E9F-8A86-2B078056F289}"/>
    <cellStyle name="Normal 5 3 5 3 3 3" xfId="22135" xr:uid="{160E6989-95D3-4F87-8B91-569E24C9A15A}"/>
    <cellStyle name="Normal 5 3 5 3 4" xfId="9470" xr:uid="{F42FB5FF-7B42-4407-B6B3-C791101A101C}"/>
    <cellStyle name="Normal 5 3 5 3 5" xfId="17918" xr:uid="{E4C43EBF-0252-483A-88F7-5668CBB7DA4D}"/>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781FC987-7A7B-45C3-8A43-98DB27B7DD8C}"/>
    <cellStyle name="Normal 5 3 5 4 2 2 3" xfId="24693" xr:uid="{D270EB22-4504-42ED-B811-3EAC36D7387E}"/>
    <cellStyle name="Normal 5 3 5 4 2 3" xfId="12028" xr:uid="{7B172FA3-D614-4043-92D9-6A0F8138CAE6}"/>
    <cellStyle name="Normal 5 3 5 4 2 4" xfId="20476" xr:uid="{9333DB97-D488-48E3-958F-0DE70B4CD485}"/>
    <cellStyle name="Normal 5 3 5 4 3" xfId="5651" xr:uid="{00000000-0005-0000-0000-0000801A0000}"/>
    <cellStyle name="Normal 5 3 5 4 3 2" xfId="14101" xr:uid="{0FDF3AC2-82A4-46AE-92C8-93E6524AA6D6}"/>
    <cellStyle name="Normal 5 3 5 4 3 3" xfId="22548" xr:uid="{16EE5FF5-AD52-41C4-BBD1-11D2255A865F}"/>
    <cellStyle name="Normal 5 3 5 4 4" xfId="9883" xr:uid="{7AF91E75-F41D-421C-A016-B647093022CC}"/>
    <cellStyle name="Normal 5 3 5 4 5" xfId="18331" xr:uid="{E6127174-7D1C-47B2-A7D1-73D542F01B49}"/>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FAC024BA-D2E5-4CED-90D0-E50FD1ED1CB9}"/>
    <cellStyle name="Normal 5 3 5 5 2 2 3" xfId="25106" xr:uid="{93E94600-9868-48FB-8EE4-0298526F34A1}"/>
    <cellStyle name="Normal 5 3 5 5 2 3" xfId="12441" xr:uid="{668AA73D-5C3A-41B3-9FCC-04A95413885D}"/>
    <cellStyle name="Normal 5 3 5 5 2 4" xfId="20889" xr:uid="{4D6A5910-1665-48DF-BF9C-AB4DEA7B4499}"/>
    <cellStyle name="Normal 5 3 5 5 3" xfId="6064" xr:uid="{00000000-0005-0000-0000-0000841A0000}"/>
    <cellStyle name="Normal 5 3 5 5 3 2" xfId="14514" xr:uid="{32A9D91C-ECE8-4A34-8053-350072CA87A4}"/>
    <cellStyle name="Normal 5 3 5 5 3 3" xfId="22961" xr:uid="{CDC11028-D2F5-425C-BC99-E4728E929DAB}"/>
    <cellStyle name="Normal 5 3 5 5 4" xfId="10296" xr:uid="{564F7F7B-F67A-42E3-9CD2-FD893A3B83E3}"/>
    <cellStyle name="Normal 5 3 5 5 5" xfId="18744" xr:uid="{23AD9D47-DC2F-4BFC-B565-4284FE9CE410}"/>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25A4E5AB-0075-44FD-9696-E5730D37AF54}"/>
    <cellStyle name="Normal 5 3 5 6 2 2 3" xfId="25519" xr:uid="{FAA98ED9-871C-46BF-A3CF-31DFD28AD584}"/>
    <cellStyle name="Normal 5 3 5 6 2 3" xfId="12854" xr:uid="{D64DF7B8-AA46-4D4A-8F30-52D95EF53E36}"/>
    <cellStyle name="Normal 5 3 5 6 2 4" xfId="21302" xr:uid="{768FDC7A-91C9-4257-B10A-3207952A90F1}"/>
    <cellStyle name="Normal 5 3 5 6 3" xfId="6477" xr:uid="{00000000-0005-0000-0000-0000881A0000}"/>
    <cellStyle name="Normal 5 3 5 6 3 2" xfId="14927" xr:uid="{F6DC9E3B-C943-4543-9DA2-F37D8C69F76E}"/>
    <cellStyle name="Normal 5 3 5 6 3 3" xfId="23374" xr:uid="{EF2E6F9C-AFE1-425B-AEB4-3777F9C39A15}"/>
    <cellStyle name="Normal 5 3 5 6 4" xfId="10709" xr:uid="{7AA2E694-5922-4B7A-9E45-F366CEC2A8AF}"/>
    <cellStyle name="Normal 5 3 5 6 5" xfId="19157" xr:uid="{AD3F0E8D-74E7-4A7A-8AF9-E29529882A19}"/>
    <cellStyle name="Normal 5 3 5 7" xfId="2607" xr:uid="{00000000-0005-0000-0000-0000891A0000}"/>
    <cellStyle name="Normal 5 3 5 7 2" xfId="6890" xr:uid="{00000000-0005-0000-0000-00008A1A0000}"/>
    <cellStyle name="Normal 5 3 5 7 2 2" xfId="15340" xr:uid="{EC73DE8B-1BFB-406F-8890-343CCB6CAE2F}"/>
    <cellStyle name="Normal 5 3 5 7 2 3" xfId="23787" xr:uid="{92555C9F-6CCB-4571-BDCC-423A023137B4}"/>
    <cellStyle name="Normal 5 3 5 7 3" xfId="11122" xr:uid="{1D231D05-5ECE-442C-BC30-7DD2900E4815}"/>
    <cellStyle name="Normal 5 3 5 7 4" xfId="19570" xr:uid="{7B9F1654-CD45-4857-BA07-DF16CBCFDC41}"/>
    <cellStyle name="Normal 5 3 5 8" xfId="4825" xr:uid="{00000000-0005-0000-0000-00008B1A0000}"/>
    <cellStyle name="Normal 5 3 5 8 2" xfId="13275" xr:uid="{42142620-4207-46E3-A057-D08DEA87A834}"/>
    <cellStyle name="Normal 5 3 5 8 3" xfId="21722" xr:uid="{BF6300E4-F7A8-466D-9644-C745B57AE56D}"/>
    <cellStyle name="Normal 5 3 5 9" xfId="9057" xr:uid="{108DD2E6-8102-4E18-9512-2EC97ACBB976}"/>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E564CA95-0826-49CA-9E87-8C390B3940B2}"/>
    <cellStyle name="Normal 5 3 6 2 2 2 3" xfId="24282" xr:uid="{CBB9AC45-2B99-48D1-97D3-136C0C44A986}"/>
    <cellStyle name="Normal 5 3 6 2 2 3" xfId="11617" xr:uid="{12E33EC9-C55B-449C-BB20-A40BE8E4BF62}"/>
    <cellStyle name="Normal 5 3 6 2 2 4" xfId="20065" xr:uid="{D6A9FBC9-A022-4000-B281-5BDC1ABAAF97}"/>
    <cellStyle name="Normal 5 3 6 2 3" xfId="5240" xr:uid="{00000000-0005-0000-0000-0000901A0000}"/>
    <cellStyle name="Normal 5 3 6 2 3 2" xfId="13690" xr:uid="{3473C1E6-5D82-422C-B0AF-41A088A7610A}"/>
    <cellStyle name="Normal 5 3 6 2 3 3" xfId="22137" xr:uid="{202E996A-66B6-451A-BB1E-663D15AB7C38}"/>
    <cellStyle name="Normal 5 3 6 2 4" xfId="9472" xr:uid="{841287CF-2A88-4B59-853A-40E8B7222CFA}"/>
    <cellStyle name="Normal 5 3 6 2 5" xfId="17920" xr:uid="{A9BFC469-7662-4642-88FE-18AED5BEF7FF}"/>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735394B5-E99F-4D6A-A8F6-79B82DCE7850}"/>
    <cellStyle name="Normal 5 3 6 3 2 2 3" xfId="24695" xr:uid="{61749E43-419E-42E7-91C8-A0A9CC4E6B5D}"/>
    <cellStyle name="Normal 5 3 6 3 2 3" xfId="12030" xr:uid="{2A3E37BC-6D14-4759-8E3D-702837DFB544}"/>
    <cellStyle name="Normal 5 3 6 3 2 4" xfId="20478" xr:uid="{4A5B8964-0DD5-45AC-A0C0-B85A511BB41D}"/>
    <cellStyle name="Normal 5 3 6 3 3" xfId="5653" xr:uid="{00000000-0005-0000-0000-0000941A0000}"/>
    <cellStyle name="Normal 5 3 6 3 3 2" xfId="14103" xr:uid="{FB8D4DE5-20EF-4025-9230-7CD28697A4FE}"/>
    <cellStyle name="Normal 5 3 6 3 3 3" xfId="22550" xr:uid="{3C4ED7F3-7EC0-4D38-A1A0-5ADC45431C17}"/>
    <cellStyle name="Normal 5 3 6 3 4" xfId="9885" xr:uid="{0FAC49CB-F79A-45BE-9322-74B66E64299F}"/>
    <cellStyle name="Normal 5 3 6 3 5" xfId="18333" xr:uid="{1E0B3EB2-5A5E-45B9-8C64-97C58F3FEA5B}"/>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8334F07D-6F65-42B4-8E89-5D0378D8E02F}"/>
    <cellStyle name="Normal 5 3 6 4 2 2 3" xfId="25108" xr:uid="{C33F9A13-6676-4DD5-A32D-F908DFEE3E94}"/>
    <cellStyle name="Normal 5 3 6 4 2 3" xfId="12443" xr:uid="{A21857BF-1711-4981-A6C8-F30BDCBD50E8}"/>
    <cellStyle name="Normal 5 3 6 4 2 4" xfId="20891" xr:uid="{C648C414-4822-4E2D-8303-24C3680806BF}"/>
    <cellStyle name="Normal 5 3 6 4 3" xfId="6066" xr:uid="{00000000-0005-0000-0000-0000981A0000}"/>
    <cellStyle name="Normal 5 3 6 4 3 2" xfId="14516" xr:uid="{9552B694-A979-4B2A-AC55-32211CB13E9C}"/>
    <cellStyle name="Normal 5 3 6 4 3 3" xfId="22963" xr:uid="{DA108EB7-CAA5-40A8-B0E1-34F1650CC0AB}"/>
    <cellStyle name="Normal 5 3 6 4 4" xfId="10298" xr:uid="{32416F4C-9178-4E9A-9B0D-0416B08C98C4}"/>
    <cellStyle name="Normal 5 3 6 4 5" xfId="18746" xr:uid="{77C5AF7D-5ADC-4D48-B968-93169E672592}"/>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3544EB43-4055-4E01-BEED-6CF69C934344}"/>
    <cellStyle name="Normal 5 3 6 5 2 2 3" xfId="25521" xr:uid="{3B658066-F18A-46D1-ADD4-FC85D0FC9D87}"/>
    <cellStyle name="Normal 5 3 6 5 2 3" xfId="12856" xr:uid="{A36CFE5E-117A-472D-9164-175B143786AC}"/>
    <cellStyle name="Normal 5 3 6 5 2 4" xfId="21304" xr:uid="{5075A3C0-63EB-4796-8E84-56389A29AA70}"/>
    <cellStyle name="Normal 5 3 6 5 3" xfId="6479" xr:uid="{00000000-0005-0000-0000-00009C1A0000}"/>
    <cellStyle name="Normal 5 3 6 5 3 2" xfId="14929" xr:uid="{84613294-B47F-4ECF-9787-C13AA22391EF}"/>
    <cellStyle name="Normal 5 3 6 5 3 3" xfId="23376" xr:uid="{23ADF98D-7EB6-47C8-A10C-5879D8475465}"/>
    <cellStyle name="Normal 5 3 6 5 4" xfId="10711" xr:uid="{823652D0-AF38-4627-A402-F8B25989A1B3}"/>
    <cellStyle name="Normal 5 3 6 5 5" xfId="19159" xr:uid="{79F899E5-6D4E-476D-A05B-4F5ECB122661}"/>
    <cellStyle name="Normal 5 3 6 6" xfId="2609" xr:uid="{00000000-0005-0000-0000-00009D1A0000}"/>
    <cellStyle name="Normal 5 3 6 6 2" xfId="6892" xr:uid="{00000000-0005-0000-0000-00009E1A0000}"/>
    <cellStyle name="Normal 5 3 6 6 2 2" xfId="15342" xr:uid="{2BB952E4-28AC-484E-9376-9B5D5CF97EA0}"/>
    <cellStyle name="Normal 5 3 6 6 2 3" xfId="23789" xr:uid="{1A87E611-CCEA-48CE-9A52-BAECDF2B0168}"/>
    <cellStyle name="Normal 5 3 6 6 3" xfId="11124" xr:uid="{FD1A33F7-D1AD-4D9E-9DA4-4EC831A7F5F7}"/>
    <cellStyle name="Normal 5 3 6 6 4" xfId="19572" xr:uid="{54C464B1-623A-4F92-ACBD-7719C12B56D8}"/>
    <cellStyle name="Normal 5 3 6 7" xfId="4827" xr:uid="{00000000-0005-0000-0000-00009F1A0000}"/>
    <cellStyle name="Normal 5 3 6 7 2" xfId="13277" xr:uid="{A4BB2B3A-5638-4A1B-A312-3B863F2932DB}"/>
    <cellStyle name="Normal 5 3 6 7 3" xfId="21724" xr:uid="{8AD26F22-ADC0-4348-AE67-8D56FB2D4D52}"/>
    <cellStyle name="Normal 5 3 6 8" xfId="9059" xr:uid="{C44B11AB-1059-436C-8A1C-9F40F9C1105A}"/>
    <cellStyle name="Normal 5 3 6 9" xfId="17507" xr:uid="{C055FBEA-4606-4428-A777-690F777D119A}"/>
    <cellStyle name="Normal 5 3 7" xfId="913" xr:uid="{00000000-0005-0000-0000-0000A01A0000}"/>
    <cellStyle name="Normal 5 3 7 2" xfId="3148" xr:uid="{00000000-0005-0000-0000-0000A11A0000}"/>
    <cellStyle name="Normal 5 3 7 2 2" xfId="7370" xr:uid="{00000000-0005-0000-0000-0000A21A0000}"/>
    <cellStyle name="Normal 5 3 7 2 2 2" xfId="15820" xr:uid="{F91610EC-46E4-4C9F-A6CF-33A28757BE6F}"/>
    <cellStyle name="Normal 5 3 7 2 2 3" xfId="24267" xr:uid="{858B6D33-E4BF-4283-ADAC-43B9940AC308}"/>
    <cellStyle name="Normal 5 3 7 2 3" xfId="11602" xr:uid="{EB72D0AE-0906-4057-85E8-B443BED87FDF}"/>
    <cellStyle name="Normal 5 3 7 2 4" xfId="20050" xr:uid="{633224F9-9794-496B-8AE5-CE3D451656DF}"/>
    <cellStyle name="Normal 5 3 7 3" xfId="5225" xr:uid="{00000000-0005-0000-0000-0000A31A0000}"/>
    <cellStyle name="Normal 5 3 7 3 2" xfId="13675" xr:uid="{A056D719-5A08-445D-B87F-D336D54AA7F8}"/>
    <cellStyle name="Normal 5 3 7 3 3" xfId="22122" xr:uid="{BF1237F2-E738-4991-8FED-73786D258BA9}"/>
    <cellStyle name="Normal 5 3 7 4" xfId="9457" xr:uid="{963E8645-6137-4104-A9B0-206B55A4DB58}"/>
    <cellStyle name="Normal 5 3 7 5" xfId="17905" xr:uid="{418E5EC8-4CC2-4591-96AE-57141C349779}"/>
    <cellStyle name="Normal 5 3 8" xfId="1331" xr:uid="{00000000-0005-0000-0000-0000A41A0000}"/>
    <cellStyle name="Normal 5 3 8 2" xfId="3561" xr:uid="{00000000-0005-0000-0000-0000A51A0000}"/>
    <cellStyle name="Normal 5 3 8 2 2" xfId="7783" xr:uid="{00000000-0005-0000-0000-0000A61A0000}"/>
    <cellStyle name="Normal 5 3 8 2 2 2" xfId="16233" xr:uid="{389DE67F-B0AD-42F5-B56B-E80BBA398CB8}"/>
    <cellStyle name="Normal 5 3 8 2 2 3" xfId="24680" xr:uid="{820B57AC-A96B-405B-979D-37BAE1974388}"/>
    <cellStyle name="Normal 5 3 8 2 3" xfId="12015" xr:uid="{9237692E-FAEB-44FF-80BC-E599621DCA8C}"/>
    <cellStyle name="Normal 5 3 8 2 4" xfId="20463" xr:uid="{53BC60B3-F890-48A0-88EF-194410851074}"/>
    <cellStyle name="Normal 5 3 8 3" xfId="5638" xr:uid="{00000000-0005-0000-0000-0000A71A0000}"/>
    <cellStyle name="Normal 5 3 8 3 2" xfId="14088" xr:uid="{24D15A49-B95D-4970-A5EC-D7FF3E14BF41}"/>
    <cellStyle name="Normal 5 3 8 3 3" xfId="22535" xr:uid="{5B921A7F-8960-4312-B0F0-CC4506CF967F}"/>
    <cellStyle name="Normal 5 3 8 4" xfId="9870" xr:uid="{4E93D3E6-2835-4443-B6FF-E0FB6E99DBB8}"/>
    <cellStyle name="Normal 5 3 8 5" xfId="18318" xr:uid="{5ECF1BD3-2C30-4687-A899-EA3B637D77B9}"/>
    <cellStyle name="Normal 5 3 9" xfId="1744" xr:uid="{00000000-0005-0000-0000-0000A81A0000}"/>
    <cellStyle name="Normal 5 3 9 2" xfId="3974" xr:uid="{00000000-0005-0000-0000-0000A91A0000}"/>
    <cellStyle name="Normal 5 3 9 2 2" xfId="8196" xr:uid="{00000000-0005-0000-0000-0000AA1A0000}"/>
    <cellStyle name="Normal 5 3 9 2 2 2" xfId="16646" xr:uid="{87764EF5-7834-4731-BCA3-7DE2D01638DB}"/>
    <cellStyle name="Normal 5 3 9 2 2 3" xfId="25093" xr:uid="{5DF9E540-BFEF-47EB-AF96-C28B596A3C02}"/>
    <cellStyle name="Normal 5 3 9 2 3" xfId="12428" xr:uid="{18C6BA76-F58F-46FB-B2A9-0523DFDFF194}"/>
    <cellStyle name="Normal 5 3 9 2 4" xfId="20876" xr:uid="{EBB72D0F-CADB-4838-8714-29CD060ABA9E}"/>
    <cellStyle name="Normal 5 3 9 3" xfId="6051" xr:uid="{00000000-0005-0000-0000-0000AB1A0000}"/>
    <cellStyle name="Normal 5 3 9 3 2" xfId="14501" xr:uid="{C05E65B1-EA6C-41F0-853F-DBA28332939E}"/>
    <cellStyle name="Normal 5 3 9 3 3" xfId="22948" xr:uid="{180A6FE5-FB70-4D7F-8E0A-077E2B496E13}"/>
    <cellStyle name="Normal 5 3 9 4" xfId="10283" xr:uid="{49BCF19C-2CD5-49A2-B349-CE53F8C1CFE4}"/>
    <cellStyle name="Normal 5 3 9 5" xfId="18731" xr:uid="{A6B9D204-CB51-4852-BAEE-A8F8831F7C0A}"/>
    <cellStyle name="Normal 5 4" xfId="456" xr:uid="{00000000-0005-0000-0000-0000AC1A0000}"/>
    <cellStyle name="Normal 5 4 10" xfId="4828" xr:uid="{00000000-0005-0000-0000-0000AD1A0000}"/>
    <cellStyle name="Normal 5 4 10 2" xfId="13278" xr:uid="{08978E39-B540-41D9-A855-608F8436EDB5}"/>
    <cellStyle name="Normal 5 4 10 3" xfId="21725" xr:uid="{46F8C4A2-B4E0-453E-9730-9AEAE50754DE}"/>
    <cellStyle name="Normal 5 4 11" xfId="9060" xr:uid="{7B5D5C9C-E40F-427B-AA07-011EF7C457CE}"/>
    <cellStyle name="Normal 5 4 12" xfId="17508" xr:uid="{6FE77BA7-F53C-4E22-AAE1-F9664E30C645}"/>
    <cellStyle name="Normal 5 4 2" xfId="457" xr:uid="{00000000-0005-0000-0000-0000AE1A0000}"/>
    <cellStyle name="Normal 5 4 2 10" xfId="9061" xr:uid="{DCE3D748-D335-429E-A280-A18DFA8F7B2F}"/>
    <cellStyle name="Normal 5 4 2 11" xfId="17509" xr:uid="{A9C415C8-5064-46F3-93D2-E0C9C05E4CD8}"/>
    <cellStyle name="Normal 5 4 2 2" xfId="458" xr:uid="{00000000-0005-0000-0000-0000AF1A0000}"/>
    <cellStyle name="Normal 5 4 2 2 10" xfId="17510" xr:uid="{4F297920-D0E3-47C5-A9EC-5A4C282101D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B44D8F90-8A88-48D9-AB0E-4053962F49FB}"/>
    <cellStyle name="Normal 5 4 2 2 2 2 2 2 3" xfId="24286" xr:uid="{5157EFAE-4A05-4669-B408-BE4CC5C59108}"/>
    <cellStyle name="Normal 5 4 2 2 2 2 2 3" xfId="11621" xr:uid="{108CB961-3AE2-483C-8FC8-DF341F3A8890}"/>
    <cellStyle name="Normal 5 4 2 2 2 2 2 4" xfId="20069" xr:uid="{EA9260D3-FFD8-4F31-B423-DF3623B4AEBC}"/>
    <cellStyle name="Normal 5 4 2 2 2 2 3" xfId="5244" xr:uid="{00000000-0005-0000-0000-0000B41A0000}"/>
    <cellStyle name="Normal 5 4 2 2 2 2 3 2" xfId="13694" xr:uid="{21458391-A63B-421C-9648-F4F6B0EDD765}"/>
    <cellStyle name="Normal 5 4 2 2 2 2 3 3" xfId="22141" xr:uid="{5239DD92-07D1-419C-9C48-B227CB7F55DD}"/>
    <cellStyle name="Normal 5 4 2 2 2 2 4" xfId="9476" xr:uid="{DFA78576-190F-4449-806C-CE040B103F17}"/>
    <cellStyle name="Normal 5 4 2 2 2 2 5" xfId="17924" xr:uid="{551DBABC-0771-49F3-8A95-A13E91E3F18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C200FA65-14CE-42FD-AB31-B5240F44BFBD}"/>
    <cellStyle name="Normal 5 4 2 2 2 3 2 2 3" xfId="24699" xr:uid="{BA9558D3-E633-4CBA-9CC7-35B7C3606FE6}"/>
    <cellStyle name="Normal 5 4 2 2 2 3 2 3" xfId="12034" xr:uid="{ECC83187-C54C-4BFE-964C-E70B39C913F5}"/>
    <cellStyle name="Normal 5 4 2 2 2 3 2 4" xfId="20482" xr:uid="{D0654E77-4518-47B0-8825-B3D6230B2181}"/>
    <cellStyle name="Normal 5 4 2 2 2 3 3" xfId="5657" xr:uid="{00000000-0005-0000-0000-0000B81A0000}"/>
    <cellStyle name="Normal 5 4 2 2 2 3 3 2" xfId="14107" xr:uid="{77DD581A-7235-4B60-A2FC-911F0A05CA79}"/>
    <cellStyle name="Normal 5 4 2 2 2 3 3 3" xfId="22554" xr:uid="{2903A9F7-79D3-4273-B33D-0211EB58BD54}"/>
    <cellStyle name="Normal 5 4 2 2 2 3 4" xfId="9889" xr:uid="{DCBFF79E-8B6F-4385-A3B6-7FB7A9C1C033}"/>
    <cellStyle name="Normal 5 4 2 2 2 3 5" xfId="18337" xr:uid="{4D6FC8F5-6DDF-45FA-86CE-467A3B685204}"/>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22747C90-612C-4111-AC4B-DFA85E12ECF8}"/>
    <cellStyle name="Normal 5 4 2 2 2 4 2 2 3" xfId="25112" xr:uid="{7514E7C0-8561-4A6A-8914-E4106688942A}"/>
    <cellStyle name="Normal 5 4 2 2 2 4 2 3" xfId="12447" xr:uid="{852B8A57-EB90-42CC-B702-CC1386B196A8}"/>
    <cellStyle name="Normal 5 4 2 2 2 4 2 4" xfId="20895" xr:uid="{03681D15-7F65-4C0F-9AB3-A9FE996D1646}"/>
    <cellStyle name="Normal 5 4 2 2 2 4 3" xfId="6070" xr:uid="{00000000-0005-0000-0000-0000BC1A0000}"/>
    <cellStyle name="Normal 5 4 2 2 2 4 3 2" xfId="14520" xr:uid="{1E610A7C-ED40-4A20-95B2-FC86C38538DE}"/>
    <cellStyle name="Normal 5 4 2 2 2 4 3 3" xfId="22967" xr:uid="{2C81EA6D-53F3-4B91-9F9F-91ED3635AEAF}"/>
    <cellStyle name="Normal 5 4 2 2 2 4 4" xfId="10302" xr:uid="{914B293E-AB7F-4A26-A1AA-92D2704B097F}"/>
    <cellStyle name="Normal 5 4 2 2 2 4 5" xfId="18750" xr:uid="{14A31A10-3C4A-4DC5-B4BF-31F81267E2D6}"/>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919142C0-363D-456C-A8D9-74DD0709E149}"/>
    <cellStyle name="Normal 5 4 2 2 2 5 2 2 3" xfId="25525" xr:uid="{3A184626-5DF8-4122-8B85-F6B929BA9163}"/>
    <cellStyle name="Normal 5 4 2 2 2 5 2 3" xfId="12860" xr:uid="{329BEB61-DCE9-45B1-B685-2501CE240EB2}"/>
    <cellStyle name="Normal 5 4 2 2 2 5 2 4" xfId="21308" xr:uid="{46B87965-EA40-4B3F-9BE7-87CF7A5E9DDB}"/>
    <cellStyle name="Normal 5 4 2 2 2 5 3" xfId="6483" xr:uid="{00000000-0005-0000-0000-0000C01A0000}"/>
    <cellStyle name="Normal 5 4 2 2 2 5 3 2" xfId="14933" xr:uid="{129284FB-A41F-4A83-9BD6-CF0FF0F88478}"/>
    <cellStyle name="Normal 5 4 2 2 2 5 3 3" xfId="23380" xr:uid="{8A1584ED-73BA-411D-AC5F-9BF8FF73990A}"/>
    <cellStyle name="Normal 5 4 2 2 2 5 4" xfId="10715" xr:uid="{1C3C6F9C-7CA4-4D75-8DAE-8901D0CA842A}"/>
    <cellStyle name="Normal 5 4 2 2 2 5 5" xfId="19163" xr:uid="{DC136B58-8822-4C56-B982-408DC53E4022}"/>
    <cellStyle name="Normal 5 4 2 2 2 6" xfId="2613" xr:uid="{00000000-0005-0000-0000-0000C11A0000}"/>
    <cellStyle name="Normal 5 4 2 2 2 6 2" xfId="6896" xr:uid="{00000000-0005-0000-0000-0000C21A0000}"/>
    <cellStyle name="Normal 5 4 2 2 2 6 2 2" xfId="15346" xr:uid="{DD534E4A-AE02-419D-A581-9A07D7D38291}"/>
    <cellStyle name="Normal 5 4 2 2 2 6 2 3" xfId="23793" xr:uid="{F8EFF368-C769-4FF4-8053-2953F030D28D}"/>
    <cellStyle name="Normal 5 4 2 2 2 6 3" xfId="11128" xr:uid="{8A4734C9-9050-4282-A6A3-F532E7F79105}"/>
    <cellStyle name="Normal 5 4 2 2 2 6 4" xfId="19576" xr:uid="{81A97F6A-3DD5-421C-B552-96FF6E2C4D5C}"/>
    <cellStyle name="Normal 5 4 2 2 2 7" xfId="4831" xr:uid="{00000000-0005-0000-0000-0000C31A0000}"/>
    <cellStyle name="Normal 5 4 2 2 2 7 2" xfId="13281" xr:uid="{27A5C22A-FCE4-4B8F-9FC1-209B1CEC597A}"/>
    <cellStyle name="Normal 5 4 2 2 2 7 3" xfId="21728" xr:uid="{870FB662-A90C-47A4-BB44-8B5B77E455C5}"/>
    <cellStyle name="Normal 5 4 2 2 2 8" xfId="9063" xr:uid="{421D0D01-60EF-4598-8656-F2613A764B6E}"/>
    <cellStyle name="Normal 5 4 2 2 2 9" xfId="17511" xr:uid="{7D6EDA66-2890-48A7-8739-96422B103EC7}"/>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EA920B16-D914-41B9-8450-493DCF289AB7}"/>
    <cellStyle name="Normal 5 4 2 2 3 2 2 3" xfId="24285" xr:uid="{6D52D4AF-E355-4A2D-9E3C-64CE20AE9534}"/>
    <cellStyle name="Normal 5 4 2 2 3 2 3" xfId="11620" xr:uid="{2D027934-21D1-43CA-89D4-B5C1AD4427AF}"/>
    <cellStyle name="Normal 5 4 2 2 3 2 4" xfId="20068" xr:uid="{D4FECAFE-B199-4AEA-B622-D30D11EB8820}"/>
    <cellStyle name="Normal 5 4 2 2 3 3" xfId="5243" xr:uid="{00000000-0005-0000-0000-0000C71A0000}"/>
    <cellStyle name="Normal 5 4 2 2 3 3 2" xfId="13693" xr:uid="{516104B6-48F5-4EF2-9E3D-3FB23ECEDD05}"/>
    <cellStyle name="Normal 5 4 2 2 3 3 3" xfId="22140" xr:uid="{955B82EF-3248-483F-86B0-D578599324B6}"/>
    <cellStyle name="Normal 5 4 2 2 3 4" xfId="9475" xr:uid="{FE18450D-3EDD-483A-B1EA-3C6865E33D70}"/>
    <cellStyle name="Normal 5 4 2 2 3 5" xfId="17923" xr:uid="{3FFBF227-07A6-4579-A158-6F8975AF8D58}"/>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7C9F8A7A-B45C-4C02-9F97-1CFD57F1A9DB}"/>
    <cellStyle name="Normal 5 4 2 2 4 2 2 3" xfId="24698" xr:uid="{98638CAA-83D4-4F50-8AC8-A4E0C9BD1CCC}"/>
    <cellStyle name="Normal 5 4 2 2 4 2 3" xfId="12033" xr:uid="{3CCDDC04-F70D-4A6C-8CA0-063DAEA458CF}"/>
    <cellStyle name="Normal 5 4 2 2 4 2 4" xfId="20481" xr:uid="{BCF97C3B-90A6-4B59-A7D2-0E0D1740EBA3}"/>
    <cellStyle name="Normal 5 4 2 2 4 3" xfId="5656" xr:uid="{00000000-0005-0000-0000-0000CB1A0000}"/>
    <cellStyle name="Normal 5 4 2 2 4 3 2" xfId="14106" xr:uid="{872FD5C3-0359-412A-B56F-FCA6682DDB02}"/>
    <cellStyle name="Normal 5 4 2 2 4 3 3" xfId="22553" xr:uid="{6B19E499-E653-4FDE-9D7A-98CDC1434FB6}"/>
    <cellStyle name="Normal 5 4 2 2 4 4" xfId="9888" xr:uid="{0F8424C9-8E4D-4D5D-A9C3-93038E57DFE1}"/>
    <cellStyle name="Normal 5 4 2 2 4 5" xfId="18336" xr:uid="{B777CEB8-E1DE-4C74-9E60-DFF05827CBF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E4C6CF3F-B469-49C6-9DCA-17F29E22F841}"/>
    <cellStyle name="Normal 5 4 2 2 5 2 2 3" xfId="25111" xr:uid="{4F237402-13CD-4C42-B75F-A6F6027FDE72}"/>
    <cellStyle name="Normal 5 4 2 2 5 2 3" xfId="12446" xr:uid="{4B8438C6-7A9D-420E-A7FC-FAC5B7519D20}"/>
    <cellStyle name="Normal 5 4 2 2 5 2 4" xfId="20894" xr:uid="{9FFA01A6-7ABC-4AED-84D4-1D1C498E6D3C}"/>
    <cellStyle name="Normal 5 4 2 2 5 3" xfId="6069" xr:uid="{00000000-0005-0000-0000-0000CF1A0000}"/>
    <cellStyle name="Normal 5 4 2 2 5 3 2" xfId="14519" xr:uid="{C2950F38-EBCD-41DA-BA6F-D6A7CB90A0CE}"/>
    <cellStyle name="Normal 5 4 2 2 5 3 3" xfId="22966" xr:uid="{0DB9B3F0-E79B-415A-8C1F-EC8145DB394C}"/>
    <cellStyle name="Normal 5 4 2 2 5 4" xfId="10301" xr:uid="{A742564C-3EF0-4CED-A2C8-169525469D21}"/>
    <cellStyle name="Normal 5 4 2 2 5 5" xfId="18749" xr:uid="{865642C3-9223-41A7-A7C2-BE837C3846C5}"/>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1CCF74B3-8F22-4207-B634-13C20C00CB5F}"/>
    <cellStyle name="Normal 5 4 2 2 6 2 2 3" xfId="25524" xr:uid="{2E9FC0E7-021C-48E7-AC5E-48D15ED64BD5}"/>
    <cellStyle name="Normal 5 4 2 2 6 2 3" xfId="12859" xr:uid="{D0724D80-BDB0-4572-910A-0A53B234C09A}"/>
    <cellStyle name="Normal 5 4 2 2 6 2 4" xfId="21307" xr:uid="{6AE6B291-8C19-42D4-8D22-6A8DEC86DCAD}"/>
    <cellStyle name="Normal 5 4 2 2 6 3" xfId="6482" xr:uid="{00000000-0005-0000-0000-0000D31A0000}"/>
    <cellStyle name="Normal 5 4 2 2 6 3 2" xfId="14932" xr:uid="{8D19AC83-516E-423F-8664-FE1C8F2088E7}"/>
    <cellStyle name="Normal 5 4 2 2 6 3 3" xfId="23379" xr:uid="{2283D0A0-8084-4971-8591-993CBC0CE403}"/>
    <cellStyle name="Normal 5 4 2 2 6 4" xfId="10714" xr:uid="{E3EE3844-6357-41CF-A524-001A823497F0}"/>
    <cellStyle name="Normal 5 4 2 2 6 5" xfId="19162" xr:uid="{F8377DF8-D61B-4C49-995A-1D27BE0973A8}"/>
    <cellStyle name="Normal 5 4 2 2 7" xfId="2612" xr:uid="{00000000-0005-0000-0000-0000D41A0000}"/>
    <cellStyle name="Normal 5 4 2 2 7 2" xfId="6895" xr:uid="{00000000-0005-0000-0000-0000D51A0000}"/>
    <cellStyle name="Normal 5 4 2 2 7 2 2" xfId="15345" xr:uid="{F6C76B08-AF23-4594-A936-370695598DFA}"/>
    <cellStyle name="Normal 5 4 2 2 7 2 3" xfId="23792" xr:uid="{FC2C28E9-6766-4628-B431-5C0B46B902C3}"/>
    <cellStyle name="Normal 5 4 2 2 7 3" xfId="11127" xr:uid="{89DBB666-1372-45B4-AE5B-C08891B34BB2}"/>
    <cellStyle name="Normal 5 4 2 2 7 4" xfId="19575" xr:uid="{EF69A60C-0641-40AD-8CCE-91470420A2EF}"/>
    <cellStyle name="Normal 5 4 2 2 8" xfId="4830" xr:uid="{00000000-0005-0000-0000-0000D61A0000}"/>
    <cellStyle name="Normal 5 4 2 2 8 2" xfId="13280" xr:uid="{5B4360BE-EB1E-4C94-86E6-812519A99486}"/>
    <cellStyle name="Normal 5 4 2 2 8 3" xfId="21727" xr:uid="{D8244D82-6D5A-4B0E-B1C5-069A31E22307}"/>
    <cellStyle name="Normal 5 4 2 2 9" xfId="9062" xr:uid="{37D9ACE3-52E6-4C3F-B911-D7AEA12BF85D}"/>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312C8112-C06D-4DB1-9A4E-4BBAD3EF148A}"/>
    <cellStyle name="Normal 5 4 2 3 2 2 2 3" xfId="24287" xr:uid="{FBF7765E-2E36-4F53-BA35-1D5F70B77C2B}"/>
    <cellStyle name="Normal 5 4 2 3 2 2 3" xfId="11622" xr:uid="{F68C1AC0-5391-4DF6-89D2-BAE06928CF08}"/>
    <cellStyle name="Normal 5 4 2 3 2 2 4" xfId="20070" xr:uid="{9B2F8E93-FA25-4D1D-B1B3-A126F1783DCE}"/>
    <cellStyle name="Normal 5 4 2 3 2 3" xfId="5245" xr:uid="{00000000-0005-0000-0000-0000DB1A0000}"/>
    <cellStyle name="Normal 5 4 2 3 2 3 2" xfId="13695" xr:uid="{A2472DCF-E5EE-48E4-9B65-4C8D2F76ACEB}"/>
    <cellStyle name="Normal 5 4 2 3 2 3 3" xfId="22142" xr:uid="{85A69500-5CCD-4908-9795-637B6E8F6FB4}"/>
    <cellStyle name="Normal 5 4 2 3 2 4" xfId="9477" xr:uid="{AEC43F58-5800-4105-AFE3-19223A5D24D4}"/>
    <cellStyle name="Normal 5 4 2 3 2 5" xfId="17925" xr:uid="{56D78E36-5B5C-4995-9540-44738EA5647D}"/>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E36978D6-9C5C-4FAB-8DE3-E18F86262F52}"/>
    <cellStyle name="Normal 5 4 2 3 3 2 2 3" xfId="24700" xr:uid="{712DF354-DA83-4343-852F-DBAF780D75C1}"/>
    <cellStyle name="Normal 5 4 2 3 3 2 3" xfId="12035" xr:uid="{32ABE75F-CBCE-4274-8D8E-2C4DDA53F42E}"/>
    <cellStyle name="Normal 5 4 2 3 3 2 4" xfId="20483" xr:uid="{B9AED61C-894B-40A5-9AD2-6D02E5EF4F5C}"/>
    <cellStyle name="Normal 5 4 2 3 3 3" xfId="5658" xr:uid="{00000000-0005-0000-0000-0000DF1A0000}"/>
    <cellStyle name="Normal 5 4 2 3 3 3 2" xfId="14108" xr:uid="{1A4ADD35-C2C1-4440-8329-50C45F62FAE0}"/>
    <cellStyle name="Normal 5 4 2 3 3 3 3" xfId="22555" xr:uid="{2624B335-E674-473D-822D-CB2BA6F2BCD7}"/>
    <cellStyle name="Normal 5 4 2 3 3 4" xfId="9890" xr:uid="{D73438AF-603F-4128-BA70-CC68FB64D86A}"/>
    <cellStyle name="Normal 5 4 2 3 3 5" xfId="18338" xr:uid="{B147E4D2-4ED6-4741-9D3A-46429AA6D9F0}"/>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D6DE16DE-9064-4DB9-9FB3-FB7DA82AA640}"/>
    <cellStyle name="Normal 5 4 2 3 4 2 2 3" xfId="25113" xr:uid="{315670E5-6843-46FD-8232-584BACBC3432}"/>
    <cellStyle name="Normal 5 4 2 3 4 2 3" xfId="12448" xr:uid="{DD6828EE-EAB5-423F-987E-49F7EB489F9D}"/>
    <cellStyle name="Normal 5 4 2 3 4 2 4" xfId="20896" xr:uid="{085E1775-514B-4BFC-A6D7-9EDABFA64BC6}"/>
    <cellStyle name="Normal 5 4 2 3 4 3" xfId="6071" xr:uid="{00000000-0005-0000-0000-0000E31A0000}"/>
    <cellStyle name="Normal 5 4 2 3 4 3 2" xfId="14521" xr:uid="{AC6BCFB3-6C52-48B7-A8BC-1BD4F4F2592A}"/>
    <cellStyle name="Normal 5 4 2 3 4 3 3" xfId="22968" xr:uid="{E77E9F7C-40B6-446C-B1FC-0A9F69CE1641}"/>
    <cellStyle name="Normal 5 4 2 3 4 4" xfId="10303" xr:uid="{DAD7A613-EB73-48CC-A736-1C5623275138}"/>
    <cellStyle name="Normal 5 4 2 3 4 5" xfId="18751" xr:uid="{8669DD56-13BB-48D5-8180-72570E8DB2F5}"/>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BC44C3DB-26A7-4CCC-ADFF-48B2DF206409}"/>
    <cellStyle name="Normal 5 4 2 3 5 2 2 3" xfId="25526" xr:uid="{ABA5A8C2-AA8A-4AB4-955D-D07851A27506}"/>
    <cellStyle name="Normal 5 4 2 3 5 2 3" xfId="12861" xr:uid="{AEAC28E3-7383-42ED-9551-EE72A378BE55}"/>
    <cellStyle name="Normal 5 4 2 3 5 2 4" xfId="21309" xr:uid="{E2D0B214-A56F-4B62-9C14-6B4F1A57F8D7}"/>
    <cellStyle name="Normal 5 4 2 3 5 3" xfId="6484" xr:uid="{00000000-0005-0000-0000-0000E71A0000}"/>
    <cellStyle name="Normal 5 4 2 3 5 3 2" xfId="14934" xr:uid="{786D9EEF-4AAD-4079-B5EB-536BEA8FA1A9}"/>
    <cellStyle name="Normal 5 4 2 3 5 3 3" xfId="23381" xr:uid="{02354974-F6FA-4F7A-882D-B9586647C4AD}"/>
    <cellStyle name="Normal 5 4 2 3 5 4" xfId="10716" xr:uid="{12FD79BE-6813-48EA-ABED-B46543CEE417}"/>
    <cellStyle name="Normal 5 4 2 3 5 5" xfId="19164" xr:uid="{FD37CEE1-0A67-4C84-9157-91042A93A1CE}"/>
    <cellStyle name="Normal 5 4 2 3 6" xfId="2614" xr:uid="{00000000-0005-0000-0000-0000E81A0000}"/>
    <cellStyle name="Normal 5 4 2 3 6 2" xfId="6897" xr:uid="{00000000-0005-0000-0000-0000E91A0000}"/>
    <cellStyle name="Normal 5 4 2 3 6 2 2" xfId="15347" xr:uid="{4B1097BC-9230-4260-95D8-14ABEB89B3FF}"/>
    <cellStyle name="Normal 5 4 2 3 6 2 3" xfId="23794" xr:uid="{5F48DBEB-7741-4188-806B-83A47629CDD6}"/>
    <cellStyle name="Normal 5 4 2 3 6 3" xfId="11129" xr:uid="{089C2693-3877-4516-AED5-D3DF262CA68F}"/>
    <cellStyle name="Normal 5 4 2 3 6 4" xfId="19577" xr:uid="{A739DB85-B4DE-42F8-B5E4-9B98A4096ADB}"/>
    <cellStyle name="Normal 5 4 2 3 7" xfId="4832" xr:uid="{00000000-0005-0000-0000-0000EA1A0000}"/>
    <cellStyle name="Normal 5 4 2 3 7 2" xfId="13282" xr:uid="{EEF42E75-1E01-41A3-8332-0DE24B8C14CC}"/>
    <cellStyle name="Normal 5 4 2 3 7 3" xfId="21729" xr:uid="{ACC0593E-A1B8-4F1A-A9C3-FB4109821287}"/>
    <cellStyle name="Normal 5 4 2 3 8" xfId="9064" xr:uid="{E373142C-2BDF-489D-8710-314E22CB59B3}"/>
    <cellStyle name="Normal 5 4 2 3 9" xfId="17512" xr:uid="{46E10078-5CBA-4D68-80C1-71AECEC389FF}"/>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60D1B3C1-F89E-4038-9C3E-AAAE3066844C}"/>
    <cellStyle name="Normal 5 4 2 4 2 2 3" xfId="24284" xr:uid="{7C5225A8-EB76-4245-AA74-CA485D9BA1B8}"/>
    <cellStyle name="Normal 5 4 2 4 2 3" xfId="11619" xr:uid="{A87179E6-CC63-4AE2-B8B6-ACC932E99D46}"/>
    <cellStyle name="Normal 5 4 2 4 2 4" xfId="20067" xr:uid="{9A48C67A-C253-4C73-8277-545EA7FA08E6}"/>
    <cellStyle name="Normal 5 4 2 4 3" xfId="5242" xr:uid="{00000000-0005-0000-0000-0000EE1A0000}"/>
    <cellStyle name="Normal 5 4 2 4 3 2" xfId="13692" xr:uid="{4ACCF888-2DF9-45CB-B6C7-29CA5713E93C}"/>
    <cellStyle name="Normal 5 4 2 4 3 3" xfId="22139" xr:uid="{26AEBACF-D10A-46B0-AB30-30F7AC38F7B9}"/>
    <cellStyle name="Normal 5 4 2 4 4" xfId="9474" xr:uid="{35EA8EA8-CE95-49F2-8D6F-65F9176B6D6B}"/>
    <cellStyle name="Normal 5 4 2 4 5" xfId="17922" xr:uid="{BC76F7F2-965D-414D-9E2A-9105140F2489}"/>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AC4764D8-36EA-4C30-B79B-ECADE18376ED}"/>
    <cellStyle name="Normal 5 4 2 5 2 2 3" xfId="24697" xr:uid="{2B3C5992-77A0-4990-B626-F545C68B4B55}"/>
    <cellStyle name="Normal 5 4 2 5 2 3" xfId="12032" xr:uid="{9DB166A2-DBB2-43DA-A41A-7C602FD38648}"/>
    <cellStyle name="Normal 5 4 2 5 2 4" xfId="20480" xr:uid="{CD84361B-F9BB-4DFA-8884-96D45FF66F3F}"/>
    <cellStyle name="Normal 5 4 2 5 3" xfId="5655" xr:uid="{00000000-0005-0000-0000-0000F21A0000}"/>
    <cellStyle name="Normal 5 4 2 5 3 2" xfId="14105" xr:uid="{53F575C7-1FF6-4367-91F0-7336BD46E101}"/>
    <cellStyle name="Normal 5 4 2 5 3 3" xfId="22552" xr:uid="{94A8CF3C-D29A-4731-8351-08A869D4FD56}"/>
    <cellStyle name="Normal 5 4 2 5 4" xfId="9887" xr:uid="{BDD0B3F8-5856-4588-A8AD-3405587A487F}"/>
    <cellStyle name="Normal 5 4 2 5 5" xfId="18335" xr:uid="{6AFCB735-11B4-4E31-AEDA-A5118CF1DB3D}"/>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CD580577-E1D7-4B56-8F93-73260C38A9A7}"/>
    <cellStyle name="Normal 5 4 2 6 2 2 3" xfId="25110" xr:uid="{B70C0B73-36A7-4822-9882-983DE397DFB1}"/>
    <cellStyle name="Normal 5 4 2 6 2 3" xfId="12445" xr:uid="{E50BC271-E59C-4F52-894C-A239586DA755}"/>
    <cellStyle name="Normal 5 4 2 6 2 4" xfId="20893" xr:uid="{99E2B237-9294-4BF2-A171-D8790C393777}"/>
    <cellStyle name="Normal 5 4 2 6 3" xfId="6068" xr:uid="{00000000-0005-0000-0000-0000F61A0000}"/>
    <cellStyle name="Normal 5 4 2 6 3 2" xfId="14518" xr:uid="{F69F729C-183B-4F18-A0DB-571DE91C01DB}"/>
    <cellStyle name="Normal 5 4 2 6 3 3" xfId="22965" xr:uid="{E72EB84D-B108-4D4C-9A5A-D38C86ADA9B1}"/>
    <cellStyle name="Normal 5 4 2 6 4" xfId="10300" xr:uid="{DD16A56C-608D-4040-99DB-0940BD7C15D6}"/>
    <cellStyle name="Normal 5 4 2 6 5" xfId="18748" xr:uid="{822652B3-A5DB-41DE-B90E-104063F57F3F}"/>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2465A2EC-53E5-427C-9E9B-D2A6A2ED1C9B}"/>
    <cellStyle name="Normal 5 4 2 7 2 2 3" xfId="25523" xr:uid="{FCA586B1-45CD-4615-82BB-8819CDCC20B3}"/>
    <cellStyle name="Normal 5 4 2 7 2 3" xfId="12858" xr:uid="{082ECD78-9877-403E-A4FD-29A285FE3EDD}"/>
    <cellStyle name="Normal 5 4 2 7 2 4" xfId="21306" xr:uid="{8D22A624-9560-48A1-9D8E-01AD69CFA6F6}"/>
    <cellStyle name="Normal 5 4 2 7 3" xfId="6481" xr:uid="{00000000-0005-0000-0000-0000FA1A0000}"/>
    <cellStyle name="Normal 5 4 2 7 3 2" xfId="14931" xr:uid="{43B6F450-474F-449B-9286-2DCEA3417F43}"/>
    <cellStyle name="Normal 5 4 2 7 3 3" xfId="23378" xr:uid="{1A54037C-8855-47A7-87D0-15E8F34CA79D}"/>
    <cellStyle name="Normal 5 4 2 7 4" xfId="10713" xr:uid="{31637F5D-3EA2-418D-90EF-D4C2101A9238}"/>
    <cellStyle name="Normal 5 4 2 7 5" xfId="19161" xr:uid="{4F6B8047-592A-4C42-9B2B-0B379D2B08C9}"/>
    <cellStyle name="Normal 5 4 2 8" xfId="2611" xr:uid="{00000000-0005-0000-0000-0000FB1A0000}"/>
    <cellStyle name="Normal 5 4 2 8 2" xfId="6894" xr:uid="{00000000-0005-0000-0000-0000FC1A0000}"/>
    <cellStyle name="Normal 5 4 2 8 2 2" xfId="15344" xr:uid="{117C8B5A-2214-46D6-82F8-C2AE2A163346}"/>
    <cellStyle name="Normal 5 4 2 8 2 3" xfId="23791" xr:uid="{CC3D0112-8105-45AD-88C7-43A3951CE624}"/>
    <cellStyle name="Normal 5 4 2 8 3" xfId="11126" xr:uid="{4D4448D8-395B-4A5C-991C-94B74B922BFB}"/>
    <cellStyle name="Normal 5 4 2 8 4" xfId="19574" xr:uid="{AD195335-489A-434E-9250-FD550ACDCE16}"/>
    <cellStyle name="Normal 5 4 2 9" xfId="4829" xr:uid="{00000000-0005-0000-0000-0000FD1A0000}"/>
    <cellStyle name="Normal 5 4 2 9 2" xfId="13279" xr:uid="{69B6010B-AB70-47A8-9CCA-14F809B62F37}"/>
    <cellStyle name="Normal 5 4 2 9 3" xfId="21726" xr:uid="{7BB8435A-2491-490F-A4CD-5E7A604738D0}"/>
    <cellStyle name="Normal 5 4 3" xfId="461" xr:uid="{00000000-0005-0000-0000-0000FE1A0000}"/>
    <cellStyle name="Normal 5 4 3 10" xfId="17513" xr:uid="{982B7956-0038-4FDB-81D5-214A4672F82B}"/>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F0ED8A9E-7E9A-46C6-8C2A-E13108095B9D}"/>
    <cellStyle name="Normal 5 4 3 2 2 2 2 3" xfId="24289" xr:uid="{2E65E860-8133-4B74-8432-F01C35C04805}"/>
    <cellStyle name="Normal 5 4 3 2 2 2 3" xfId="11624" xr:uid="{6D889FD3-9D1B-40D9-B70D-426D7D99DB42}"/>
    <cellStyle name="Normal 5 4 3 2 2 2 4" xfId="20072" xr:uid="{4C7B35BE-C025-491C-B6A2-7EFAD72D2859}"/>
    <cellStyle name="Normal 5 4 3 2 2 3" xfId="5247" xr:uid="{00000000-0005-0000-0000-0000031B0000}"/>
    <cellStyle name="Normal 5 4 3 2 2 3 2" xfId="13697" xr:uid="{F87D3F74-34F4-4FAE-BE21-0E678129D74C}"/>
    <cellStyle name="Normal 5 4 3 2 2 3 3" xfId="22144" xr:uid="{CFE22773-8E6D-45B4-9713-A8A6D4E1D344}"/>
    <cellStyle name="Normal 5 4 3 2 2 4" xfId="9479" xr:uid="{745E3574-25B5-49F6-A6AC-4ED07F639E0F}"/>
    <cellStyle name="Normal 5 4 3 2 2 5" xfId="17927" xr:uid="{F4EC132F-6505-40E8-8F81-8E9E7BB7404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EEC2142E-3ED5-485E-A22C-AB286FA2A1D2}"/>
    <cellStyle name="Normal 5 4 3 2 3 2 2 3" xfId="24702" xr:uid="{13043885-1D4A-4D55-A406-6FBA7266E19C}"/>
    <cellStyle name="Normal 5 4 3 2 3 2 3" xfId="12037" xr:uid="{1AC3D07C-323B-40F4-96A0-AFC8F6BA9260}"/>
    <cellStyle name="Normal 5 4 3 2 3 2 4" xfId="20485" xr:uid="{BB9AD425-1647-4B73-8488-662E2B422A94}"/>
    <cellStyle name="Normal 5 4 3 2 3 3" xfId="5660" xr:uid="{00000000-0005-0000-0000-0000071B0000}"/>
    <cellStyle name="Normal 5 4 3 2 3 3 2" xfId="14110" xr:uid="{43FB7A68-1A02-411E-93D9-CD41F396C1D4}"/>
    <cellStyle name="Normal 5 4 3 2 3 3 3" xfId="22557" xr:uid="{89105478-9F86-4884-A53F-F0C79AB1C017}"/>
    <cellStyle name="Normal 5 4 3 2 3 4" xfId="9892" xr:uid="{5AD08539-2334-4E02-8D4A-ECFDDA901E4C}"/>
    <cellStyle name="Normal 5 4 3 2 3 5" xfId="18340" xr:uid="{85F8C081-CF36-4CFD-BDCA-471461F4DB9C}"/>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E7A4D173-25E8-4186-A1AE-E982A2F77C1E}"/>
    <cellStyle name="Normal 5 4 3 2 4 2 2 3" xfId="25115" xr:uid="{B321105C-E259-4C58-A214-5889774C9B8C}"/>
    <cellStyle name="Normal 5 4 3 2 4 2 3" xfId="12450" xr:uid="{091649C9-35F3-4A23-846A-A188D7F0E3A5}"/>
    <cellStyle name="Normal 5 4 3 2 4 2 4" xfId="20898" xr:uid="{3ECFB69D-7403-43DB-97E8-11BA434E415D}"/>
    <cellStyle name="Normal 5 4 3 2 4 3" xfId="6073" xr:uid="{00000000-0005-0000-0000-00000B1B0000}"/>
    <cellStyle name="Normal 5 4 3 2 4 3 2" xfId="14523" xr:uid="{222C9985-00FD-436B-B3FE-9B0C6E202255}"/>
    <cellStyle name="Normal 5 4 3 2 4 3 3" xfId="22970" xr:uid="{9A7DBC86-047D-40BF-A9CA-90926CFFD3C6}"/>
    <cellStyle name="Normal 5 4 3 2 4 4" xfId="10305" xr:uid="{092DB032-03EE-4243-A35A-5E05A4A43E1E}"/>
    <cellStyle name="Normal 5 4 3 2 4 5" xfId="18753" xr:uid="{E71D52B5-D6AE-42D4-97FB-773C5B43077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D62FE2BC-3CD7-4FEF-BF8A-36EBA2E757CA}"/>
    <cellStyle name="Normal 5 4 3 2 5 2 2 3" xfId="25528" xr:uid="{D923CA51-28DD-4C40-A1B8-C4E8526770DA}"/>
    <cellStyle name="Normal 5 4 3 2 5 2 3" xfId="12863" xr:uid="{F28500EA-9CEA-4553-9009-B9D9684C845D}"/>
    <cellStyle name="Normal 5 4 3 2 5 2 4" xfId="21311" xr:uid="{FD653785-3952-4C23-B5DF-65845B6759DB}"/>
    <cellStyle name="Normal 5 4 3 2 5 3" xfId="6486" xr:uid="{00000000-0005-0000-0000-00000F1B0000}"/>
    <cellStyle name="Normal 5 4 3 2 5 3 2" xfId="14936" xr:uid="{761EC009-F8F8-4B0B-AC27-4CE1C29C8DFF}"/>
    <cellStyle name="Normal 5 4 3 2 5 3 3" xfId="23383" xr:uid="{586283FC-E73D-4381-9A40-38C36BB8360C}"/>
    <cellStyle name="Normal 5 4 3 2 5 4" xfId="10718" xr:uid="{CBB38586-4C2F-44C1-8CFC-250D4D744A4B}"/>
    <cellStyle name="Normal 5 4 3 2 5 5" xfId="19166" xr:uid="{AA5CB047-2AA2-4329-9D31-223B658DECC7}"/>
    <cellStyle name="Normal 5 4 3 2 6" xfId="2616" xr:uid="{00000000-0005-0000-0000-0000101B0000}"/>
    <cellStyle name="Normal 5 4 3 2 6 2" xfId="6899" xr:uid="{00000000-0005-0000-0000-0000111B0000}"/>
    <cellStyle name="Normal 5 4 3 2 6 2 2" xfId="15349" xr:uid="{A0054DCA-97D5-4A5D-82C4-F145BA997000}"/>
    <cellStyle name="Normal 5 4 3 2 6 2 3" xfId="23796" xr:uid="{5B0D270E-5073-4362-8477-33BB4907DCD4}"/>
    <cellStyle name="Normal 5 4 3 2 6 3" xfId="11131" xr:uid="{96E4E854-4A7B-4A60-B63B-6D8649AA06A5}"/>
    <cellStyle name="Normal 5 4 3 2 6 4" xfId="19579" xr:uid="{2D3F8EC3-5CDC-4B12-AE78-467511062371}"/>
    <cellStyle name="Normal 5 4 3 2 7" xfId="4834" xr:uid="{00000000-0005-0000-0000-0000121B0000}"/>
    <cellStyle name="Normal 5 4 3 2 7 2" xfId="13284" xr:uid="{32F541FB-5BFE-42C3-AB0D-5391C042A35F}"/>
    <cellStyle name="Normal 5 4 3 2 7 3" xfId="21731" xr:uid="{692DB686-782D-4C27-AE2C-DBC49A239B4A}"/>
    <cellStyle name="Normal 5 4 3 2 8" xfId="9066" xr:uid="{2C0E1322-7392-4BEB-BFF1-2AD90DF10312}"/>
    <cellStyle name="Normal 5 4 3 2 9" xfId="17514" xr:uid="{5A594CE8-DEB6-4F49-84B5-CA279F8DDECA}"/>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1EC4D179-92F5-41DB-AD9C-7CAAAF2636D0}"/>
    <cellStyle name="Normal 5 4 3 3 2 2 3" xfId="24288" xr:uid="{453D119E-D2C9-41D0-8F79-A4A43A1CF895}"/>
    <cellStyle name="Normal 5 4 3 3 2 3" xfId="11623" xr:uid="{EA9F4F95-60C3-460C-87AD-17E78B7289A4}"/>
    <cellStyle name="Normal 5 4 3 3 2 4" xfId="20071" xr:uid="{D4C21C3A-3D3F-440E-8B08-3C8F17AFD726}"/>
    <cellStyle name="Normal 5 4 3 3 3" xfId="5246" xr:uid="{00000000-0005-0000-0000-0000161B0000}"/>
    <cellStyle name="Normal 5 4 3 3 3 2" xfId="13696" xr:uid="{7504AD5E-7F87-481D-BBE1-C46CE8C66401}"/>
    <cellStyle name="Normal 5 4 3 3 3 3" xfId="22143" xr:uid="{1989F077-586E-48B4-8841-88F747DD1003}"/>
    <cellStyle name="Normal 5 4 3 3 4" xfId="9478" xr:uid="{721A95E9-C379-445F-9517-E5FBB9CD5C9D}"/>
    <cellStyle name="Normal 5 4 3 3 5" xfId="17926" xr:uid="{E33B93DB-2B3F-4442-BEFD-E39A75981464}"/>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FACF3FAB-DD1F-48FD-AADF-2F2B103D63AD}"/>
    <cellStyle name="Normal 5 4 3 4 2 2 3" xfId="24701" xr:uid="{1353B74A-2504-42B6-BF2E-51CA4630D7A4}"/>
    <cellStyle name="Normal 5 4 3 4 2 3" xfId="12036" xr:uid="{90B6B1DE-15FD-43E3-B376-FE653CE28D22}"/>
    <cellStyle name="Normal 5 4 3 4 2 4" xfId="20484" xr:uid="{5CA40149-A8C4-463F-AC84-30645C1F0A4C}"/>
    <cellStyle name="Normal 5 4 3 4 3" xfId="5659" xr:uid="{00000000-0005-0000-0000-00001A1B0000}"/>
    <cellStyle name="Normal 5 4 3 4 3 2" xfId="14109" xr:uid="{AF7B69FF-7E49-4AF3-9A9B-83CA03445090}"/>
    <cellStyle name="Normal 5 4 3 4 3 3" xfId="22556" xr:uid="{2A4CFC1E-14C1-47D2-AF94-4E312F63D3CE}"/>
    <cellStyle name="Normal 5 4 3 4 4" xfId="9891" xr:uid="{70008DAA-D081-4ED2-B333-62B76F85A9F5}"/>
    <cellStyle name="Normal 5 4 3 4 5" xfId="18339" xr:uid="{F7EF0F44-996C-4459-9630-8DB7DD3FAD1B}"/>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6B0BE7EE-9600-4B19-BB05-E27182AAEB4B}"/>
    <cellStyle name="Normal 5 4 3 5 2 2 3" xfId="25114" xr:uid="{7AB7297D-6252-4DBB-83ED-E1DA97729784}"/>
    <cellStyle name="Normal 5 4 3 5 2 3" xfId="12449" xr:uid="{7BB48455-787B-4493-9BAF-B29CAC0A07A1}"/>
    <cellStyle name="Normal 5 4 3 5 2 4" xfId="20897" xr:uid="{0AD0D9FF-2CDD-4A34-BD4F-64976303BC6C}"/>
    <cellStyle name="Normal 5 4 3 5 3" xfId="6072" xr:uid="{00000000-0005-0000-0000-00001E1B0000}"/>
    <cellStyle name="Normal 5 4 3 5 3 2" xfId="14522" xr:uid="{37CB89C6-BED8-4BE9-8CEF-3B500D6877CC}"/>
    <cellStyle name="Normal 5 4 3 5 3 3" xfId="22969" xr:uid="{0D898153-7BEB-4472-A1EB-E6D317E8D62A}"/>
    <cellStyle name="Normal 5 4 3 5 4" xfId="10304" xr:uid="{1A23D1C5-2B99-4979-AC2B-B55DD21AF63C}"/>
    <cellStyle name="Normal 5 4 3 5 5" xfId="18752" xr:uid="{21EFB70D-94AB-4EFF-A1A0-79038D0D76C9}"/>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1509FAA0-998A-42D4-B996-12119F87DF37}"/>
    <cellStyle name="Normal 5 4 3 6 2 2 3" xfId="25527" xr:uid="{8E78C644-F729-4C4C-A888-A27B6ADDDA1B}"/>
    <cellStyle name="Normal 5 4 3 6 2 3" xfId="12862" xr:uid="{D420140D-E27A-44EB-AB78-5345BFE39E37}"/>
    <cellStyle name="Normal 5 4 3 6 2 4" xfId="21310" xr:uid="{3646797B-9825-466F-9B29-DAD550BCF529}"/>
    <cellStyle name="Normal 5 4 3 6 3" xfId="6485" xr:uid="{00000000-0005-0000-0000-0000221B0000}"/>
    <cellStyle name="Normal 5 4 3 6 3 2" xfId="14935" xr:uid="{4C72D892-8A5C-45B0-9F09-07A0787698D1}"/>
    <cellStyle name="Normal 5 4 3 6 3 3" xfId="23382" xr:uid="{EC24926A-DFA4-4C5E-8C9F-87385BA5584C}"/>
    <cellStyle name="Normal 5 4 3 6 4" xfId="10717" xr:uid="{1CA5718D-6946-4E4D-973D-41F79E7DA69F}"/>
    <cellStyle name="Normal 5 4 3 6 5" xfId="19165" xr:uid="{C8830BDB-7B78-4AC7-B20B-01505595620D}"/>
    <cellStyle name="Normal 5 4 3 7" xfId="2615" xr:uid="{00000000-0005-0000-0000-0000231B0000}"/>
    <cellStyle name="Normal 5 4 3 7 2" xfId="6898" xr:uid="{00000000-0005-0000-0000-0000241B0000}"/>
    <cellStyle name="Normal 5 4 3 7 2 2" xfId="15348" xr:uid="{6C996532-DA2D-441E-8DDB-AE149B639267}"/>
    <cellStyle name="Normal 5 4 3 7 2 3" xfId="23795" xr:uid="{3EFE61E6-742A-46CA-8105-408BD8B1BFB0}"/>
    <cellStyle name="Normal 5 4 3 7 3" xfId="11130" xr:uid="{9FB289A8-2ED3-43C2-8C9F-4C4D5F1DFD6B}"/>
    <cellStyle name="Normal 5 4 3 7 4" xfId="19578" xr:uid="{171F65BB-99CA-4E7F-AB25-DB3C9BE37A8E}"/>
    <cellStyle name="Normal 5 4 3 8" xfId="4833" xr:uid="{00000000-0005-0000-0000-0000251B0000}"/>
    <cellStyle name="Normal 5 4 3 8 2" xfId="13283" xr:uid="{4E2880EB-EF8B-4556-A9E5-6DC4D8A38CF2}"/>
    <cellStyle name="Normal 5 4 3 8 3" xfId="21730" xr:uid="{064AFD40-AB08-480A-9F32-874ED2823EF1}"/>
    <cellStyle name="Normal 5 4 3 9" xfId="9065" xr:uid="{C13E5154-8E7A-400E-BE72-49D550FACA72}"/>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98F4BB04-B3F5-4555-B0CA-CB5C0EB31C2B}"/>
    <cellStyle name="Normal 5 4 4 2 2 2 3" xfId="24290" xr:uid="{DC7489D6-ECAB-4027-833D-73095B007225}"/>
    <cellStyle name="Normal 5 4 4 2 2 3" xfId="11625" xr:uid="{D92D8A2E-1C2C-4A00-8693-AABE10237765}"/>
    <cellStyle name="Normal 5 4 4 2 2 4" xfId="20073" xr:uid="{EDDF3B4E-E73C-4C1E-8C56-A3463DF8FAB2}"/>
    <cellStyle name="Normal 5 4 4 2 3" xfId="5248" xr:uid="{00000000-0005-0000-0000-00002A1B0000}"/>
    <cellStyle name="Normal 5 4 4 2 3 2" xfId="13698" xr:uid="{DBF41262-1349-418B-A143-E57197C2AD1E}"/>
    <cellStyle name="Normal 5 4 4 2 3 3" xfId="22145" xr:uid="{942B5B83-297D-49BB-A8B0-FFCD6896E2ED}"/>
    <cellStyle name="Normal 5 4 4 2 4" xfId="9480" xr:uid="{029867D3-06ED-45DE-9558-5932150F4C88}"/>
    <cellStyle name="Normal 5 4 4 2 5" xfId="17928" xr:uid="{2CB723A5-DD15-49C5-A885-4576391B9383}"/>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A1FEC748-8A07-45C5-A3C0-963600D35CFF}"/>
    <cellStyle name="Normal 5 4 4 3 2 2 3" xfId="24703" xr:uid="{EC38BCFB-E86E-4E23-9A86-23A4836E55BE}"/>
    <cellStyle name="Normal 5 4 4 3 2 3" xfId="12038" xr:uid="{D0872387-044F-4DC7-81A2-F60BE2B52F39}"/>
    <cellStyle name="Normal 5 4 4 3 2 4" xfId="20486" xr:uid="{9B8B40A5-C8A0-4546-9C65-549E22B085F8}"/>
    <cellStyle name="Normal 5 4 4 3 3" xfId="5661" xr:uid="{00000000-0005-0000-0000-00002E1B0000}"/>
    <cellStyle name="Normal 5 4 4 3 3 2" xfId="14111" xr:uid="{7E5B0396-60F0-4D47-93D6-B228452B514A}"/>
    <cellStyle name="Normal 5 4 4 3 3 3" xfId="22558" xr:uid="{8EE0BBC8-5E2F-43BE-B2B8-A8B1091128E5}"/>
    <cellStyle name="Normal 5 4 4 3 4" xfId="9893" xr:uid="{F88AB120-3F67-46F4-8C90-AF7978B8E6B9}"/>
    <cellStyle name="Normal 5 4 4 3 5" xfId="18341" xr:uid="{5691030B-9CC4-48D7-9EB8-5CA88DB183EF}"/>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ABD6BE76-AD32-4F26-98D8-6FEBF9AEE8F0}"/>
    <cellStyle name="Normal 5 4 4 4 2 2 3" xfId="25116" xr:uid="{6CC33307-EF4E-464A-A298-9BED91F28D57}"/>
    <cellStyle name="Normal 5 4 4 4 2 3" xfId="12451" xr:uid="{66C00FC4-09F9-4A17-AC31-19BE7C376C4E}"/>
    <cellStyle name="Normal 5 4 4 4 2 4" xfId="20899" xr:uid="{35BAAFE9-B209-4A21-BE3C-4D127F9CEE44}"/>
    <cellStyle name="Normal 5 4 4 4 3" xfId="6074" xr:uid="{00000000-0005-0000-0000-0000321B0000}"/>
    <cellStyle name="Normal 5 4 4 4 3 2" xfId="14524" xr:uid="{4A220256-FBFA-4C45-A258-D255E1D4D2CA}"/>
    <cellStyle name="Normal 5 4 4 4 3 3" xfId="22971" xr:uid="{36C264E8-8075-4740-8C0E-E5B4C96BA328}"/>
    <cellStyle name="Normal 5 4 4 4 4" xfId="10306" xr:uid="{1998F750-C72A-430E-ABAF-13C75FB28786}"/>
    <cellStyle name="Normal 5 4 4 4 5" xfId="18754" xr:uid="{E26A573C-5B21-4983-8B74-C4371D5ACC2D}"/>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CE8365C5-A3D7-4567-A6D1-11EF7673C70E}"/>
    <cellStyle name="Normal 5 4 4 5 2 2 3" xfId="25529" xr:uid="{8D46DBCE-9B19-48D3-ABBE-ABD5B2CDD2DE}"/>
    <cellStyle name="Normal 5 4 4 5 2 3" xfId="12864" xr:uid="{5A61D14D-87D3-4B79-B0DB-83C369B5FEE5}"/>
    <cellStyle name="Normal 5 4 4 5 2 4" xfId="21312" xr:uid="{A3689717-03F3-4F90-8669-27ADF9B6E355}"/>
    <cellStyle name="Normal 5 4 4 5 3" xfId="6487" xr:uid="{00000000-0005-0000-0000-0000361B0000}"/>
    <cellStyle name="Normal 5 4 4 5 3 2" xfId="14937" xr:uid="{7751855C-CF85-4964-A010-CBDDAC3627A5}"/>
    <cellStyle name="Normal 5 4 4 5 3 3" xfId="23384" xr:uid="{A6AC4C1A-F6CE-4195-BE5F-C7EF7756F69B}"/>
    <cellStyle name="Normal 5 4 4 5 4" xfId="10719" xr:uid="{67238878-82E4-4AFC-9172-66AE7EA5D1C1}"/>
    <cellStyle name="Normal 5 4 4 5 5" xfId="19167" xr:uid="{17446673-A947-494A-BACC-61C5276641FC}"/>
    <cellStyle name="Normal 5 4 4 6" xfId="2617" xr:uid="{00000000-0005-0000-0000-0000371B0000}"/>
    <cellStyle name="Normal 5 4 4 6 2" xfId="6900" xr:uid="{00000000-0005-0000-0000-0000381B0000}"/>
    <cellStyle name="Normal 5 4 4 6 2 2" xfId="15350" xr:uid="{CF884829-2E2B-46BB-9CAF-273B1B142B5E}"/>
    <cellStyle name="Normal 5 4 4 6 2 3" xfId="23797" xr:uid="{9AA40188-90CB-4EFD-8D77-50FAF9F48BA4}"/>
    <cellStyle name="Normal 5 4 4 6 3" xfId="11132" xr:uid="{E8757812-DECE-4D8B-B233-4048705A94C6}"/>
    <cellStyle name="Normal 5 4 4 6 4" xfId="19580" xr:uid="{9470DA77-B11F-46D6-8ED8-71E298BB5D57}"/>
    <cellStyle name="Normal 5 4 4 7" xfId="4835" xr:uid="{00000000-0005-0000-0000-0000391B0000}"/>
    <cellStyle name="Normal 5 4 4 7 2" xfId="13285" xr:uid="{D282E58C-578C-4DAE-ACFA-F9B64C6FC403}"/>
    <cellStyle name="Normal 5 4 4 7 3" xfId="21732" xr:uid="{F873CE68-6B8F-4F3F-9C86-032408F59B7C}"/>
    <cellStyle name="Normal 5 4 4 8" xfId="9067" xr:uid="{C09CA218-5519-48AF-9705-D30D13B7002C}"/>
    <cellStyle name="Normal 5 4 4 9" xfId="17515" xr:uid="{8D37290C-5F9E-4115-AC56-03A818950620}"/>
    <cellStyle name="Normal 5 4 5" xfId="930" xr:uid="{00000000-0005-0000-0000-00003A1B0000}"/>
    <cellStyle name="Normal 5 4 5 2" xfId="3164" xr:uid="{00000000-0005-0000-0000-00003B1B0000}"/>
    <cellStyle name="Normal 5 4 5 2 2" xfId="7386" xr:uid="{00000000-0005-0000-0000-00003C1B0000}"/>
    <cellStyle name="Normal 5 4 5 2 2 2" xfId="15836" xr:uid="{AA6ED4F9-4DCD-4802-8A79-C82D463280C7}"/>
    <cellStyle name="Normal 5 4 5 2 2 3" xfId="24283" xr:uid="{19A3AF5B-8CE5-49F3-8DDD-B1674CAED505}"/>
    <cellStyle name="Normal 5 4 5 2 3" xfId="11618" xr:uid="{4BD22605-B2AE-4D0A-BA13-103BCE0C8A59}"/>
    <cellStyle name="Normal 5 4 5 2 4" xfId="20066" xr:uid="{BFE0BC2C-A062-42B2-A8A0-8B8CA63D93BE}"/>
    <cellStyle name="Normal 5 4 5 3" xfId="5241" xr:uid="{00000000-0005-0000-0000-00003D1B0000}"/>
    <cellStyle name="Normal 5 4 5 3 2" xfId="13691" xr:uid="{4A0F8D51-F693-40AE-B69E-2CDAC945646E}"/>
    <cellStyle name="Normal 5 4 5 3 3" xfId="22138" xr:uid="{91A256C9-7638-4E8C-994A-7A1D8261BC72}"/>
    <cellStyle name="Normal 5 4 5 4" xfId="9473" xr:uid="{CA600ADF-B026-4458-B458-AE43133A7997}"/>
    <cellStyle name="Normal 5 4 5 5" xfId="17921" xr:uid="{81BFA2C4-E4AF-43FA-BA61-A86AD50EABC6}"/>
    <cellStyle name="Normal 5 4 6" xfId="1347" xr:uid="{00000000-0005-0000-0000-00003E1B0000}"/>
    <cellStyle name="Normal 5 4 6 2" xfId="3577" xr:uid="{00000000-0005-0000-0000-00003F1B0000}"/>
    <cellStyle name="Normal 5 4 6 2 2" xfId="7799" xr:uid="{00000000-0005-0000-0000-0000401B0000}"/>
    <cellStyle name="Normal 5 4 6 2 2 2" xfId="16249" xr:uid="{093FBD37-0CB2-4442-AEC0-C9C142BB5AF7}"/>
    <cellStyle name="Normal 5 4 6 2 2 3" xfId="24696" xr:uid="{AFF13C16-893E-4927-9B9C-77E6BEE83311}"/>
    <cellStyle name="Normal 5 4 6 2 3" xfId="12031" xr:uid="{5CDCFDB5-3F6C-41EA-9787-756042E92C88}"/>
    <cellStyle name="Normal 5 4 6 2 4" xfId="20479" xr:uid="{BA1D6B46-E304-4686-B336-B05A2EF45088}"/>
    <cellStyle name="Normal 5 4 6 3" xfId="5654" xr:uid="{00000000-0005-0000-0000-0000411B0000}"/>
    <cellStyle name="Normal 5 4 6 3 2" xfId="14104" xr:uid="{7B56B1AD-4BC0-4806-A1D0-9A5AD452A842}"/>
    <cellStyle name="Normal 5 4 6 3 3" xfId="22551" xr:uid="{F75219CA-4E97-4F8E-A5F6-6F019CC59C84}"/>
    <cellStyle name="Normal 5 4 6 4" xfId="9886" xr:uid="{D146B104-1DE2-4B0E-8952-237D2DB6B59B}"/>
    <cellStyle name="Normal 5 4 6 5" xfId="18334" xr:uid="{B4F18EED-953A-4009-9890-B5159CB549F3}"/>
    <cellStyle name="Normal 5 4 7" xfId="1760" xr:uid="{00000000-0005-0000-0000-0000421B0000}"/>
    <cellStyle name="Normal 5 4 7 2" xfId="3990" xr:uid="{00000000-0005-0000-0000-0000431B0000}"/>
    <cellStyle name="Normal 5 4 7 2 2" xfId="8212" xr:uid="{00000000-0005-0000-0000-0000441B0000}"/>
    <cellStyle name="Normal 5 4 7 2 2 2" xfId="16662" xr:uid="{83F37DAC-B479-43EA-BEB3-F245CE6719B7}"/>
    <cellStyle name="Normal 5 4 7 2 2 3" xfId="25109" xr:uid="{6EB02DD1-CD9D-40D6-9EEA-4CDDCB934592}"/>
    <cellStyle name="Normal 5 4 7 2 3" xfId="12444" xr:uid="{5BA5E546-321A-4088-ABDA-3EFCE0369B06}"/>
    <cellStyle name="Normal 5 4 7 2 4" xfId="20892" xr:uid="{BCF2D9BE-9E5D-4ED3-BBDF-BF7E16078BAF}"/>
    <cellStyle name="Normal 5 4 7 3" xfId="6067" xr:uid="{00000000-0005-0000-0000-0000451B0000}"/>
    <cellStyle name="Normal 5 4 7 3 2" xfId="14517" xr:uid="{90D4ACE2-E79A-44AA-8339-182360BF0342}"/>
    <cellStyle name="Normal 5 4 7 3 3" xfId="22964" xr:uid="{5F041625-1A2F-450B-A51C-48D75F496958}"/>
    <cellStyle name="Normal 5 4 7 4" xfId="10299" xr:uid="{960CA91D-61B4-4A0C-B300-1C464044CC5A}"/>
    <cellStyle name="Normal 5 4 7 5" xfId="18747" xr:uid="{E379916B-A062-4D43-8209-EA4183C1356F}"/>
    <cellStyle name="Normal 5 4 8" xfId="2174" xr:uid="{00000000-0005-0000-0000-0000461B0000}"/>
    <cellStyle name="Normal 5 4 8 2" xfId="4403" xr:uid="{00000000-0005-0000-0000-0000471B0000}"/>
    <cellStyle name="Normal 5 4 8 2 2" xfId="8625" xr:uid="{00000000-0005-0000-0000-0000481B0000}"/>
    <cellStyle name="Normal 5 4 8 2 2 2" xfId="17075" xr:uid="{221BEE97-CBF0-4CB0-A46A-2FB4822D508B}"/>
    <cellStyle name="Normal 5 4 8 2 2 3" xfId="25522" xr:uid="{26082164-355F-4520-9238-826C781FB9E0}"/>
    <cellStyle name="Normal 5 4 8 2 3" xfId="12857" xr:uid="{9DF1EE34-F034-431C-9FCD-C7C06BF1C67E}"/>
    <cellStyle name="Normal 5 4 8 2 4" xfId="21305" xr:uid="{C83EF467-A4F9-4909-B5BB-14C3D85866A6}"/>
    <cellStyle name="Normal 5 4 8 3" xfId="6480" xr:uid="{00000000-0005-0000-0000-0000491B0000}"/>
    <cellStyle name="Normal 5 4 8 3 2" xfId="14930" xr:uid="{A400E788-63BF-47A7-97CD-F1E645103E13}"/>
    <cellStyle name="Normal 5 4 8 3 3" xfId="23377" xr:uid="{244714B2-A810-4F99-94F7-63F957E5B59A}"/>
    <cellStyle name="Normal 5 4 8 4" xfId="10712" xr:uid="{C72BB6A8-82F8-4C4D-8BA2-7C1ED032D8BB}"/>
    <cellStyle name="Normal 5 4 8 5" xfId="19160" xr:uid="{77492C51-0D5F-405C-9249-A403D6B0CCFE}"/>
    <cellStyle name="Normal 5 4 9" xfId="2610" xr:uid="{00000000-0005-0000-0000-00004A1B0000}"/>
    <cellStyle name="Normal 5 4 9 2" xfId="6893" xr:uid="{00000000-0005-0000-0000-00004B1B0000}"/>
    <cellStyle name="Normal 5 4 9 2 2" xfId="15343" xr:uid="{EAAC1068-4E3E-4758-8494-FC1E825824E4}"/>
    <cellStyle name="Normal 5 4 9 2 3" xfId="23790" xr:uid="{86F0D34F-AE4C-41C0-8DC2-3EC6BB05BFBB}"/>
    <cellStyle name="Normal 5 4 9 3" xfId="11125" xr:uid="{807686B2-C233-4E7A-8109-244817B91CE2}"/>
    <cellStyle name="Normal 5 4 9 4" xfId="19573" xr:uid="{9F9BCB7F-35D5-465D-8C4D-556FFDAE9571}"/>
    <cellStyle name="Normal 5 5" xfId="464" xr:uid="{00000000-0005-0000-0000-00004C1B0000}"/>
    <cellStyle name="Normal 5 5 10" xfId="9068" xr:uid="{3289DA3C-E432-437E-8EEC-63B84ADE422B}"/>
    <cellStyle name="Normal 5 5 11" xfId="17516" xr:uid="{33A85755-8238-4BD2-A242-F91386668A8C}"/>
    <cellStyle name="Normal 5 5 2" xfId="465" xr:uid="{00000000-0005-0000-0000-00004D1B0000}"/>
    <cellStyle name="Normal 5 5 2 10" xfId="17517" xr:uid="{D74666E0-192D-47CF-BC1D-4AA446FEC523}"/>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6DACEC1C-A106-4C70-BBBD-CA0C7E30FBB5}"/>
    <cellStyle name="Normal 5 5 2 2 2 2 2 3" xfId="24293" xr:uid="{E755E18D-DE1B-4E0D-95E5-44A869B62079}"/>
    <cellStyle name="Normal 5 5 2 2 2 2 3" xfId="11628" xr:uid="{AE05E494-8745-42C4-8F66-1D6C64A58429}"/>
    <cellStyle name="Normal 5 5 2 2 2 2 4" xfId="20076" xr:uid="{DD0A2032-2E98-429A-813E-7130852CA06B}"/>
    <cellStyle name="Normal 5 5 2 2 2 3" xfId="5251" xr:uid="{00000000-0005-0000-0000-0000521B0000}"/>
    <cellStyle name="Normal 5 5 2 2 2 3 2" xfId="13701" xr:uid="{CC27111D-C204-4FE4-80FE-CCB9CF100E0F}"/>
    <cellStyle name="Normal 5 5 2 2 2 3 3" xfId="22148" xr:uid="{87DD5159-0CCB-4C2C-AA60-D45F083AF64E}"/>
    <cellStyle name="Normal 5 5 2 2 2 4" xfId="9483" xr:uid="{B028DE10-9383-440D-8DE1-A46751B0BFE0}"/>
    <cellStyle name="Normal 5 5 2 2 2 5" xfId="17931" xr:uid="{CAC3DA8E-FB6E-4159-A7E4-BA53A470630C}"/>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E26DAB39-1ACB-46CD-8E53-87C65293876C}"/>
    <cellStyle name="Normal 5 5 2 2 3 2 2 3" xfId="24706" xr:uid="{5AAAD14B-8147-4A62-9B26-124300E62D08}"/>
    <cellStyle name="Normal 5 5 2 2 3 2 3" xfId="12041" xr:uid="{B4F8A81E-4362-4671-908D-E0A5B8D67EDB}"/>
    <cellStyle name="Normal 5 5 2 2 3 2 4" xfId="20489" xr:uid="{6E0210E3-BD13-4B40-82AD-115799AE441A}"/>
    <cellStyle name="Normal 5 5 2 2 3 3" xfId="5664" xr:uid="{00000000-0005-0000-0000-0000561B0000}"/>
    <cellStyle name="Normal 5 5 2 2 3 3 2" xfId="14114" xr:uid="{86821E7C-5119-4396-B010-7FF4E4768B70}"/>
    <cellStyle name="Normal 5 5 2 2 3 3 3" xfId="22561" xr:uid="{BD8B37E1-9FD4-4DDE-9354-AD4D1FB3DEAB}"/>
    <cellStyle name="Normal 5 5 2 2 3 4" xfId="9896" xr:uid="{B5C417FB-34C0-40F9-8F0A-9E743441B6F9}"/>
    <cellStyle name="Normal 5 5 2 2 3 5" xfId="18344" xr:uid="{41E17F2D-BB3D-4700-A466-101D211F82AB}"/>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9C9E3B05-D909-41E6-B5E7-BE51DEE789AB}"/>
    <cellStyle name="Normal 5 5 2 2 4 2 2 3" xfId="25119" xr:uid="{3A66EDB8-7869-4986-B307-A21169B946A8}"/>
    <cellStyle name="Normal 5 5 2 2 4 2 3" xfId="12454" xr:uid="{43D8B591-B62B-436C-9DE9-8B8A42C41EAA}"/>
    <cellStyle name="Normal 5 5 2 2 4 2 4" xfId="20902" xr:uid="{EA4D7330-BAD6-41F5-A5CB-4B325137F310}"/>
    <cellStyle name="Normal 5 5 2 2 4 3" xfId="6077" xr:uid="{00000000-0005-0000-0000-00005A1B0000}"/>
    <cellStyle name="Normal 5 5 2 2 4 3 2" xfId="14527" xr:uid="{82D3D71B-2ED1-4AB3-847F-2D8660DBF9BE}"/>
    <cellStyle name="Normal 5 5 2 2 4 3 3" xfId="22974" xr:uid="{B1ADBD87-36C1-445B-A247-B82172A6B055}"/>
    <cellStyle name="Normal 5 5 2 2 4 4" xfId="10309" xr:uid="{87731087-BFC0-4392-8F6A-08E9679D8218}"/>
    <cellStyle name="Normal 5 5 2 2 4 5" xfId="18757" xr:uid="{2243AE4B-56EF-424E-A655-A31CA975B19E}"/>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20DD66AA-9B67-4357-B1F7-F8B4EBEAD5F1}"/>
    <cellStyle name="Normal 5 5 2 2 5 2 2 3" xfId="25532" xr:uid="{7A54A639-E98B-4037-A5AF-1B8DA114C0C0}"/>
    <cellStyle name="Normal 5 5 2 2 5 2 3" xfId="12867" xr:uid="{3D846314-263A-4E0F-A0DD-024BD0F6590C}"/>
    <cellStyle name="Normal 5 5 2 2 5 2 4" xfId="21315" xr:uid="{7E3416C7-FC70-4015-A570-E51A7300A2BA}"/>
    <cellStyle name="Normal 5 5 2 2 5 3" xfId="6490" xr:uid="{00000000-0005-0000-0000-00005E1B0000}"/>
    <cellStyle name="Normal 5 5 2 2 5 3 2" xfId="14940" xr:uid="{E3096FB6-C35A-4653-8B23-49EF8DCD5545}"/>
    <cellStyle name="Normal 5 5 2 2 5 3 3" xfId="23387" xr:uid="{675CEE66-B12B-477A-931B-097401D91D98}"/>
    <cellStyle name="Normal 5 5 2 2 5 4" xfId="10722" xr:uid="{99D33FD9-CEDF-4719-831B-00D6F53D85FF}"/>
    <cellStyle name="Normal 5 5 2 2 5 5" xfId="19170" xr:uid="{3275ABEA-3F0A-4AF4-83D0-9827844CD551}"/>
    <cellStyle name="Normal 5 5 2 2 6" xfId="2620" xr:uid="{00000000-0005-0000-0000-00005F1B0000}"/>
    <cellStyle name="Normal 5 5 2 2 6 2" xfId="6903" xr:uid="{00000000-0005-0000-0000-0000601B0000}"/>
    <cellStyle name="Normal 5 5 2 2 6 2 2" xfId="15353" xr:uid="{045621A3-CFC9-4436-A7DF-492B64BB47E1}"/>
    <cellStyle name="Normal 5 5 2 2 6 2 3" xfId="23800" xr:uid="{E860EC69-2AEE-464C-93F3-27BC155581FC}"/>
    <cellStyle name="Normal 5 5 2 2 6 3" xfId="11135" xr:uid="{102EB225-0908-4427-9C3A-3BBF3E090C84}"/>
    <cellStyle name="Normal 5 5 2 2 6 4" xfId="19583" xr:uid="{C0493CEF-C3E8-4AE5-A56E-1613CBF7C060}"/>
    <cellStyle name="Normal 5 5 2 2 7" xfId="4838" xr:uid="{00000000-0005-0000-0000-0000611B0000}"/>
    <cellStyle name="Normal 5 5 2 2 7 2" xfId="13288" xr:uid="{38CB7718-BCC0-481D-9A09-1D295D5B5B60}"/>
    <cellStyle name="Normal 5 5 2 2 7 3" xfId="21735" xr:uid="{EDD742B3-5534-4EB5-95CA-B257E8300D76}"/>
    <cellStyle name="Normal 5 5 2 2 8" xfId="9070" xr:uid="{7B26B228-E657-472F-A61C-D5084733B73A}"/>
    <cellStyle name="Normal 5 5 2 2 9" xfId="17518" xr:uid="{B67ED3CC-FED6-4243-85A6-0F2F6FF383EF}"/>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1B1D2591-1050-4D6C-95E3-35FB94B80E85}"/>
    <cellStyle name="Normal 5 5 2 3 2 2 3" xfId="24292" xr:uid="{CFF97C5D-F525-4F59-82F0-27EBF1C74D26}"/>
    <cellStyle name="Normal 5 5 2 3 2 3" xfId="11627" xr:uid="{47F381A0-4FBB-4AF5-ADFF-E3466BC331E2}"/>
    <cellStyle name="Normal 5 5 2 3 2 4" xfId="20075" xr:uid="{5D563C23-81E1-41E2-A48D-4C157D2A1EAE}"/>
    <cellStyle name="Normal 5 5 2 3 3" xfId="5250" xr:uid="{00000000-0005-0000-0000-0000651B0000}"/>
    <cellStyle name="Normal 5 5 2 3 3 2" xfId="13700" xr:uid="{1DC675A4-1EE1-450A-A2EB-AB73FF5E8F8F}"/>
    <cellStyle name="Normal 5 5 2 3 3 3" xfId="22147" xr:uid="{BC71BCCE-77CD-4F59-8DAA-10DF3DEC89FA}"/>
    <cellStyle name="Normal 5 5 2 3 4" xfId="9482" xr:uid="{D7C4C99F-0FC4-4C62-9B52-8AE7E14FE198}"/>
    <cellStyle name="Normal 5 5 2 3 5" xfId="17930" xr:uid="{D45F660E-2905-4634-9898-C7CCF967E4F2}"/>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90A2A8E3-D5F5-4101-9EA1-843A786BF3E5}"/>
    <cellStyle name="Normal 5 5 2 4 2 2 3" xfId="24705" xr:uid="{353A080E-E67E-43A9-8C59-92225E4BB606}"/>
    <cellStyle name="Normal 5 5 2 4 2 3" xfId="12040" xr:uid="{C0A3F315-C07A-41E5-8B3D-1E4C7A22330F}"/>
    <cellStyle name="Normal 5 5 2 4 2 4" xfId="20488" xr:uid="{8248937A-76CA-4929-926E-2B39DA31AEFE}"/>
    <cellStyle name="Normal 5 5 2 4 3" xfId="5663" xr:uid="{00000000-0005-0000-0000-0000691B0000}"/>
    <cellStyle name="Normal 5 5 2 4 3 2" xfId="14113" xr:uid="{CEC51B76-F224-43B4-A484-6B7DEAF31D72}"/>
    <cellStyle name="Normal 5 5 2 4 3 3" xfId="22560" xr:uid="{57587A7A-6C32-4667-943E-7552179B2EF9}"/>
    <cellStyle name="Normal 5 5 2 4 4" xfId="9895" xr:uid="{F475FBA3-D13E-4E69-8F84-2D5CD367614C}"/>
    <cellStyle name="Normal 5 5 2 4 5" xfId="18343" xr:uid="{0C5D8F15-2427-4D30-BBC7-CA28E0C55C5C}"/>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35553716-5EC0-4014-943F-58F816E74D40}"/>
    <cellStyle name="Normal 5 5 2 5 2 2 3" xfId="25118" xr:uid="{9CC83E95-01BC-4B60-8BE4-858116486032}"/>
    <cellStyle name="Normal 5 5 2 5 2 3" xfId="12453" xr:uid="{691B611F-43C9-4A0B-9F5D-635886A16F5F}"/>
    <cellStyle name="Normal 5 5 2 5 2 4" xfId="20901" xr:uid="{E6DF6018-47C8-4DA1-95FF-765F32660B99}"/>
    <cellStyle name="Normal 5 5 2 5 3" xfId="6076" xr:uid="{00000000-0005-0000-0000-00006D1B0000}"/>
    <cellStyle name="Normal 5 5 2 5 3 2" xfId="14526" xr:uid="{BE94A1C2-D2BD-4D15-B2E8-9DC77B7C240D}"/>
    <cellStyle name="Normal 5 5 2 5 3 3" xfId="22973" xr:uid="{658D6C3C-585D-4A45-8F17-C515BCB63186}"/>
    <cellStyle name="Normal 5 5 2 5 4" xfId="10308" xr:uid="{9AB263EE-DEDD-41C9-8866-DF6F112BD52C}"/>
    <cellStyle name="Normal 5 5 2 5 5" xfId="18756" xr:uid="{3A0507E1-A512-4093-ADFB-CC0650A79418}"/>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44C130D3-D300-457A-948D-445D72DC341D}"/>
    <cellStyle name="Normal 5 5 2 6 2 2 3" xfId="25531" xr:uid="{CABD611F-7FEA-47E3-B94A-CED4856A5841}"/>
    <cellStyle name="Normal 5 5 2 6 2 3" xfId="12866" xr:uid="{E2E4AE8B-D721-4B42-B22A-5A1DA01764E5}"/>
    <cellStyle name="Normal 5 5 2 6 2 4" xfId="21314" xr:uid="{1541F40F-DF09-4733-A731-BB372E2E57C7}"/>
    <cellStyle name="Normal 5 5 2 6 3" xfId="6489" xr:uid="{00000000-0005-0000-0000-0000711B0000}"/>
    <cellStyle name="Normal 5 5 2 6 3 2" xfId="14939" xr:uid="{BC3200C9-CA35-424F-8975-582ED525683B}"/>
    <cellStyle name="Normal 5 5 2 6 3 3" xfId="23386" xr:uid="{E6C5CE10-BC9B-46A2-BC56-FB6DCE480D26}"/>
    <cellStyle name="Normal 5 5 2 6 4" xfId="10721" xr:uid="{08E5000E-4425-4208-B825-4275BD99BEDA}"/>
    <cellStyle name="Normal 5 5 2 6 5" xfId="19169" xr:uid="{C2800460-0974-41A2-A60B-BF0B9CE4670E}"/>
    <cellStyle name="Normal 5 5 2 7" xfId="2619" xr:uid="{00000000-0005-0000-0000-0000721B0000}"/>
    <cellStyle name="Normal 5 5 2 7 2" xfId="6902" xr:uid="{00000000-0005-0000-0000-0000731B0000}"/>
    <cellStyle name="Normal 5 5 2 7 2 2" xfId="15352" xr:uid="{539017D6-3E9A-4681-9082-20F3E3CA3D63}"/>
    <cellStyle name="Normal 5 5 2 7 2 3" xfId="23799" xr:uid="{CBE8BBCE-6977-4BAB-9FAD-896913940517}"/>
    <cellStyle name="Normal 5 5 2 7 3" xfId="11134" xr:uid="{7C8BC31E-3134-42B2-9E1C-2399B735B647}"/>
    <cellStyle name="Normal 5 5 2 7 4" xfId="19582" xr:uid="{8F7BBBF1-7D48-4B03-B7D6-64149FDDE934}"/>
    <cellStyle name="Normal 5 5 2 8" xfId="4837" xr:uid="{00000000-0005-0000-0000-0000741B0000}"/>
    <cellStyle name="Normal 5 5 2 8 2" xfId="13287" xr:uid="{7B19A80E-448E-4AD7-BF10-B5B86024F314}"/>
    <cellStyle name="Normal 5 5 2 8 3" xfId="21734" xr:uid="{1B6A3921-B05E-44AC-9135-E0FAC7D60BB6}"/>
    <cellStyle name="Normal 5 5 2 9" xfId="9069" xr:uid="{EDC571FA-82E2-4018-9EC1-060742E32C91}"/>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5321C865-9409-4592-B653-9E3A53BE4862}"/>
    <cellStyle name="Normal 5 5 3 2 2 2 3" xfId="24294" xr:uid="{ED4B9B55-16D9-46BE-9E9A-5961A60EB2FB}"/>
    <cellStyle name="Normal 5 5 3 2 2 3" xfId="11629" xr:uid="{CC84AA69-92A0-4B89-B7C8-5CEFF030B174}"/>
    <cellStyle name="Normal 5 5 3 2 2 4" xfId="20077" xr:uid="{D3A3AF1C-FEA7-451B-AFA5-874970AAE9D9}"/>
    <cellStyle name="Normal 5 5 3 2 3" xfId="5252" xr:uid="{00000000-0005-0000-0000-0000791B0000}"/>
    <cellStyle name="Normal 5 5 3 2 3 2" xfId="13702" xr:uid="{B32BA7DC-247B-42E6-A738-1A4FCD70E385}"/>
    <cellStyle name="Normal 5 5 3 2 3 3" xfId="22149" xr:uid="{0524957E-EC5A-4A29-9B09-2270C996E86F}"/>
    <cellStyle name="Normal 5 5 3 2 4" xfId="9484" xr:uid="{07394319-FAE4-459E-85D4-C830B7C367D6}"/>
    <cellStyle name="Normal 5 5 3 2 5" xfId="17932" xr:uid="{4EDA15F8-672F-4205-85EE-73ACC835E691}"/>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2E858BA5-C73C-4A54-BD8D-D031F87BF38F}"/>
    <cellStyle name="Normal 5 5 3 3 2 2 3" xfId="24707" xr:uid="{FEA038EF-51F9-4B49-9E07-9A888745F561}"/>
    <cellStyle name="Normal 5 5 3 3 2 3" xfId="12042" xr:uid="{F4F50633-F1A4-4092-A950-3815C63B179F}"/>
    <cellStyle name="Normal 5 5 3 3 2 4" xfId="20490" xr:uid="{E4A35F93-6114-49F9-AD50-DAB0FABCE08D}"/>
    <cellStyle name="Normal 5 5 3 3 3" xfId="5665" xr:uid="{00000000-0005-0000-0000-00007D1B0000}"/>
    <cellStyle name="Normal 5 5 3 3 3 2" xfId="14115" xr:uid="{9D4B6E79-08FD-4BE2-8569-1D49258F20F7}"/>
    <cellStyle name="Normal 5 5 3 3 3 3" xfId="22562" xr:uid="{8598A591-8751-4F60-B2F3-88175F5C1FD8}"/>
    <cellStyle name="Normal 5 5 3 3 4" xfId="9897" xr:uid="{713D0F20-8D21-468A-B941-6D150E61FDBA}"/>
    <cellStyle name="Normal 5 5 3 3 5" xfId="18345" xr:uid="{026FDC97-F8F7-4414-B577-9B27116E23BC}"/>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0CB72FA9-AB50-4CB0-9F43-1F18C29E2311}"/>
    <cellStyle name="Normal 5 5 3 4 2 2 3" xfId="25120" xr:uid="{56AC8332-D313-4563-9C12-3494A6D26AD1}"/>
    <cellStyle name="Normal 5 5 3 4 2 3" xfId="12455" xr:uid="{87A1DC32-A8FB-4594-851E-877B259C8FF4}"/>
    <cellStyle name="Normal 5 5 3 4 2 4" xfId="20903" xr:uid="{B7CE666C-9B32-4289-BF8A-61650269B1F6}"/>
    <cellStyle name="Normal 5 5 3 4 3" xfId="6078" xr:uid="{00000000-0005-0000-0000-0000811B0000}"/>
    <cellStyle name="Normal 5 5 3 4 3 2" xfId="14528" xr:uid="{1CE4D2E5-9989-4414-93A5-3CC85F47FCBF}"/>
    <cellStyle name="Normal 5 5 3 4 3 3" xfId="22975" xr:uid="{52D08843-1B18-4474-9649-6CD8B11F3DEB}"/>
    <cellStyle name="Normal 5 5 3 4 4" xfId="10310" xr:uid="{90B1A2BB-E06A-4940-B652-1F1B0542B30B}"/>
    <cellStyle name="Normal 5 5 3 4 5" xfId="18758" xr:uid="{AA9507B5-DF1F-4164-A34C-9E713FAB81CF}"/>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59B08801-CCAC-4D17-97BA-586D84409130}"/>
    <cellStyle name="Normal 5 5 3 5 2 2 3" xfId="25533" xr:uid="{EB5815C9-25AA-4D06-88F7-7598E555AD62}"/>
    <cellStyle name="Normal 5 5 3 5 2 3" xfId="12868" xr:uid="{E0CAEC45-98FC-4EC0-974F-BA5483828947}"/>
    <cellStyle name="Normal 5 5 3 5 2 4" xfId="21316" xr:uid="{D4B91316-31C5-4C5A-A644-C1A4721BCA93}"/>
    <cellStyle name="Normal 5 5 3 5 3" xfId="6491" xr:uid="{00000000-0005-0000-0000-0000851B0000}"/>
    <cellStyle name="Normal 5 5 3 5 3 2" xfId="14941" xr:uid="{EC4AE241-B307-4FA7-84DA-0B73178E5F52}"/>
    <cellStyle name="Normal 5 5 3 5 3 3" xfId="23388" xr:uid="{2B6CFDD6-727F-47F5-9823-0CAB2D861212}"/>
    <cellStyle name="Normal 5 5 3 5 4" xfId="10723" xr:uid="{765CB59B-282A-4B60-A371-F22A754F9BA8}"/>
    <cellStyle name="Normal 5 5 3 5 5" xfId="19171" xr:uid="{81CD757B-8D06-4070-8232-E22653F9E37C}"/>
    <cellStyle name="Normal 5 5 3 6" xfId="2621" xr:uid="{00000000-0005-0000-0000-0000861B0000}"/>
    <cellStyle name="Normal 5 5 3 6 2" xfId="6904" xr:uid="{00000000-0005-0000-0000-0000871B0000}"/>
    <cellStyle name="Normal 5 5 3 6 2 2" xfId="15354" xr:uid="{C4429D0F-DCFA-4FB4-8955-0B8951263D9A}"/>
    <cellStyle name="Normal 5 5 3 6 2 3" xfId="23801" xr:uid="{B7ED69B2-9A01-4EA8-9599-053717918276}"/>
    <cellStyle name="Normal 5 5 3 6 3" xfId="11136" xr:uid="{12C40978-F04B-4EB7-80C7-B80188DF72B1}"/>
    <cellStyle name="Normal 5 5 3 6 4" xfId="19584" xr:uid="{75A4F8E0-8E84-4895-9DC3-0D212E6A78DF}"/>
    <cellStyle name="Normal 5 5 3 7" xfId="4839" xr:uid="{00000000-0005-0000-0000-0000881B0000}"/>
    <cellStyle name="Normal 5 5 3 7 2" xfId="13289" xr:uid="{22EF42CF-F8F2-4C85-BBAC-A60D44FE4A9B}"/>
    <cellStyle name="Normal 5 5 3 7 3" xfId="21736" xr:uid="{D275155A-31B3-42BA-B864-5379B43EA818}"/>
    <cellStyle name="Normal 5 5 3 8" xfId="9071" xr:uid="{7B045699-4EE7-4752-9462-43DCBEEC96AB}"/>
    <cellStyle name="Normal 5 5 3 9" xfId="17519" xr:uid="{5CD7FE0B-914E-47F8-B8D3-F50978D62999}"/>
    <cellStyle name="Normal 5 5 4" xfId="938" xr:uid="{00000000-0005-0000-0000-0000891B0000}"/>
    <cellStyle name="Normal 5 5 4 2" xfId="3172" xr:uid="{00000000-0005-0000-0000-00008A1B0000}"/>
    <cellStyle name="Normal 5 5 4 2 2" xfId="7394" xr:uid="{00000000-0005-0000-0000-00008B1B0000}"/>
    <cellStyle name="Normal 5 5 4 2 2 2" xfId="15844" xr:uid="{125A1FD5-EF9A-42B8-9F4B-3C34D521BE8F}"/>
    <cellStyle name="Normal 5 5 4 2 2 3" xfId="24291" xr:uid="{7A2A79E7-D92C-458E-8737-999A90B45691}"/>
    <cellStyle name="Normal 5 5 4 2 3" xfId="11626" xr:uid="{747D06B1-9D3B-4705-92F9-E474216EC5A1}"/>
    <cellStyle name="Normal 5 5 4 2 4" xfId="20074" xr:uid="{88CE2388-121F-45B4-8401-15437F81C17A}"/>
    <cellStyle name="Normal 5 5 4 3" xfId="5249" xr:uid="{00000000-0005-0000-0000-00008C1B0000}"/>
    <cellStyle name="Normal 5 5 4 3 2" xfId="13699" xr:uid="{B8577AD2-FF97-40D7-B6D8-D53D13930443}"/>
    <cellStyle name="Normal 5 5 4 3 3" xfId="22146" xr:uid="{6D5AD86C-EC3A-4BAF-B1AA-1815446B6839}"/>
    <cellStyle name="Normal 5 5 4 4" xfId="9481" xr:uid="{7A71619C-D50D-43E0-A469-7DFDA68EE129}"/>
    <cellStyle name="Normal 5 5 4 5" xfId="17929" xr:uid="{3F16E539-07D1-4AA2-8842-6FEA0C51CF5E}"/>
    <cellStyle name="Normal 5 5 5" xfId="1355" xr:uid="{00000000-0005-0000-0000-00008D1B0000}"/>
    <cellStyle name="Normal 5 5 5 2" xfId="3585" xr:uid="{00000000-0005-0000-0000-00008E1B0000}"/>
    <cellStyle name="Normal 5 5 5 2 2" xfId="7807" xr:uid="{00000000-0005-0000-0000-00008F1B0000}"/>
    <cellStyle name="Normal 5 5 5 2 2 2" xfId="16257" xr:uid="{B4E3D470-04B6-4237-ADB8-BAFA9D24D2F3}"/>
    <cellStyle name="Normal 5 5 5 2 2 3" xfId="24704" xr:uid="{C34D1599-603D-4A40-8CA5-8ED05973821C}"/>
    <cellStyle name="Normal 5 5 5 2 3" xfId="12039" xr:uid="{D2B2EBAA-CA69-46FB-9092-AD9B9D01297E}"/>
    <cellStyle name="Normal 5 5 5 2 4" xfId="20487" xr:uid="{41CD0804-12F0-451C-815D-B51726DEB201}"/>
    <cellStyle name="Normal 5 5 5 3" xfId="5662" xr:uid="{00000000-0005-0000-0000-0000901B0000}"/>
    <cellStyle name="Normal 5 5 5 3 2" xfId="14112" xr:uid="{6B223D76-FF77-487E-9FF3-A3DDE59A7D5F}"/>
    <cellStyle name="Normal 5 5 5 3 3" xfId="22559" xr:uid="{5E6F8E20-2EFD-4491-833C-9B6833627C6D}"/>
    <cellStyle name="Normal 5 5 5 4" xfId="9894" xr:uid="{225968B7-68E4-45DA-BAD1-3A9F005D1C38}"/>
    <cellStyle name="Normal 5 5 5 5" xfId="18342" xr:uid="{74F549CA-4152-4673-9096-FFE55DB9FD23}"/>
    <cellStyle name="Normal 5 5 6" xfId="1768" xr:uid="{00000000-0005-0000-0000-0000911B0000}"/>
    <cellStyle name="Normal 5 5 6 2" xfId="3998" xr:uid="{00000000-0005-0000-0000-0000921B0000}"/>
    <cellStyle name="Normal 5 5 6 2 2" xfId="8220" xr:uid="{00000000-0005-0000-0000-0000931B0000}"/>
    <cellStyle name="Normal 5 5 6 2 2 2" xfId="16670" xr:uid="{4A1417ED-2141-46DD-A2DE-6F1641D6FF0B}"/>
    <cellStyle name="Normal 5 5 6 2 2 3" xfId="25117" xr:uid="{B39C0114-C3D6-44E8-8121-A1CE0768F343}"/>
    <cellStyle name="Normal 5 5 6 2 3" xfId="12452" xr:uid="{AA3A1314-5E12-4A8F-B545-336CEF745C43}"/>
    <cellStyle name="Normal 5 5 6 2 4" xfId="20900" xr:uid="{40B22813-107A-4AE7-BAB2-4ADD565779BD}"/>
    <cellStyle name="Normal 5 5 6 3" xfId="6075" xr:uid="{00000000-0005-0000-0000-0000941B0000}"/>
    <cellStyle name="Normal 5 5 6 3 2" xfId="14525" xr:uid="{CA405457-C6E7-4AE3-9F0B-1244E4ADE645}"/>
    <cellStyle name="Normal 5 5 6 3 3" xfId="22972" xr:uid="{0F2C7223-96B3-438E-8FD4-68AFA5D45332}"/>
    <cellStyle name="Normal 5 5 6 4" xfId="10307" xr:uid="{1292CC76-4F2D-4A33-8759-C4615D9841B3}"/>
    <cellStyle name="Normal 5 5 6 5" xfId="18755" xr:uid="{9AEF1753-8C01-4677-82ED-9DD7BE4504DA}"/>
    <cellStyle name="Normal 5 5 7" xfId="2182" xr:uid="{00000000-0005-0000-0000-0000951B0000}"/>
    <cellStyle name="Normal 5 5 7 2" xfId="4411" xr:uid="{00000000-0005-0000-0000-0000961B0000}"/>
    <cellStyle name="Normal 5 5 7 2 2" xfId="8633" xr:uid="{00000000-0005-0000-0000-0000971B0000}"/>
    <cellStyle name="Normal 5 5 7 2 2 2" xfId="17083" xr:uid="{F65FAC81-C916-45E0-BB55-B0B136B760E9}"/>
    <cellStyle name="Normal 5 5 7 2 2 3" xfId="25530" xr:uid="{27B38ADC-DB89-497E-AE00-7780B64BB24E}"/>
    <cellStyle name="Normal 5 5 7 2 3" xfId="12865" xr:uid="{C73FFD1F-DECD-49E0-938C-9B66A68FCB8E}"/>
    <cellStyle name="Normal 5 5 7 2 4" xfId="21313" xr:uid="{22E0D8FE-1996-4F9F-A136-973AE512FDDA}"/>
    <cellStyle name="Normal 5 5 7 3" xfId="6488" xr:uid="{00000000-0005-0000-0000-0000981B0000}"/>
    <cellStyle name="Normal 5 5 7 3 2" xfId="14938" xr:uid="{EB9F640F-C8C1-4FFC-88BF-1BC3FD6DE454}"/>
    <cellStyle name="Normal 5 5 7 3 3" xfId="23385" xr:uid="{CB456CCD-19E8-4AE0-B36B-6FD980A1B0F0}"/>
    <cellStyle name="Normal 5 5 7 4" xfId="10720" xr:uid="{CF6A3947-C4BB-4BB8-B24B-8034568093FD}"/>
    <cellStyle name="Normal 5 5 7 5" xfId="19168" xr:uid="{CFF682EB-35F7-4218-8BBB-297C5954D627}"/>
    <cellStyle name="Normal 5 5 8" xfId="2618" xr:uid="{00000000-0005-0000-0000-0000991B0000}"/>
    <cellStyle name="Normal 5 5 8 2" xfId="6901" xr:uid="{00000000-0005-0000-0000-00009A1B0000}"/>
    <cellStyle name="Normal 5 5 8 2 2" xfId="15351" xr:uid="{4387B84E-E2FB-4309-9A40-BD1EB0FB17AA}"/>
    <cellStyle name="Normal 5 5 8 2 3" xfId="23798" xr:uid="{39C9EF5E-8132-4932-90D1-A61CA20954CB}"/>
    <cellStyle name="Normal 5 5 8 3" xfId="11133" xr:uid="{EF6A9A24-A8BB-452F-AE9C-085B957D7F16}"/>
    <cellStyle name="Normal 5 5 8 4" xfId="19581" xr:uid="{206659C2-40B2-4C24-947A-1EEB79B65436}"/>
    <cellStyle name="Normal 5 5 9" xfId="4836" xr:uid="{00000000-0005-0000-0000-00009B1B0000}"/>
    <cellStyle name="Normal 5 5 9 2" xfId="13286" xr:uid="{1F8F475E-DB08-4BEF-98DA-3FD238045FA0}"/>
    <cellStyle name="Normal 5 5 9 3" xfId="21733" xr:uid="{AFF1A09E-9F45-4DF6-AFCB-29B1B80C7035}"/>
    <cellStyle name="Normal 5 6" xfId="468" xr:uid="{00000000-0005-0000-0000-00009C1B0000}"/>
    <cellStyle name="Normal 5 6 10" xfId="17520" xr:uid="{8154484A-A745-4547-8C17-D4ADB26DB218}"/>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EC88222B-3E8F-4B6F-9021-58A0BD97DB09}"/>
    <cellStyle name="Normal 5 6 2 2 2 2 3" xfId="24296" xr:uid="{EC0DF8B4-1C64-4847-BF46-42C2183CC194}"/>
    <cellStyle name="Normal 5 6 2 2 2 3" xfId="11631" xr:uid="{B861E342-0B8B-4446-B6E5-A22F125D7A45}"/>
    <cellStyle name="Normal 5 6 2 2 2 4" xfId="20079" xr:uid="{A79E04B0-3C53-4FFD-A2FB-1EBD1573B075}"/>
    <cellStyle name="Normal 5 6 2 2 3" xfId="5254" xr:uid="{00000000-0005-0000-0000-0000A11B0000}"/>
    <cellStyle name="Normal 5 6 2 2 3 2" xfId="13704" xr:uid="{0B3EEE0E-D20B-4ACC-AB50-B569A0076539}"/>
    <cellStyle name="Normal 5 6 2 2 3 3" xfId="22151" xr:uid="{B9678882-D319-460D-8671-FE426FA93138}"/>
    <cellStyle name="Normal 5 6 2 2 4" xfId="9486" xr:uid="{9CFA449A-7CA8-4CE3-8A0E-08953A7A0E19}"/>
    <cellStyle name="Normal 5 6 2 2 5" xfId="17934" xr:uid="{79592721-C172-4591-B479-BC4D8C9E915D}"/>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145B8188-4ADE-4B31-8EFA-91E5FA2C2C30}"/>
    <cellStyle name="Normal 5 6 2 3 2 2 3" xfId="24709" xr:uid="{E4916838-5129-4228-9569-9FC25C70F83A}"/>
    <cellStyle name="Normal 5 6 2 3 2 3" xfId="12044" xr:uid="{35B9DE70-6FCE-466F-8989-805EB5FE32E5}"/>
    <cellStyle name="Normal 5 6 2 3 2 4" xfId="20492" xr:uid="{45A5B411-A8BA-4DDA-9408-BE4749F0A13E}"/>
    <cellStyle name="Normal 5 6 2 3 3" xfId="5667" xr:uid="{00000000-0005-0000-0000-0000A51B0000}"/>
    <cellStyle name="Normal 5 6 2 3 3 2" xfId="14117" xr:uid="{4B802764-80A2-498E-B9E7-0A58C53BC648}"/>
    <cellStyle name="Normal 5 6 2 3 3 3" xfId="22564" xr:uid="{05E6B4E6-EE31-4528-8E47-F2F960F6BFB3}"/>
    <cellStyle name="Normal 5 6 2 3 4" xfId="9899" xr:uid="{4737A0BC-523B-4996-B86A-CAE4D6F1510E}"/>
    <cellStyle name="Normal 5 6 2 3 5" xfId="18347" xr:uid="{16A0B941-8A9A-4AC0-80C8-90DEE53846A8}"/>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E2BFD491-82DD-4434-8E4F-3914F656C625}"/>
    <cellStyle name="Normal 5 6 2 4 2 2 3" xfId="25122" xr:uid="{3BFB2B4B-0BF6-447F-A4FD-D8CC7BA4D74E}"/>
    <cellStyle name="Normal 5 6 2 4 2 3" xfId="12457" xr:uid="{56CFA677-FE05-42F1-B475-9B45A7F82B8C}"/>
    <cellStyle name="Normal 5 6 2 4 2 4" xfId="20905" xr:uid="{173D4A7B-19A3-4384-8CFA-EC34EA6E67D5}"/>
    <cellStyle name="Normal 5 6 2 4 3" xfId="6080" xr:uid="{00000000-0005-0000-0000-0000A91B0000}"/>
    <cellStyle name="Normal 5 6 2 4 3 2" xfId="14530" xr:uid="{E2A95F75-6B9D-43B5-B498-1F2044FAA480}"/>
    <cellStyle name="Normal 5 6 2 4 3 3" xfId="22977" xr:uid="{374F90AF-B34E-4896-AC7C-081648C19D4A}"/>
    <cellStyle name="Normal 5 6 2 4 4" xfId="10312" xr:uid="{9341883D-F8A6-4664-AAF5-F60D8BD10620}"/>
    <cellStyle name="Normal 5 6 2 4 5" xfId="18760" xr:uid="{EFC1C5B5-1397-4ACB-8F93-2BB8996B93B5}"/>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58D3E25E-F46F-4AA4-80DD-4B7F5929F93B}"/>
    <cellStyle name="Normal 5 6 2 5 2 2 3" xfId="25535" xr:uid="{0B64A0E4-DFFF-4359-ABB2-7D332BDB70C0}"/>
    <cellStyle name="Normal 5 6 2 5 2 3" xfId="12870" xr:uid="{20FC8153-D687-4A67-8457-907FBDA31F5E}"/>
    <cellStyle name="Normal 5 6 2 5 2 4" xfId="21318" xr:uid="{F9696176-0FD8-4CC3-912C-954717D5CB45}"/>
    <cellStyle name="Normal 5 6 2 5 3" xfId="6493" xr:uid="{00000000-0005-0000-0000-0000AD1B0000}"/>
    <cellStyle name="Normal 5 6 2 5 3 2" xfId="14943" xr:uid="{8851FFA6-083E-4C29-9CF5-4D347925062D}"/>
    <cellStyle name="Normal 5 6 2 5 3 3" xfId="23390" xr:uid="{F8C95F13-1EB7-4600-9C6E-AEEBD237FD94}"/>
    <cellStyle name="Normal 5 6 2 5 4" xfId="10725" xr:uid="{7DAE9DAA-ACB6-4AD9-8754-79A210466612}"/>
    <cellStyle name="Normal 5 6 2 5 5" xfId="19173" xr:uid="{E6368AD8-4E83-44E8-93F7-319BA666C464}"/>
    <cellStyle name="Normal 5 6 2 6" xfId="2623" xr:uid="{00000000-0005-0000-0000-0000AE1B0000}"/>
    <cellStyle name="Normal 5 6 2 6 2" xfId="6906" xr:uid="{00000000-0005-0000-0000-0000AF1B0000}"/>
    <cellStyle name="Normal 5 6 2 6 2 2" xfId="15356" xr:uid="{4CDEE088-3B2F-4E23-B4FD-0C64D2CF7FF6}"/>
    <cellStyle name="Normal 5 6 2 6 2 3" xfId="23803" xr:uid="{BC92C60C-6630-405D-8401-5AFC9943EA7C}"/>
    <cellStyle name="Normal 5 6 2 6 3" xfId="11138" xr:uid="{54FC939F-ACE5-4CF6-B211-AF886FC22298}"/>
    <cellStyle name="Normal 5 6 2 6 4" xfId="19586" xr:uid="{1223CFB8-4236-49EE-853E-5C7487191BAC}"/>
    <cellStyle name="Normal 5 6 2 7" xfId="4841" xr:uid="{00000000-0005-0000-0000-0000B01B0000}"/>
    <cellStyle name="Normal 5 6 2 7 2" xfId="13291" xr:uid="{C3A20987-5666-4AEA-ADA4-0F56D335F729}"/>
    <cellStyle name="Normal 5 6 2 7 3" xfId="21738" xr:uid="{47365D71-0F17-4F72-93E6-9F3BA235E082}"/>
    <cellStyle name="Normal 5 6 2 8" xfId="9073" xr:uid="{643AE05C-D355-4F6D-96C8-2F5666C52BB7}"/>
    <cellStyle name="Normal 5 6 2 9" xfId="17521" xr:uid="{C8CF3C65-C322-4CA3-9844-3772B38C0FC6}"/>
    <cellStyle name="Normal 5 6 3" xfId="942" xr:uid="{00000000-0005-0000-0000-0000B11B0000}"/>
    <cellStyle name="Normal 5 6 3 2" xfId="3176" xr:uid="{00000000-0005-0000-0000-0000B21B0000}"/>
    <cellStyle name="Normal 5 6 3 2 2" xfId="7398" xr:uid="{00000000-0005-0000-0000-0000B31B0000}"/>
    <cellStyle name="Normal 5 6 3 2 2 2" xfId="15848" xr:uid="{9BD6C18F-C9D9-4F3E-8AA3-8BD260B43D16}"/>
    <cellStyle name="Normal 5 6 3 2 2 3" xfId="24295" xr:uid="{F9C703D7-F3F9-4398-9C72-A0749DC3FE33}"/>
    <cellStyle name="Normal 5 6 3 2 3" xfId="11630" xr:uid="{17D1E7E0-84D9-48E8-B972-D4C0FC8B5357}"/>
    <cellStyle name="Normal 5 6 3 2 4" xfId="20078" xr:uid="{807A465C-B46C-4303-9DEE-3E63C874FA14}"/>
    <cellStyle name="Normal 5 6 3 3" xfId="5253" xr:uid="{00000000-0005-0000-0000-0000B41B0000}"/>
    <cellStyle name="Normal 5 6 3 3 2" xfId="13703" xr:uid="{61653359-86DE-4363-BD7A-99BB1ABE660F}"/>
    <cellStyle name="Normal 5 6 3 3 3" xfId="22150" xr:uid="{823DC2CF-3522-4784-BE44-4A5D824558BE}"/>
    <cellStyle name="Normal 5 6 3 4" xfId="9485" xr:uid="{11B6A0DB-675B-4D73-8848-C1BA54B8A04D}"/>
    <cellStyle name="Normal 5 6 3 5" xfId="17933" xr:uid="{ACF33C39-6D37-4A8B-A244-8D1C16BF394F}"/>
    <cellStyle name="Normal 5 6 4" xfId="1359" xr:uid="{00000000-0005-0000-0000-0000B51B0000}"/>
    <cellStyle name="Normal 5 6 4 2" xfId="3589" xr:uid="{00000000-0005-0000-0000-0000B61B0000}"/>
    <cellStyle name="Normal 5 6 4 2 2" xfId="7811" xr:uid="{00000000-0005-0000-0000-0000B71B0000}"/>
    <cellStyle name="Normal 5 6 4 2 2 2" xfId="16261" xr:uid="{6014FC61-3B9C-44F0-9A5C-D2F4D92ABFDE}"/>
    <cellStyle name="Normal 5 6 4 2 2 3" xfId="24708" xr:uid="{B4D86B32-435F-4E11-AF3E-FC77D98B9BAD}"/>
    <cellStyle name="Normal 5 6 4 2 3" xfId="12043" xr:uid="{8FD59397-208B-4F7E-A516-613CE5AE0569}"/>
    <cellStyle name="Normal 5 6 4 2 4" xfId="20491" xr:uid="{DA06E306-327D-45B5-AEFA-2A6E85DD9AA5}"/>
    <cellStyle name="Normal 5 6 4 3" xfId="5666" xr:uid="{00000000-0005-0000-0000-0000B81B0000}"/>
    <cellStyle name="Normal 5 6 4 3 2" xfId="14116" xr:uid="{E6562254-2C6A-4CC0-8A16-1DA020EFC8EC}"/>
    <cellStyle name="Normal 5 6 4 3 3" xfId="22563" xr:uid="{51884510-106C-4E77-BE27-E61FA0081A44}"/>
    <cellStyle name="Normal 5 6 4 4" xfId="9898" xr:uid="{D5FA8AD9-0639-485F-A8D9-EB34799FD36B}"/>
    <cellStyle name="Normal 5 6 4 5" xfId="18346" xr:uid="{1E19835B-4E84-498A-ABB3-03B7702841E7}"/>
    <cellStyle name="Normal 5 6 5" xfId="1772" xr:uid="{00000000-0005-0000-0000-0000B91B0000}"/>
    <cellStyle name="Normal 5 6 5 2" xfId="4002" xr:uid="{00000000-0005-0000-0000-0000BA1B0000}"/>
    <cellStyle name="Normal 5 6 5 2 2" xfId="8224" xr:uid="{00000000-0005-0000-0000-0000BB1B0000}"/>
    <cellStyle name="Normal 5 6 5 2 2 2" xfId="16674" xr:uid="{A8CBD62B-194D-4966-990D-EE96BB1C8934}"/>
    <cellStyle name="Normal 5 6 5 2 2 3" xfId="25121" xr:uid="{F4295C29-4AE0-4F6F-838B-1ADB355A55F0}"/>
    <cellStyle name="Normal 5 6 5 2 3" xfId="12456" xr:uid="{B52EDDDB-09B4-46FF-AAB0-79B89EE413B2}"/>
    <cellStyle name="Normal 5 6 5 2 4" xfId="20904" xr:uid="{176967DF-6570-4663-8B65-1883F7E29F42}"/>
    <cellStyle name="Normal 5 6 5 3" xfId="6079" xr:uid="{00000000-0005-0000-0000-0000BC1B0000}"/>
    <cellStyle name="Normal 5 6 5 3 2" xfId="14529" xr:uid="{4E271B79-F339-46B0-8E35-ADC0A6B97EA2}"/>
    <cellStyle name="Normal 5 6 5 3 3" xfId="22976" xr:uid="{A8DC28B8-007A-4C19-B3DA-226B697E9BE8}"/>
    <cellStyle name="Normal 5 6 5 4" xfId="10311" xr:uid="{E51FED6E-4906-4242-8BC6-7DBC98205400}"/>
    <cellStyle name="Normal 5 6 5 5" xfId="18759" xr:uid="{D1D2FC69-4F5D-4564-BA5C-C155F8D548E8}"/>
    <cellStyle name="Normal 5 6 6" xfId="2186" xr:uid="{00000000-0005-0000-0000-0000BD1B0000}"/>
    <cellStyle name="Normal 5 6 6 2" xfId="4415" xr:uid="{00000000-0005-0000-0000-0000BE1B0000}"/>
    <cellStyle name="Normal 5 6 6 2 2" xfId="8637" xr:uid="{00000000-0005-0000-0000-0000BF1B0000}"/>
    <cellStyle name="Normal 5 6 6 2 2 2" xfId="17087" xr:uid="{AAC912B8-23B7-4C5D-B68B-678B91F43639}"/>
    <cellStyle name="Normal 5 6 6 2 2 3" xfId="25534" xr:uid="{8381BAC4-5559-4D36-840D-5F05F71783CA}"/>
    <cellStyle name="Normal 5 6 6 2 3" xfId="12869" xr:uid="{F202509C-016D-4A40-9785-0B9B79971DEB}"/>
    <cellStyle name="Normal 5 6 6 2 4" xfId="21317" xr:uid="{6B4BEF1E-D9DE-4E96-B4B6-92D74012CD04}"/>
    <cellStyle name="Normal 5 6 6 3" xfId="6492" xr:uid="{00000000-0005-0000-0000-0000C01B0000}"/>
    <cellStyle name="Normal 5 6 6 3 2" xfId="14942" xr:uid="{318CF047-9CBF-4BD8-876E-24CBD8887C0D}"/>
    <cellStyle name="Normal 5 6 6 3 3" xfId="23389" xr:uid="{9A902A0C-072C-43E0-9198-DD8B2F9B0BCD}"/>
    <cellStyle name="Normal 5 6 6 4" xfId="10724" xr:uid="{C7E42840-A5BD-4C90-9359-3E38C35288F1}"/>
    <cellStyle name="Normal 5 6 6 5" xfId="19172" xr:uid="{6CE6C5EA-5DCC-417A-905F-F4FB0C59041B}"/>
    <cellStyle name="Normal 5 6 7" xfId="2622" xr:uid="{00000000-0005-0000-0000-0000C11B0000}"/>
    <cellStyle name="Normal 5 6 7 2" xfId="6905" xr:uid="{00000000-0005-0000-0000-0000C21B0000}"/>
    <cellStyle name="Normal 5 6 7 2 2" xfId="15355" xr:uid="{75A79FD8-D2E9-4237-970B-E72A770B543B}"/>
    <cellStyle name="Normal 5 6 7 2 3" xfId="23802" xr:uid="{63154A4C-DF6E-4E23-B0E1-126B75BB0C0E}"/>
    <cellStyle name="Normal 5 6 7 3" xfId="11137" xr:uid="{8C869671-1CA7-496B-BCCB-2F2F9740684E}"/>
    <cellStyle name="Normal 5 6 7 4" xfId="19585" xr:uid="{6860E288-F256-4FE1-B4C3-4444BCA6AB67}"/>
    <cellStyle name="Normal 5 6 8" xfId="4840" xr:uid="{00000000-0005-0000-0000-0000C31B0000}"/>
    <cellStyle name="Normal 5 6 8 2" xfId="13290" xr:uid="{E1400348-5F8B-45C2-AFF5-20507A131983}"/>
    <cellStyle name="Normal 5 6 8 3" xfId="21737" xr:uid="{73DA47FA-7888-41DD-B04F-E65D6BCDD860}"/>
    <cellStyle name="Normal 5 6 9" xfId="9072" xr:uid="{96F96C61-3D26-4928-960E-AEEDA7D0BEA7}"/>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A3AB2082-84F7-4B7C-946C-2C29032118A1}"/>
    <cellStyle name="Normal 5 7 2 2 2 3" xfId="24297" xr:uid="{07E5F038-8A97-47D7-873F-EBDE96469EB9}"/>
    <cellStyle name="Normal 5 7 2 2 3" xfId="11632" xr:uid="{585079AE-D7B1-49CF-B018-16159F9B2F04}"/>
    <cellStyle name="Normal 5 7 2 2 4" xfId="20080" xr:uid="{34F6D186-0F21-4FFC-B111-597E42B6DE99}"/>
    <cellStyle name="Normal 5 7 2 3" xfId="5255" xr:uid="{00000000-0005-0000-0000-0000C81B0000}"/>
    <cellStyle name="Normal 5 7 2 3 2" xfId="13705" xr:uid="{7F5DC8F5-FE06-4231-A461-FF01827D6126}"/>
    <cellStyle name="Normal 5 7 2 3 3" xfId="22152" xr:uid="{69CACEA9-4F76-4DD3-8235-17439587977D}"/>
    <cellStyle name="Normal 5 7 2 4" xfId="9487" xr:uid="{49DFE00E-93B4-4EE4-B265-6C8597A3E458}"/>
    <cellStyle name="Normal 5 7 2 5" xfId="17935" xr:uid="{E2E508FA-79F6-48E5-97B7-8CA490BB3163}"/>
    <cellStyle name="Normal 5 7 3" xfId="1361" xr:uid="{00000000-0005-0000-0000-0000C91B0000}"/>
    <cellStyle name="Normal 5 7 3 2" xfId="3591" xr:uid="{00000000-0005-0000-0000-0000CA1B0000}"/>
    <cellStyle name="Normal 5 7 3 2 2" xfId="7813" xr:uid="{00000000-0005-0000-0000-0000CB1B0000}"/>
    <cellStyle name="Normal 5 7 3 2 2 2" xfId="16263" xr:uid="{4A9D159B-8AB4-49FF-9AC0-1C379AD04226}"/>
    <cellStyle name="Normal 5 7 3 2 2 3" xfId="24710" xr:uid="{C6BC9011-F737-47F6-A0F9-3F6DCED6DCC7}"/>
    <cellStyle name="Normal 5 7 3 2 3" xfId="12045" xr:uid="{72799151-88EA-400E-8A46-A8D9A53888BE}"/>
    <cellStyle name="Normal 5 7 3 2 4" xfId="20493" xr:uid="{401A6CB3-4BF5-4724-86F6-23D2A4147C75}"/>
    <cellStyle name="Normal 5 7 3 3" xfId="5668" xr:uid="{00000000-0005-0000-0000-0000CC1B0000}"/>
    <cellStyle name="Normal 5 7 3 3 2" xfId="14118" xr:uid="{8B923545-55EE-45B7-97FD-C50CD8B1FAD5}"/>
    <cellStyle name="Normal 5 7 3 3 3" xfId="22565" xr:uid="{916C3D6C-10F4-4C3F-851F-8ED5A64EADCE}"/>
    <cellStyle name="Normal 5 7 3 4" xfId="9900" xr:uid="{189BBE6D-30D8-4BCA-8285-0CE451630C71}"/>
    <cellStyle name="Normal 5 7 3 5" xfId="18348" xr:uid="{71220D33-7837-4504-BD6E-C84BB06ED8C0}"/>
    <cellStyle name="Normal 5 7 4" xfId="1774" xr:uid="{00000000-0005-0000-0000-0000CD1B0000}"/>
    <cellStyle name="Normal 5 7 4 2" xfId="4004" xr:uid="{00000000-0005-0000-0000-0000CE1B0000}"/>
    <cellStyle name="Normal 5 7 4 2 2" xfId="8226" xr:uid="{00000000-0005-0000-0000-0000CF1B0000}"/>
    <cellStyle name="Normal 5 7 4 2 2 2" xfId="16676" xr:uid="{58DD3A28-79BF-4649-AD8C-47B5B4D18760}"/>
    <cellStyle name="Normal 5 7 4 2 2 3" xfId="25123" xr:uid="{8E3CA79B-DEA1-46AC-9019-344361BE5421}"/>
    <cellStyle name="Normal 5 7 4 2 3" xfId="12458" xr:uid="{6955DDB4-350B-4B64-89C4-F75F411F2404}"/>
    <cellStyle name="Normal 5 7 4 2 4" xfId="20906" xr:uid="{57EDCE97-0CA1-4E25-8633-ED621AB3203E}"/>
    <cellStyle name="Normal 5 7 4 3" xfId="6081" xr:uid="{00000000-0005-0000-0000-0000D01B0000}"/>
    <cellStyle name="Normal 5 7 4 3 2" xfId="14531" xr:uid="{6ADF9644-1772-43C7-B4F9-5B52A547B85C}"/>
    <cellStyle name="Normal 5 7 4 3 3" xfId="22978" xr:uid="{DF77F6BC-BA18-4F23-B3E3-B31470020FCC}"/>
    <cellStyle name="Normal 5 7 4 4" xfId="10313" xr:uid="{9DB9D758-7F66-4472-8AA8-E6C664AD41E5}"/>
    <cellStyle name="Normal 5 7 4 5" xfId="18761" xr:uid="{30A95EFF-9E7A-448B-8FD8-8C5E28583CF0}"/>
    <cellStyle name="Normal 5 7 5" xfId="2188" xr:uid="{00000000-0005-0000-0000-0000D11B0000}"/>
    <cellStyle name="Normal 5 7 5 2" xfId="4417" xr:uid="{00000000-0005-0000-0000-0000D21B0000}"/>
    <cellStyle name="Normal 5 7 5 2 2" xfId="8639" xr:uid="{00000000-0005-0000-0000-0000D31B0000}"/>
    <cellStyle name="Normal 5 7 5 2 2 2" xfId="17089" xr:uid="{9BD45EE1-19A4-47E8-A5CB-AB3A68E09F03}"/>
    <cellStyle name="Normal 5 7 5 2 2 3" xfId="25536" xr:uid="{2103A52E-3619-42FA-96DD-5691789069AC}"/>
    <cellStyle name="Normal 5 7 5 2 3" xfId="12871" xr:uid="{C4A630EC-E3F1-40C8-9F14-398D8798892D}"/>
    <cellStyle name="Normal 5 7 5 2 4" xfId="21319" xr:uid="{595DC279-69CE-4217-943D-381AB5DE5B78}"/>
    <cellStyle name="Normal 5 7 5 3" xfId="6494" xr:uid="{00000000-0005-0000-0000-0000D41B0000}"/>
    <cellStyle name="Normal 5 7 5 3 2" xfId="14944" xr:uid="{EBDCA7EC-C53C-4B23-9AD9-1250C1A628F8}"/>
    <cellStyle name="Normal 5 7 5 3 3" xfId="23391" xr:uid="{5B3B9AAF-CCEC-4B58-A535-205DF5296F3E}"/>
    <cellStyle name="Normal 5 7 5 4" xfId="10726" xr:uid="{D32EE922-4D74-48CF-84E7-66038C13C132}"/>
    <cellStyle name="Normal 5 7 5 5" xfId="19174" xr:uid="{00406E4E-DEB6-4E99-8868-096208640C7E}"/>
    <cellStyle name="Normal 5 7 6" xfId="2624" xr:uid="{00000000-0005-0000-0000-0000D51B0000}"/>
    <cellStyle name="Normal 5 7 6 2" xfId="6907" xr:uid="{00000000-0005-0000-0000-0000D61B0000}"/>
    <cellStyle name="Normal 5 7 6 2 2" xfId="15357" xr:uid="{BA01CB0B-1BD7-496A-BC4A-48FD0467F5A5}"/>
    <cellStyle name="Normal 5 7 6 2 3" xfId="23804" xr:uid="{C5B0F1AE-6366-43CF-B96F-1E2AEB0F1EAC}"/>
    <cellStyle name="Normal 5 7 6 3" xfId="11139" xr:uid="{5879AA91-50EA-4DBF-A313-119FDBEFA2A1}"/>
    <cellStyle name="Normal 5 7 6 4" xfId="19587" xr:uid="{29B2C936-2DE3-4156-AD1E-8642F833012A}"/>
    <cellStyle name="Normal 5 7 7" xfId="4842" xr:uid="{00000000-0005-0000-0000-0000D71B0000}"/>
    <cellStyle name="Normal 5 7 7 2" xfId="13292" xr:uid="{19FE6850-2A65-4BC1-A18D-5CFA7BE2FD8D}"/>
    <cellStyle name="Normal 5 7 7 3" xfId="21739" xr:uid="{6569F902-F692-449B-883C-5A6390C5266A}"/>
    <cellStyle name="Normal 5 7 8" xfId="9074" xr:uid="{08D15DEE-050F-4041-905B-10F18DCBC2C3}"/>
    <cellStyle name="Normal 5 7 9" xfId="17522" xr:uid="{F40952C0-D08B-49A8-AF81-690EE697ACCB}"/>
    <cellStyle name="Normal 5 8" xfId="880" xr:uid="{00000000-0005-0000-0000-0000D81B0000}"/>
    <cellStyle name="Normal 5 8 2" xfId="3115" xr:uid="{00000000-0005-0000-0000-0000D91B0000}"/>
    <cellStyle name="Normal 5 8 2 2" xfId="7337" xr:uid="{00000000-0005-0000-0000-0000DA1B0000}"/>
    <cellStyle name="Normal 5 8 2 2 2" xfId="15787" xr:uid="{B0E9F328-B089-4B5D-986F-8BF36ECBFDF2}"/>
    <cellStyle name="Normal 5 8 2 2 3" xfId="24234" xr:uid="{958EDCF0-B1B2-4715-AA0C-BC1E8C9095BB}"/>
    <cellStyle name="Normal 5 8 2 3" xfId="11569" xr:uid="{FC19CE7A-26E9-41A4-AA94-F0D3DAB5B22F}"/>
    <cellStyle name="Normal 5 8 2 4" xfId="20017" xr:uid="{7D0900D1-EB0F-4D70-AB57-95C13F58A749}"/>
    <cellStyle name="Normal 5 8 3" xfId="5192" xr:uid="{00000000-0005-0000-0000-0000DB1B0000}"/>
    <cellStyle name="Normal 5 8 3 2" xfId="13642" xr:uid="{4E82C101-9777-46F5-806B-0CCBBF7A06DB}"/>
    <cellStyle name="Normal 5 8 3 3" xfId="22089" xr:uid="{AF885434-C59C-42B5-894B-6EE218177938}"/>
    <cellStyle name="Normal 5 8 4" xfId="9424" xr:uid="{A5D12916-96A9-44AC-AB70-E03752DD4D28}"/>
    <cellStyle name="Normal 5 8 5" xfId="17872" xr:uid="{4EC8B165-BDF2-4EB6-8894-9E1663706587}"/>
    <cellStyle name="Normal 5 9" xfId="1298" xr:uid="{00000000-0005-0000-0000-0000DC1B0000}"/>
    <cellStyle name="Normal 5 9 2" xfId="3528" xr:uid="{00000000-0005-0000-0000-0000DD1B0000}"/>
    <cellStyle name="Normal 5 9 2 2" xfId="7750" xr:uid="{00000000-0005-0000-0000-0000DE1B0000}"/>
    <cellStyle name="Normal 5 9 2 2 2" xfId="16200" xr:uid="{D7036A1C-0D8D-4E28-AF97-B4898837E600}"/>
    <cellStyle name="Normal 5 9 2 2 3" xfId="24647" xr:uid="{D35739D8-9BCD-4F60-B17F-80DF611099FF}"/>
    <cellStyle name="Normal 5 9 2 3" xfId="11982" xr:uid="{1C9C6172-46DA-4E71-8160-8FC207C87D15}"/>
    <cellStyle name="Normal 5 9 2 4" xfId="20430" xr:uid="{CD7747A9-BBB8-4137-95E6-07BB1EFBB2CC}"/>
    <cellStyle name="Normal 5 9 3" xfId="5605" xr:uid="{00000000-0005-0000-0000-0000DF1B0000}"/>
    <cellStyle name="Normal 5 9 3 2" xfId="14055" xr:uid="{894DEAFB-B907-4085-8E09-FEFC9CD12FB6}"/>
    <cellStyle name="Normal 5 9 3 3" xfId="22502" xr:uid="{A4822815-5C56-4DC0-AD94-2BBF38D3D8DB}"/>
    <cellStyle name="Normal 5 9 4" xfId="9837" xr:uid="{475FBFD4-A365-428E-8183-4CFAD29BA087}"/>
    <cellStyle name="Normal 5 9 5" xfId="18285" xr:uid="{DBE68D7A-15FB-45D7-A133-323EF515E2A1}"/>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7008EC60-044D-423D-A529-F2B6CA238AF0}"/>
    <cellStyle name="Normal 8 10 2 2 3" xfId="25537" xr:uid="{796AA8F4-C2C9-46A6-A21B-0330A30E45F3}"/>
    <cellStyle name="Normal 8 10 2 3" xfId="12872" xr:uid="{A2D4AADE-8380-4010-9070-877F7A26AAA0}"/>
    <cellStyle name="Normal 8 10 2 4" xfId="21320" xr:uid="{1397FE61-ED03-4716-BA5A-195450562275}"/>
    <cellStyle name="Normal 8 10 3" xfId="6495" xr:uid="{00000000-0005-0000-0000-0000EB1B0000}"/>
    <cellStyle name="Normal 8 10 3 2" xfId="14945" xr:uid="{D994BBDA-1937-4153-B66E-CC9F2B15EBF9}"/>
    <cellStyle name="Normal 8 10 3 3" xfId="23392" xr:uid="{885E4DD6-0C86-4475-B118-E32FE1E7ADB4}"/>
    <cellStyle name="Normal 8 10 4" xfId="10727" xr:uid="{C20AB9B0-25EC-4C85-8CF8-E6B222901F3A}"/>
    <cellStyle name="Normal 8 10 5" xfId="19175" xr:uid="{525E7E7E-2BC7-4A14-9F19-72FF9CBAD312}"/>
    <cellStyle name="Normal 8 11" xfId="2625" xr:uid="{00000000-0005-0000-0000-0000EC1B0000}"/>
    <cellStyle name="Normal 8 11 2" xfId="6908" xr:uid="{00000000-0005-0000-0000-0000ED1B0000}"/>
    <cellStyle name="Normal 8 11 2 2" xfId="15358" xr:uid="{E8B79CE3-7EF7-4146-8297-2D83338ED815}"/>
    <cellStyle name="Normal 8 11 2 3" xfId="23805" xr:uid="{59C1C6AE-C8F3-459F-8AA1-7576EAB472B2}"/>
    <cellStyle name="Normal 8 11 3" xfId="11140" xr:uid="{F54D9CE3-3984-4D3B-9B24-1C3D3019E437}"/>
    <cellStyle name="Normal 8 11 4" xfId="19588" xr:uid="{0C01F912-BDD7-45E2-9690-D750CBC502CA}"/>
    <cellStyle name="Normal 8 12" xfId="4843" xr:uid="{00000000-0005-0000-0000-0000EE1B0000}"/>
    <cellStyle name="Normal 8 12 2" xfId="13293" xr:uid="{4D2C6BD5-28B1-49F1-B909-040BA5FD857B}"/>
    <cellStyle name="Normal 8 12 3" xfId="21740" xr:uid="{FB3286F8-8596-4EB7-BB4C-2E2711A479D1}"/>
    <cellStyle name="Normal 8 13" xfId="9075" xr:uid="{E500FC3F-7050-44EE-9B8E-6A427A7CC313}"/>
    <cellStyle name="Normal 8 14" xfId="17523" xr:uid="{BE102FC6-E39A-459B-A42D-6BECCB6288DD}"/>
    <cellStyle name="Normal 8 2" xfId="479" xr:uid="{00000000-0005-0000-0000-0000EF1B0000}"/>
    <cellStyle name="Normal 8 2 10" xfId="2626" xr:uid="{00000000-0005-0000-0000-0000F01B0000}"/>
    <cellStyle name="Normal 8 2 10 2" xfId="6909" xr:uid="{00000000-0005-0000-0000-0000F11B0000}"/>
    <cellStyle name="Normal 8 2 10 2 2" xfId="15359" xr:uid="{A2AE3B4B-CE0B-40B3-8EC3-209456B96397}"/>
    <cellStyle name="Normal 8 2 10 2 3" xfId="23806" xr:uid="{079FE17B-D742-408D-AC44-723964E6CB15}"/>
    <cellStyle name="Normal 8 2 10 3" xfId="11141" xr:uid="{624F2C15-2D01-41CA-AE8F-0B12B5577CB6}"/>
    <cellStyle name="Normal 8 2 10 4" xfId="19589" xr:uid="{FDD30A38-EB2A-49F8-B117-5619168C6658}"/>
    <cellStyle name="Normal 8 2 11" xfId="4844" xr:uid="{00000000-0005-0000-0000-0000F21B0000}"/>
    <cellStyle name="Normal 8 2 11 2" xfId="13294" xr:uid="{40110626-708D-4A52-A0AD-E1E6B871C2F3}"/>
    <cellStyle name="Normal 8 2 11 3" xfId="21741" xr:uid="{00933A09-B543-4783-B7BB-337AC71860FB}"/>
    <cellStyle name="Normal 8 2 12" xfId="9076" xr:uid="{5D6DA8F4-DF21-401F-A50C-C12E7636DE63}"/>
    <cellStyle name="Normal 8 2 13" xfId="17524" xr:uid="{8ABFF2E5-88FA-4D60-8269-CF68CBB06E9B}"/>
    <cellStyle name="Normal 8 2 2" xfId="480" xr:uid="{00000000-0005-0000-0000-0000F31B0000}"/>
    <cellStyle name="Normal 8 2 2 10" xfId="4845" xr:uid="{00000000-0005-0000-0000-0000F41B0000}"/>
    <cellStyle name="Normal 8 2 2 10 2" xfId="13295" xr:uid="{F48E8BB2-AEDE-49B1-AF5E-3C52E4C73904}"/>
    <cellStyle name="Normal 8 2 2 10 3" xfId="21742" xr:uid="{35E87975-F9BC-446A-8C78-5FA6127DBBCC}"/>
    <cellStyle name="Normal 8 2 2 11" xfId="9077" xr:uid="{3F4E069C-B66A-4C9B-868D-633B5BA5DA28}"/>
    <cellStyle name="Normal 8 2 2 12" xfId="17525" xr:uid="{F9F3ECBB-0745-4C91-A607-78181131E57A}"/>
    <cellStyle name="Normal 8 2 2 2" xfId="481" xr:uid="{00000000-0005-0000-0000-0000F51B0000}"/>
    <cellStyle name="Normal 8 2 2 2 10" xfId="9078" xr:uid="{A4621F6A-6CA0-46E1-9E99-F0AC79E3B4DA}"/>
    <cellStyle name="Normal 8 2 2 2 11" xfId="17526" xr:uid="{2F0CCB29-965A-4D4D-B4F5-FA4FF0832535}"/>
    <cellStyle name="Normal 8 2 2 2 2" xfId="482" xr:uid="{00000000-0005-0000-0000-0000F61B0000}"/>
    <cellStyle name="Normal 8 2 2 2 2 10" xfId="17527" xr:uid="{E6A4DAF7-21C9-4ACE-AFB0-448C27CB679A}"/>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168CEBB8-A01B-491C-B1FC-CF5A34047EA0}"/>
    <cellStyle name="Normal 8 2 2 2 2 2 2 2 2 3" xfId="24303" xr:uid="{FDC0A6B8-D305-430E-A875-FB7C091C84AD}"/>
    <cellStyle name="Normal 8 2 2 2 2 2 2 2 3" xfId="11638" xr:uid="{ED50A95A-8A87-469E-96C6-ADD8F65F6E37}"/>
    <cellStyle name="Normal 8 2 2 2 2 2 2 2 4" xfId="20086" xr:uid="{724249DC-C2B9-41D4-A6FC-7135E5C37815}"/>
    <cellStyle name="Normal 8 2 2 2 2 2 2 3" xfId="5261" xr:uid="{00000000-0005-0000-0000-0000FB1B0000}"/>
    <cellStyle name="Normal 8 2 2 2 2 2 2 3 2" xfId="13711" xr:uid="{E4A571C1-946E-45FF-A575-D4BBF3578735}"/>
    <cellStyle name="Normal 8 2 2 2 2 2 2 3 3" xfId="22158" xr:uid="{2C484F11-85B8-4FEF-B5CB-14BE25939D87}"/>
    <cellStyle name="Normal 8 2 2 2 2 2 2 4" xfId="9493" xr:uid="{28024346-1FBA-42AB-8AC6-780333C9439E}"/>
    <cellStyle name="Normal 8 2 2 2 2 2 2 5" xfId="17941" xr:uid="{65014B4D-616C-4382-973F-C44E5BE43C13}"/>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C0BB5768-A56F-4507-B977-6E49F5C3D1BE}"/>
    <cellStyle name="Normal 8 2 2 2 2 2 3 2 2 3" xfId="24716" xr:uid="{8CFFC578-A654-46FF-A43B-3903028B03BA}"/>
    <cellStyle name="Normal 8 2 2 2 2 2 3 2 3" xfId="12051" xr:uid="{DC47DBDF-1211-4A32-A883-02637EA430FC}"/>
    <cellStyle name="Normal 8 2 2 2 2 2 3 2 4" xfId="20499" xr:uid="{4876EE31-97C5-435C-AED2-1DBA414B2168}"/>
    <cellStyle name="Normal 8 2 2 2 2 2 3 3" xfId="5674" xr:uid="{00000000-0005-0000-0000-0000FF1B0000}"/>
    <cellStyle name="Normal 8 2 2 2 2 2 3 3 2" xfId="14124" xr:uid="{C2170BCB-353A-46C9-B663-5066E6D08174}"/>
    <cellStyle name="Normal 8 2 2 2 2 2 3 3 3" xfId="22571" xr:uid="{C67FD123-1DCA-470A-8ECF-09F3D185D83B}"/>
    <cellStyle name="Normal 8 2 2 2 2 2 3 4" xfId="9906" xr:uid="{8E62B782-B0EE-49F4-B127-ADF402F4C5C1}"/>
    <cellStyle name="Normal 8 2 2 2 2 2 3 5" xfId="18354" xr:uid="{9F939689-E548-49D3-BA38-B6602F69BD34}"/>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88DA26A6-4451-4983-A58D-9901601EBB24}"/>
    <cellStyle name="Normal 8 2 2 2 2 2 4 2 2 3" xfId="25129" xr:uid="{D4254B7E-087E-41A6-BE42-85C602F050D4}"/>
    <cellStyle name="Normal 8 2 2 2 2 2 4 2 3" xfId="12464" xr:uid="{E02C859F-E591-43E0-B7C7-9F94DBB182C1}"/>
    <cellStyle name="Normal 8 2 2 2 2 2 4 2 4" xfId="20912" xr:uid="{D7B4F1F5-C7D7-4786-93F8-55389CA7B77D}"/>
    <cellStyle name="Normal 8 2 2 2 2 2 4 3" xfId="6087" xr:uid="{00000000-0005-0000-0000-0000031C0000}"/>
    <cellStyle name="Normal 8 2 2 2 2 2 4 3 2" xfId="14537" xr:uid="{CBD29BD2-C586-44EC-9B62-537673628CC5}"/>
    <cellStyle name="Normal 8 2 2 2 2 2 4 3 3" xfId="22984" xr:uid="{0B84360F-9F83-45FA-BFE7-D641E93F6323}"/>
    <cellStyle name="Normal 8 2 2 2 2 2 4 4" xfId="10319" xr:uid="{2B399BF1-E79C-453A-A2E6-B59D6EFF8E03}"/>
    <cellStyle name="Normal 8 2 2 2 2 2 4 5" xfId="18767" xr:uid="{910451CD-FA10-4D5A-83C5-68BEEE42287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C6ED478E-5DBC-418A-A257-A3F84A9298E0}"/>
    <cellStyle name="Normal 8 2 2 2 2 2 5 2 2 3" xfId="25542" xr:uid="{0154F421-E67A-4F79-A665-5633E9E35D57}"/>
    <cellStyle name="Normal 8 2 2 2 2 2 5 2 3" xfId="12877" xr:uid="{28260898-686C-4F15-9AFB-6AFD2FEB1A0D}"/>
    <cellStyle name="Normal 8 2 2 2 2 2 5 2 4" xfId="21325" xr:uid="{405AA378-25F6-4FF6-8F74-4F2B0E01AB84}"/>
    <cellStyle name="Normal 8 2 2 2 2 2 5 3" xfId="6500" xr:uid="{00000000-0005-0000-0000-0000071C0000}"/>
    <cellStyle name="Normal 8 2 2 2 2 2 5 3 2" xfId="14950" xr:uid="{DFCE3183-8FE0-4FEA-9811-122308410623}"/>
    <cellStyle name="Normal 8 2 2 2 2 2 5 3 3" xfId="23397" xr:uid="{4CAA4401-25BB-4A33-8490-EC31FA207B83}"/>
    <cellStyle name="Normal 8 2 2 2 2 2 5 4" xfId="10732" xr:uid="{515BD0BF-77EE-4768-B0DC-FEEDB6823646}"/>
    <cellStyle name="Normal 8 2 2 2 2 2 5 5" xfId="19180" xr:uid="{07E64D9A-929A-4BD0-AF42-59E50005A1B0}"/>
    <cellStyle name="Normal 8 2 2 2 2 2 6" xfId="2630" xr:uid="{00000000-0005-0000-0000-0000081C0000}"/>
    <cellStyle name="Normal 8 2 2 2 2 2 6 2" xfId="6913" xr:uid="{00000000-0005-0000-0000-0000091C0000}"/>
    <cellStyle name="Normal 8 2 2 2 2 2 6 2 2" xfId="15363" xr:uid="{4DABABE9-50EC-424C-94FC-4E0F62AB59EA}"/>
    <cellStyle name="Normal 8 2 2 2 2 2 6 2 3" xfId="23810" xr:uid="{C9A22F2B-4D34-422A-BAD7-2046A9F46F7D}"/>
    <cellStyle name="Normal 8 2 2 2 2 2 6 3" xfId="11145" xr:uid="{38E23FA2-C619-496D-A428-2CA9FEAAB80F}"/>
    <cellStyle name="Normal 8 2 2 2 2 2 6 4" xfId="19593" xr:uid="{F2E9089B-2B89-40DA-A2B8-F5B9DDC63742}"/>
    <cellStyle name="Normal 8 2 2 2 2 2 7" xfId="4848" xr:uid="{00000000-0005-0000-0000-00000A1C0000}"/>
    <cellStyle name="Normal 8 2 2 2 2 2 7 2" xfId="13298" xr:uid="{D013EEB8-0AD5-42CB-82DA-55F95AD8C640}"/>
    <cellStyle name="Normal 8 2 2 2 2 2 7 3" xfId="21745" xr:uid="{F47E4262-794C-4989-B11E-FAE3A3748E72}"/>
    <cellStyle name="Normal 8 2 2 2 2 2 8" xfId="9080" xr:uid="{FAE55F21-08A8-442D-969B-F9EB86EDA35B}"/>
    <cellStyle name="Normal 8 2 2 2 2 2 9" xfId="17528" xr:uid="{0756DB14-4F8F-4AC8-AE9D-E0B9502EBF2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23379DE1-5E7C-4FB8-8CC8-F7AD992AC790}"/>
    <cellStyle name="Normal 8 2 2 2 2 3 2 2 3" xfId="24302" xr:uid="{4FE02C12-8053-42AD-B5F1-B5DCA5442439}"/>
    <cellStyle name="Normal 8 2 2 2 2 3 2 3" xfId="11637" xr:uid="{8CB1D53D-F363-40E0-8008-4D0837E899BC}"/>
    <cellStyle name="Normal 8 2 2 2 2 3 2 4" xfId="20085" xr:uid="{D339503C-EE1A-496F-A20A-EB58634C8839}"/>
    <cellStyle name="Normal 8 2 2 2 2 3 3" xfId="5260" xr:uid="{00000000-0005-0000-0000-00000E1C0000}"/>
    <cellStyle name="Normal 8 2 2 2 2 3 3 2" xfId="13710" xr:uid="{5EC7B6F7-D10D-4859-B4A6-578971D12938}"/>
    <cellStyle name="Normal 8 2 2 2 2 3 3 3" xfId="22157" xr:uid="{3F04A4D1-AAA2-4E1F-9373-AF978C704517}"/>
    <cellStyle name="Normal 8 2 2 2 2 3 4" xfId="9492" xr:uid="{8267BE50-D806-4E90-9E5B-97B4C9A42F16}"/>
    <cellStyle name="Normal 8 2 2 2 2 3 5" xfId="17940" xr:uid="{35305D2D-0909-4BA4-AE2D-6E8AF324635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216A3E95-C47C-48EA-ADC1-757B8F204E97}"/>
    <cellStyle name="Normal 8 2 2 2 2 4 2 2 3" xfId="24715" xr:uid="{385EFA42-59B7-45CF-8B9F-08B4F768E47F}"/>
    <cellStyle name="Normal 8 2 2 2 2 4 2 3" xfId="12050" xr:uid="{28A2E24F-F417-4520-8FF7-79B545EECC56}"/>
    <cellStyle name="Normal 8 2 2 2 2 4 2 4" xfId="20498" xr:uid="{7F0B4875-90B6-4CF8-831D-87368969CD15}"/>
    <cellStyle name="Normal 8 2 2 2 2 4 3" xfId="5673" xr:uid="{00000000-0005-0000-0000-0000121C0000}"/>
    <cellStyle name="Normal 8 2 2 2 2 4 3 2" xfId="14123" xr:uid="{7BDB89E2-8B55-4AB0-BC79-B09190208D72}"/>
    <cellStyle name="Normal 8 2 2 2 2 4 3 3" xfId="22570" xr:uid="{2DEA12B4-BDF8-4752-BD6F-6C2C00209B76}"/>
    <cellStyle name="Normal 8 2 2 2 2 4 4" xfId="9905" xr:uid="{A5A3A088-E05D-4DA7-A7BD-6ED4D0587F4A}"/>
    <cellStyle name="Normal 8 2 2 2 2 4 5" xfId="18353" xr:uid="{10A71851-1B0C-4B1D-8F66-FE3D4E895C7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92C2DEC8-3F1F-41BC-8A54-8EED45020852}"/>
    <cellStyle name="Normal 8 2 2 2 2 5 2 2 3" xfId="25128" xr:uid="{1EA8BA91-8CF1-4126-A9E8-9444AADF79E2}"/>
    <cellStyle name="Normal 8 2 2 2 2 5 2 3" xfId="12463" xr:uid="{082992C7-6178-4CD4-A3AD-3A8E92B4BB59}"/>
    <cellStyle name="Normal 8 2 2 2 2 5 2 4" xfId="20911" xr:uid="{36AC0626-E487-4266-B404-0AF12B132C4D}"/>
    <cellStyle name="Normal 8 2 2 2 2 5 3" xfId="6086" xr:uid="{00000000-0005-0000-0000-0000161C0000}"/>
    <cellStyle name="Normal 8 2 2 2 2 5 3 2" xfId="14536" xr:uid="{32B2B6D9-0AAB-4648-8F45-0454C874EDA5}"/>
    <cellStyle name="Normal 8 2 2 2 2 5 3 3" xfId="22983" xr:uid="{84600257-B6E9-4B6B-9EFF-06AFC5105E00}"/>
    <cellStyle name="Normal 8 2 2 2 2 5 4" xfId="10318" xr:uid="{F66ADAE8-D11F-4914-803E-48845E85F5B1}"/>
    <cellStyle name="Normal 8 2 2 2 2 5 5" xfId="18766" xr:uid="{6E030737-59F9-4B9F-B697-72B2DC5E3B8D}"/>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5E73F47C-BB91-4AE2-B3D4-A0797491B5D2}"/>
    <cellStyle name="Normal 8 2 2 2 2 6 2 2 3" xfId="25541" xr:uid="{9B244636-232D-4ECB-BFB2-A5863FD9E81D}"/>
    <cellStyle name="Normal 8 2 2 2 2 6 2 3" xfId="12876" xr:uid="{7B47E5EB-D698-4F4C-92B8-34C1288EDCAA}"/>
    <cellStyle name="Normal 8 2 2 2 2 6 2 4" xfId="21324" xr:uid="{F9724F01-2ACC-4387-998B-E97961F4A3F7}"/>
    <cellStyle name="Normal 8 2 2 2 2 6 3" xfId="6499" xr:uid="{00000000-0005-0000-0000-00001A1C0000}"/>
    <cellStyle name="Normal 8 2 2 2 2 6 3 2" xfId="14949" xr:uid="{0E9DF821-C0D5-4019-B574-CEB2D3D2DAD7}"/>
    <cellStyle name="Normal 8 2 2 2 2 6 3 3" xfId="23396" xr:uid="{F2B43D47-CB9D-44B2-AFC8-49AAC258D2FE}"/>
    <cellStyle name="Normal 8 2 2 2 2 6 4" xfId="10731" xr:uid="{3AF59DEB-61CA-4A21-B365-A409AF61900B}"/>
    <cellStyle name="Normal 8 2 2 2 2 6 5" xfId="19179" xr:uid="{A3CBA9AD-A465-4ADA-B2FA-F9D93DB27F38}"/>
    <cellStyle name="Normal 8 2 2 2 2 7" xfId="2629" xr:uid="{00000000-0005-0000-0000-00001B1C0000}"/>
    <cellStyle name="Normal 8 2 2 2 2 7 2" xfId="6912" xr:uid="{00000000-0005-0000-0000-00001C1C0000}"/>
    <cellStyle name="Normal 8 2 2 2 2 7 2 2" xfId="15362" xr:uid="{C7F3573E-011A-465B-9797-B54665769D11}"/>
    <cellStyle name="Normal 8 2 2 2 2 7 2 3" xfId="23809" xr:uid="{2665FD25-61C9-41EB-962E-CBA4F786A064}"/>
    <cellStyle name="Normal 8 2 2 2 2 7 3" xfId="11144" xr:uid="{0FC29940-FBF6-46E3-97FE-9B2EF097CF07}"/>
    <cellStyle name="Normal 8 2 2 2 2 7 4" xfId="19592" xr:uid="{25ABC8B1-F483-4E03-8B20-BCD43FD3DD80}"/>
    <cellStyle name="Normal 8 2 2 2 2 8" xfId="4847" xr:uid="{00000000-0005-0000-0000-00001D1C0000}"/>
    <cellStyle name="Normal 8 2 2 2 2 8 2" xfId="13297" xr:uid="{D5CF71EA-FED7-4D47-805E-240EBB6783EC}"/>
    <cellStyle name="Normal 8 2 2 2 2 8 3" xfId="21744" xr:uid="{08A81596-1958-40C4-A2DC-6EB66912AC60}"/>
    <cellStyle name="Normal 8 2 2 2 2 9" xfId="9079" xr:uid="{5F391BE1-EB2E-4882-B10B-9EAB3B3A22B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A829B68C-7FDB-4CBC-B16C-A24B8088BB77}"/>
    <cellStyle name="Normal 8 2 2 2 3 2 2 2 3" xfId="24304" xr:uid="{BF5A6B7F-B8A5-4FAD-839A-CA1B7CA39669}"/>
    <cellStyle name="Normal 8 2 2 2 3 2 2 3" xfId="11639" xr:uid="{15CE9886-E409-4834-A6DC-71B1F53B4C35}"/>
    <cellStyle name="Normal 8 2 2 2 3 2 2 4" xfId="20087" xr:uid="{D9131889-F897-4B2F-83DD-AE8BCC4C11AC}"/>
    <cellStyle name="Normal 8 2 2 2 3 2 3" xfId="5262" xr:uid="{00000000-0005-0000-0000-0000221C0000}"/>
    <cellStyle name="Normal 8 2 2 2 3 2 3 2" xfId="13712" xr:uid="{B888867D-FFDE-48BB-A288-5638DA5EFA47}"/>
    <cellStyle name="Normal 8 2 2 2 3 2 3 3" xfId="22159" xr:uid="{C856BCDD-8AC7-4579-8FBC-EE45795AF3EF}"/>
    <cellStyle name="Normal 8 2 2 2 3 2 4" xfId="9494" xr:uid="{A8F528BA-0E86-4E92-A166-482439F8A1AF}"/>
    <cellStyle name="Normal 8 2 2 2 3 2 5" xfId="17942" xr:uid="{0683604D-EBAF-4510-B99C-7A4CAEDDD27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08BD7E6C-2A8B-4858-B87D-519351C93EA6}"/>
    <cellStyle name="Normal 8 2 2 2 3 3 2 2 3" xfId="24717" xr:uid="{97AF31AE-7F41-42E3-A9EE-07D116A109C7}"/>
    <cellStyle name="Normal 8 2 2 2 3 3 2 3" xfId="12052" xr:uid="{F77C9D94-EC58-4960-816C-51C66B765C67}"/>
    <cellStyle name="Normal 8 2 2 2 3 3 2 4" xfId="20500" xr:uid="{ADA97E0A-E3A7-46C3-A3AD-38080943D3A7}"/>
    <cellStyle name="Normal 8 2 2 2 3 3 3" xfId="5675" xr:uid="{00000000-0005-0000-0000-0000261C0000}"/>
    <cellStyle name="Normal 8 2 2 2 3 3 3 2" xfId="14125" xr:uid="{1CA35332-102A-4288-847C-A4A3673025BD}"/>
    <cellStyle name="Normal 8 2 2 2 3 3 3 3" xfId="22572" xr:uid="{024A0E2E-135F-43D7-A4F9-3C14BA0231E4}"/>
    <cellStyle name="Normal 8 2 2 2 3 3 4" xfId="9907" xr:uid="{6F8EAC07-69AF-4BCD-AB7A-DBAFD3696A0E}"/>
    <cellStyle name="Normal 8 2 2 2 3 3 5" xfId="18355" xr:uid="{725C5936-A332-41A5-9C71-BB3BE0F8EC8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AA04C13F-C9F7-4D7C-88FA-7EC0CD7F9FE5}"/>
    <cellStyle name="Normal 8 2 2 2 3 4 2 2 3" xfId="25130" xr:uid="{D1ECA183-063E-4DD1-B7A8-96106BED9E84}"/>
    <cellStyle name="Normal 8 2 2 2 3 4 2 3" xfId="12465" xr:uid="{1B94E6D6-A3DF-45BE-8EBF-278019E460EF}"/>
    <cellStyle name="Normal 8 2 2 2 3 4 2 4" xfId="20913" xr:uid="{F2888681-83AD-48E9-941C-CD08A6D4644F}"/>
    <cellStyle name="Normal 8 2 2 2 3 4 3" xfId="6088" xr:uid="{00000000-0005-0000-0000-00002A1C0000}"/>
    <cellStyle name="Normal 8 2 2 2 3 4 3 2" xfId="14538" xr:uid="{B0FDFD8A-97D6-4800-904F-D8CCAB6426FB}"/>
    <cellStyle name="Normal 8 2 2 2 3 4 3 3" xfId="22985" xr:uid="{CB6DE87D-FE5C-49AB-A5BE-9B72A308E404}"/>
    <cellStyle name="Normal 8 2 2 2 3 4 4" xfId="10320" xr:uid="{733E773F-5485-45DF-A36A-3EC16A95E94D}"/>
    <cellStyle name="Normal 8 2 2 2 3 4 5" xfId="18768" xr:uid="{151FB90D-5C47-43A7-9328-05C67F9041A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0CE1C327-FABE-4C12-8467-7C230B405EBC}"/>
    <cellStyle name="Normal 8 2 2 2 3 5 2 2 3" xfId="25543" xr:uid="{180F3D92-4033-4EA9-B369-5D17CA0807D4}"/>
    <cellStyle name="Normal 8 2 2 2 3 5 2 3" xfId="12878" xr:uid="{588A73A4-7FF8-4575-8A10-1DAB221AA689}"/>
    <cellStyle name="Normal 8 2 2 2 3 5 2 4" xfId="21326" xr:uid="{0F8B6162-99FE-43FF-BDFF-DF9273DE23C0}"/>
    <cellStyle name="Normal 8 2 2 2 3 5 3" xfId="6501" xr:uid="{00000000-0005-0000-0000-00002E1C0000}"/>
    <cellStyle name="Normal 8 2 2 2 3 5 3 2" xfId="14951" xr:uid="{B63DA6C1-1081-4A09-A9BF-E14004455C51}"/>
    <cellStyle name="Normal 8 2 2 2 3 5 3 3" xfId="23398" xr:uid="{C01462CE-8702-4594-9D05-C8FA351D9882}"/>
    <cellStyle name="Normal 8 2 2 2 3 5 4" xfId="10733" xr:uid="{01863A94-6DF7-491C-AECE-62E0C3FFA552}"/>
    <cellStyle name="Normal 8 2 2 2 3 5 5" xfId="19181" xr:uid="{35210020-7143-4488-8D94-7D3AD55CEDD6}"/>
    <cellStyle name="Normal 8 2 2 2 3 6" xfId="2631" xr:uid="{00000000-0005-0000-0000-00002F1C0000}"/>
    <cellStyle name="Normal 8 2 2 2 3 6 2" xfId="6914" xr:uid="{00000000-0005-0000-0000-0000301C0000}"/>
    <cellStyle name="Normal 8 2 2 2 3 6 2 2" xfId="15364" xr:uid="{10C8809C-AD7B-44C9-B144-F7B904A4A812}"/>
    <cellStyle name="Normal 8 2 2 2 3 6 2 3" xfId="23811" xr:uid="{DC70148B-ABB5-461A-ABEB-38523AC6DF6A}"/>
    <cellStyle name="Normal 8 2 2 2 3 6 3" xfId="11146" xr:uid="{23FA61AB-461B-47A4-ADB1-9EFD9958930F}"/>
    <cellStyle name="Normal 8 2 2 2 3 6 4" xfId="19594" xr:uid="{D16112C7-E7D0-4C66-BFF0-9094AA9CA590}"/>
    <cellStyle name="Normal 8 2 2 2 3 7" xfId="4849" xr:uid="{00000000-0005-0000-0000-0000311C0000}"/>
    <cellStyle name="Normal 8 2 2 2 3 7 2" xfId="13299" xr:uid="{A89BD5AE-C96F-490B-838B-B003B5DADD88}"/>
    <cellStyle name="Normal 8 2 2 2 3 7 3" xfId="21746" xr:uid="{294D1A56-B781-4D5C-AA3F-26799F8F46E9}"/>
    <cellStyle name="Normal 8 2 2 2 3 8" xfId="9081" xr:uid="{DF816F29-5310-4D42-9974-2487BA24C374}"/>
    <cellStyle name="Normal 8 2 2 2 3 9" xfId="17529" xr:uid="{54F1EBB2-6B37-4F1D-BA49-8D9C38FAFF7F}"/>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34D3CF23-8182-49B6-B38B-A5E9E5049164}"/>
    <cellStyle name="Normal 8 2 2 2 4 2 2 3" xfId="24301" xr:uid="{C9CA0542-1FBC-4543-9C52-9862BFC1E513}"/>
    <cellStyle name="Normal 8 2 2 2 4 2 3" xfId="11636" xr:uid="{9276EFFC-34FB-41D6-9C4D-323BB45AC24E}"/>
    <cellStyle name="Normal 8 2 2 2 4 2 4" xfId="20084" xr:uid="{4B5B072E-0D62-4DF9-A93A-B90A51587A58}"/>
    <cellStyle name="Normal 8 2 2 2 4 3" xfId="5259" xr:uid="{00000000-0005-0000-0000-0000351C0000}"/>
    <cellStyle name="Normal 8 2 2 2 4 3 2" xfId="13709" xr:uid="{D5A5E7BD-0A09-4AB0-BC76-3B43CD8641C5}"/>
    <cellStyle name="Normal 8 2 2 2 4 3 3" xfId="22156" xr:uid="{9AE38A56-7793-42BF-A762-29E83831398B}"/>
    <cellStyle name="Normal 8 2 2 2 4 4" xfId="9491" xr:uid="{E62CDA00-C2DA-45B7-B354-92EEE40031D2}"/>
    <cellStyle name="Normal 8 2 2 2 4 5" xfId="17939" xr:uid="{AEA70AF3-E4FC-4A20-942B-649E1AA0B656}"/>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48AE5A83-E156-4456-A48B-58DE290A2C2D}"/>
    <cellStyle name="Normal 8 2 2 2 5 2 2 3" xfId="24714" xr:uid="{627CE652-A349-4236-88E3-92CB12354A02}"/>
    <cellStyle name="Normal 8 2 2 2 5 2 3" xfId="12049" xr:uid="{CBC1E30C-D914-492E-A7EA-68FDFBA7B7CD}"/>
    <cellStyle name="Normal 8 2 2 2 5 2 4" xfId="20497" xr:uid="{F61A8E21-1480-44C7-A75E-3AB463CC8B83}"/>
    <cellStyle name="Normal 8 2 2 2 5 3" xfId="5672" xr:uid="{00000000-0005-0000-0000-0000391C0000}"/>
    <cellStyle name="Normal 8 2 2 2 5 3 2" xfId="14122" xr:uid="{78D39280-36FE-4193-9748-D484E896C6E9}"/>
    <cellStyle name="Normal 8 2 2 2 5 3 3" xfId="22569" xr:uid="{3FD6F7D4-12D4-459C-B839-EB9B2FA7B765}"/>
    <cellStyle name="Normal 8 2 2 2 5 4" xfId="9904" xr:uid="{755E3DB8-AC39-4348-83DF-0A169C77410A}"/>
    <cellStyle name="Normal 8 2 2 2 5 5" xfId="18352" xr:uid="{894812BD-B0F1-4801-AB08-1591C9797D16}"/>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1B9B95A3-CD13-477F-8AD9-4F90E24F11D9}"/>
    <cellStyle name="Normal 8 2 2 2 6 2 2 3" xfId="25127" xr:uid="{CDEB79A8-78A7-4A83-A07A-B09E4EF9CC70}"/>
    <cellStyle name="Normal 8 2 2 2 6 2 3" xfId="12462" xr:uid="{32E5DCB2-DAC3-4FA7-B0E6-5878EA11388E}"/>
    <cellStyle name="Normal 8 2 2 2 6 2 4" xfId="20910" xr:uid="{00A7944E-35F2-46F5-97A9-D513A66CD001}"/>
    <cellStyle name="Normal 8 2 2 2 6 3" xfId="6085" xr:uid="{00000000-0005-0000-0000-00003D1C0000}"/>
    <cellStyle name="Normal 8 2 2 2 6 3 2" xfId="14535" xr:uid="{ACB8131C-F8BF-41EC-B725-0927A2ACF3E5}"/>
    <cellStyle name="Normal 8 2 2 2 6 3 3" xfId="22982" xr:uid="{A28B0FA5-23E0-471C-B705-B2375B4F2767}"/>
    <cellStyle name="Normal 8 2 2 2 6 4" xfId="10317" xr:uid="{345B0F75-3C37-4E2D-99B8-03A3EB4E93A8}"/>
    <cellStyle name="Normal 8 2 2 2 6 5" xfId="18765" xr:uid="{A7376020-5F77-44C5-880B-309FAD47C83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69105C98-AEC1-4884-8412-DE732C4E97B8}"/>
    <cellStyle name="Normal 8 2 2 2 7 2 2 3" xfId="25540" xr:uid="{A3832B63-0774-482B-A575-1EC406AE1E88}"/>
    <cellStyle name="Normal 8 2 2 2 7 2 3" xfId="12875" xr:uid="{CD524705-9DBE-42E3-93AC-DA40CC407D99}"/>
    <cellStyle name="Normal 8 2 2 2 7 2 4" xfId="21323" xr:uid="{4AB43604-AA53-4724-B771-9560A32856B6}"/>
    <cellStyle name="Normal 8 2 2 2 7 3" xfId="6498" xr:uid="{00000000-0005-0000-0000-0000411C0000}"/>
    <cellStyle name="Normal 8 2 2 2 7 3 2" xfId="14948" xr:uid="{5CB90054-E359-4BC9-B00E-4D026923D2E0}"/>
    <cellStyle name="Normal 8 2 2 2 7 3 3" xfId="23395" xr:uid="{52CB22E6-178F-463A-8971-7D3A1B5D8C01}"/>
    <cellStyle name="Normal 8 2 2 2 7 4" xfId="10730" xr:uid="{EC918A3B-BBD9-492A-942F-09DA9550C4DC}"/>
    <cellStyle name="Normal 8 2 2 2 7 5" xfId="19178" xr:uid="{A773E7EA-8C60-48A4-8B43-9D974271F6E4}"/>
    <cellStyle name="Normal 8 2 2 2 8" xfId="2628" xr:uid="{00000000-0005-0000-0000-0000421C0000}"/>
    <cellStyle name="Normal 8 2 2 2 8 2" xfId="6911" xr:uid="{00000000-0005-0000-0000-0000431C0000}"/>
    <cellStyle name="Normal 8 2 2 2 8 2 2" xfId="15361" xr:uid="{61B2238E-F8A3-4CA2-9305-D269148E0EB0}"/>
    <cellStyle name="Normal 8 2 2 2 8 2 3" xfId="23808" xr:uid="{F2A52DB9-F913-455A-ABEC-982A5780C332}"/>
    <cellStyle name="Normal 8 2 2 2 8 3" xfId="11143" xr:uid="{5482FB32-26C6-4805-96F1-D76C39E0C407}"/>
    <cellStyle name="Normal 8 2 2 2 8 4" xfId="19591" xr:uid="{B667CA26-9EE2-4808-B027-0011DCA7D804}"/>
    <cellStyle name="Normal 8 2 2 2 9" xfId="4846" xr:uid="{00000000-0005-0000-0000-0000441C0000}"/>
    <cellStyle name="Normal 8 2 2 2 9 2" xfId="13296" xr:uid="{6A035D29-A0B8-43E4-8498-3D09F6E48801}"/>
    <cellStyle name="Normal 8 2 2 2 9 3" xfId="21743" xr:uid="{EEF28FE1-7FC8-47AA-8582-9345207B298E}"/>
    <cellStyle name="Normal 8 2 2 3" xfId="485" xr:uid="{00000000-0005-0000-0000-0000451C0000}"/>
    <cellStyle name="Normal 8 2 2 3 10" xfId="17530" xr:uid="{FA2A886A-A4E7-43BD-8BCF-B499916109C6}"/>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DCC174CF-CC3A-4603-898B-2637B48CB6AE}"/>
    <cellStyle name="Normal 8 2 2 3 2 2 2 2 3" xfId="24306" xr:uid="{C2C98B8C-BDCC-464C-8016-88038C4C7BB1}"/>
    <cellStyle name="Normal 8 2 2 3 2 2 2 3" xfId="11641" xr:uid="{CC434478-279F-42B0-BE7C-A0902AC60B5F}"/>
    <cellStyle name="Normal 8 2 2 3 2 2 2 4" xfId="20089" xr:uid="{E3FC5045-6825-49EF-A19B-132754E0AAFB}"/>
    <cellStyle name="Normal 8 2 2 3 2 2 3" xfId="5264" xr:uid="{00000000-0005-0000-0000-00004A1C0000}"/>
    <cellStyle name="Normal 8 2 2 3 2 2 3 2" xfId="13714" xr:uid="{8700458E-E795-4AE7-90D7-3D180C9ACC83}"/>
    <cellStyle name="Normal 8 2 2 3 2 2 3 3" xfId="22161" xr:uid="{C4D0A749-ABC4-4B02-BAD2-E77C19362D44}"/>
    <cellStyle name="Normal 8 2 2 3 2 2 4" xfId="9496" xr:uid="{76666FA4-EF07-477D-8F64-ADE1C3B07205}"/>
    <cellStyle name="Normal 8 2 2 3 2 2 5" xfId="17944" xr:uid="{BD7F8B95-9221-46FF-9F7D-37860965A18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FA1EC195-C371-4794-B5AE-57AA5390274F}"/>
    <cellStyle name="Normal 8 2 2 3 2 3 2 2 3" xfId="24719" xr:uid="{65218D3F-7BB5-423A-A0CA-0904075A8489}"/>
    <cellStyle name="Normal 8 2 2 3 2 3 2 3" xfId="12054" xr:uid="{E7D1B0C2-CEA2-499B-BCA6-36C772FDF96B}"/>
    <cellStyle name="Normal 8 2 2 3 2 3 2 4" xfId="20502" xr:uid="{43AE3005-F798-49B1-9642-0F24AD3430E7}"/>
    <cellStyle name="Normal 8 2 2 3 2 3 3" xfId="5677" xr:uid="{00000000-0005-0000-0000-00004E1C0000}"/>
    <cellStyle name="Normal 8 2 2 3 2 3 3 2" xfId="14127" xr:uid="{CBB3D2F3-CA33-4C99-9EF4-170BE3465D64}"/>
    <cellStyle name="Normal 8 2 2 3 2 3 3 3" xfId="22574" xr:uid="{9C2B2BBE-EEC9-45AD-963E-E144D823CA2F}"/>
    <cellStyle name="Normal 8 2 2 3 2 3 4" xfId="9909" xr:uid="{01B68BE0-548B-4E2D-9E28-3511C08537D0}"/>
    <cellStyle name="Normal 8 2 2 3 2 3 5" xfId="18357" xr:uid="{3BCBF4CB-AB64-4A56-908A-EE8150DADFA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0B90E5E2-7F8F-438E-9935-4DA8C8F77485}"/>
    <cellStyle name="Normal 8 2 2 3 2 4 2 2 3" xfId="25132" xr:uid="{0D4C6415-F0A9-42C6-9E92-176203956570}"/>
    <cellStyle name="Normal 8 2 2 3 2 4 2 3" xfId="12467" xr:uid="{0EC84C07-3272-46D2-80D2-81B5FD78EA18}"/>
    <cellStyle name="Normal 8 2 2 3 2 4 2 4" xfId="20915" xr:uid="{BA0AB003-580D-4B9E-A021-CB0C63D1C84F}"/>
    <cellStyle name="Normal 8 2 2 3 2 4 3" xfId="6090" xr:uid="{00000000-0005-0000-0000-0000521C0000}"/>
    <cellStyle name="Normal 8 2 2 3 2 4 3 2" xfId="14540" xr:uid="{6B495107-04DF-4F4D-9D74-9065CF0E7636}"/>
    <cellStyle name="Normal 8 2 2 3 2 4 3 3" xfId="22987" xr:uid="{72F64048-7D98-4ED9-BB17-9A859101BA63}"/>
    <cellStyle name="Normal 8 2 2 3 2 4 4" xfId="10322" xr:uid="{3EEE9366-C241-44A4-B4A5-F0312C5AA7F5}"/>
    <cellStyle name="Normal 8 2 2 3 2 4 5" xfId="18770" xr:uid="{6CEA7B3F-CD84-417E-87FC-A94B358057F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1FA87094-4E8F-4C9E-9FF2-2C6C6C0A82F8}"/>
    <cellStyle name="Normal 8 2 2 3 2 5 2 2 3" xfId="25545" xr:uid="{E2EEBF16-C7FD-475F-BD54-6E2436EDE73A}"/>
    <cellStyle name="Normal 8 2 2 3 2 5 2 3" xfId="12880" xr:uid="{931A43BF-A1C0-442F-BA97-0B4C7A56616F}"/>
    <cellStyle name="Normal 8 2 2 3 2 5 2 4" xfId="21328" xr:uid="{8732E9AC-5CEE-4A71-B779-F38E2C89348F}"/>
    <cellStyle name="Normal 8 2 2 3 2 5 3" xfId="6503" xr:uid="{00000000-0005-0000-0000-0000561C0000}"/>
    <cellStyle name="Normal 8 2 2 3 2 5 3 2" xfId="14953" xr:uid="{35290127-FC0F-47BB-A65D-99962EF67056}"/>
    <cellStyle name="Normal 8 2 2 3 2 5 3 3" xfId="23400" xr:uid="{76C380CB-EE6D-4CA0-ACC9-81B6A4A35D6A}"/>
    <cellStyle name="Normal 8 2 2 3 2 5 4" xfId="10735" xr:uid="{D9122F7D-D6D8-4FF7-84CB-51BA81F8BC28}"/>
    <cellStyle name="Normal 8 2 2 3 2 5 5" xfId="19183" xr:uid="{609C6308-2309-465C-B29D-D2ABA6ED55F7}"/>
    <cellStyle name="Normal 8 2 2 3 2 6" xfId="2633" xr:uid="{00000000-0005-0000-0000-0000571C0000}"/>
    <cellStyle name="Normal 8 2 2 3 2 6 2" xfId="6916" xr:uid="{00000000-0005-0000-0000-0000581C0000}"/>
    <cellStyle name="Normal 8 2 2 3 2 6 2 2" xfId="15366" xr:uid="{CE7AAB92-49CF-4598-864D-09F40CEBC12A}"/>
    <cellStyle name="Normal 8 2 2 3 2 6 2 3" xfId="23813" xr:uid="{79C8225A-33BD-45F9-AD76-C4BF84D65CC5}"/>
    <cellStyle name="Normal 8 2 2 3 2 6 3" xfId="11148" xr:uid="{F6A9F4A2-D466-4156-A327-D78557C5A96B}"/>
    <cellStyle name="Normal 8 2 2 3 2 6 4" xfId="19596" xr:uid="{81635BF8-0249-42D6-99A5-38D337F5CDC9}"/>
    <cellStyle name="Normal 8 2 2 3 2 7" xfId="4851" xr:uid="{00000000-0005-0000-0000-0000591C0000}"/>
    <cellStyle name="Normal 8 2 2 3 2 7 2" xfId="13301" xr:uid="{C68A586E-6DF9-4D92-8695-B13323F4A7D3}"/>
    <cellStyle name="Normal 8 2 2 3 2 7 3" xfId="21748" xr:uid="{CB803A0E-0144-4D4C-A82E-C1B436D8BCCB}"/>
    <cellStyle name="Normal 8 2 2 3 2 8" xfId="9083" xr:uid="{E5ECB68B-6A24-40EF-A7C8-6973C752873A}"/>
    <cellStyle name="Normal 8 2 2 3 2 9" xfId="17531" xr:uid="{2284CC5A-9F3F-4BF2-B21E-03054706B49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D3697045-3E80-4A9B-93FE-28CC1E12D22B}"/>
    <cellStyle name="Normal 8 2 2 3 3 2 2 3" xfId="24305" xr:uid="{8864E2EC-8D88-42D5-9200-61BBC2EAD04C}"/>
    <cellStyle name="Normal 8 2 2 3 3 2 3" xfId="11640" xr:uid="{6D34C444-9AED-4CE1-BA7D-6479B1386096}"/>
    <cellStyle name="Normal 8 2 2 3 3 2 4" xfId="20088" xr:uid="{CD881AEC-94D9-4661-964A-20F98C71BD43}"/>
    <cellStyle name="Normal 8 2 2 3 3 3" xfId="5263" xr:uid="{00000000-0005-0000-0000-00005D1C0000}"/>
    <cellStyle name="Normal 8 2 2 3 3 3 2" xfId="13713" xr:uid="{1848A453-BDD7-406E-9828-B362ED6B1C9A}"/>
    <cellStyle name="Normal 8 2 2 3 3 3 3" xfId="22160" xr:uid="{B4F3EE56-AED1-4CC9-A789-AB196EC18EA8}"/>
    <cellStyle name="Normal 8 2 2 3 3 4" xfId="9495" xr:uid="{FAF9624B-3ECF-4F14-B62F-F66F4AC34A34}"/>
    <cellStyle name="Normal 8 2 2 3 3 5" xfId="17943" xr:uid="{F1786E05-D20E-4CB6-9EC1-F73B3D93C15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9B6785DB-2B55-4645-9F5D-C014949D22E1}"/>
    <cellStyle name="Normal 8 2 2 3 4 2 2 3" xfId="24718" xr:uid="{50D8BA87-2590-4EA2-904A-F6F0792FAC29}"/>
    <cellStyle name="Normal 8 2 2 3 4 2 3" xfId="12053" xr:uid="{52A93F27-2856-4704-B73A-E7753D10C341}"/>
    <cellStyle name="Normal 8 2 2 3 4 2 4" xfId="20501" xr:uid="{112FB8DB-B995-4142-8E12-424390F1E776}"/>
    <cellStyle name="Normal 8 2 2 3 4 3" xfId="5676" xr:uid="{00000000-0005-0000-0000-0000611C0000}"/>
    <cellStyle name="Normal 8 2 2 3 4 3 2" xfId="14126" xr:uid="{8669FBC2-CD99-4D3B-B6C9-168EE2B06BC4}"/>
    <cellStyle name="Normal 8 2 2 3 4 3 3" xfId="22573" xr:uid="{0F1F0B71-2640-45EB-AC8B-2A551D5DAEBA}"/>
    <cellStyle name="Normal 8 2 2 3 4 4" xfId="9908" xr:uid="{FE128D13-132F-4AA5-A0E3-330A43E8F1C6}"/>
    <cellStyle name="Normal 8 2 2 3 4 5" xfId="18356" xr:uid="{E061A4E8-3810-4352-AB30-A2A526C225D5}"/>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1C399915-1D42-41C4-BD52-1FF05E5CC171}"/>
    <cellStyle name="Normal 8 2 2 3 5 2 2 3" xfId="25131" xr:uid="{74CDBE20-F409-40DA-B9FE-E4F4D683C651}"/>
    <cellStyle name="Normal 8 2 2 3 5 2 3" xfId="12466" xr:uid="{44E5C934-0546-45B2-80A9-82597A3BB7BF}"/>
    <cellStyle name="Normal 8 2 2 3 5 2 4" xfId="20914" xr:uid="{5A99485C-E2AC-4D02-AE3E-DDAEFD77369C}"/>
    <cellStyle name="Normal 8 2 2 3 5 3" xfId="6089" xr:uid="{00000000-0005-0000-0000-0000651C0000}"/>
    <cellStyle name="Normal 8 2 2 3 5 3 2" xfId="14539" xr:uid="{93FD66A7-AFFD-4311-9F8F-5B3ABB7A3812}"/>
    <cellStyle name="Normal 8 2 2 3 5 3 3" xfId="22986" xr:uid="{17C43894-DEC3-4D99-9F0A-E3286743AB6D}"/>
    <cellStyle name="Normal 8 2 2 3 5 4" xfId="10321" xr:uid="{4AA7D032-07D4-4615-AAB8-77C368FB7015}"/>
    <cellStyle name="Normal 8 2 2 3 5 5" xfId="18769" xr:uid="{7CD6E223-AD52-4793-837F-D1C14283276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7FC8439A-D7D6-41B4-9FA6-B3034601E7DF}"/>
    <cellStyle name="Normal 8 2 2 3 6 2 2 3" xfId="25544" xr:uid="{314C5532-3B76-4886-A38B-6878B762B05C}"/>
    <cellStyle name="Normal 8 2 2 3 6 2 3" xfId="12879" xr:uid="{7D6D947F-D79F-4428-8125-1150F438BF2E}"/>
    <cellStyle name="Normal 8 2 2 3 6 2 4" xfId="21327" xr:uid="{4431370A-4DDD-4AC2-A65E-872C7563F3B5}"/>
    <cellStyle name="Normal 8 2 2 3 6 3" xfId="6502" xr:uid="{00000000-0005-0000-0000-0000691C0000}"/>
    <cellStyle name="Normal 8 2 2 3 6 3 2" xfId="14952" xr:uid="{5944FCAC-C449-4D83-8FFC-43389A6139ED}"/>
    <cellStyle name="Normal 8 2 2 3 6 3 3" xfId="23399" xr:uid="{9D3C13D3-86C6-41C4-BA88-38402C7D33B8}"/>
    <cellStyle name="Normal 8 2 2 3 6 4" xfId="10734" xr:uid="{B85FE0DF-3D3B-43CE-95A4-37EB3A503335}"/>
    <cellStyle name="Normal 8 2 2 3 6 5" xfId="19182" xr:uid="{FF89EFC2-B00E-4C99-852D-29E3708E38F1}"/>
    <cellStyle name="Normal 8 2 2 3 7" xfId="2632" xr:uid="{00000000-0005-0000-0000-00006A1C0000}"/>
    <cellStyle name="Normal 8 2 2 3 7 2" xfId="6915" xr:uid="{00000000-0005-0000-0000-00006B1C0000}"/>
    <cellStyle name="Normal 8 2 2 3 7 2 2" xfId="15365" xr:uid="{FDA267DB-2267-4F74-A9DC-A5EF38B851B0}"/>
    <cellStyle name="Normal 8 2 2 3 7 2 3" xfId="23812" xr:uid="{530E2D6C-3069-483F-B58E-8CB55315EA03}"/>
    <cellStyle name="Normal 8 2 2 3 7 3" xfId="11147" xr:uid="{8BCF52A0-436D-4573-B4FB-EA11CD29A02B}"/>
    <cellStyle name="Normal 8 2 2 3 7 4" xfId="19595" xr:uid="{8A3FE6CA-CE58-4536-8801-D24E83C147B4}"/>
    <cellStyle name="Normal 8 2 2 3 8" xfId="4850" xr:uid="{00000000-0005-0000-0000-00006C1C0000}"/>
    <cellStyle name="Normal 8 2 2 3 8 2" xfId="13300" xr:uid="{AC4FC431-B4A9-4137-8F6C-E0FD4B9AC145}"/>
    <cellStyle name="Normal 8 2 2 3 8 3" xfId="21747" xr:uid="{610896FB-4FE1-4EBC-963D-48FFF54C088C}"/>
    <cellStyle name="Normal 8 2 2 3 9" xfId="9082" xr:uid="{65588653-3FAB-4535-9ADA-B298D42ED6BC}"/>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D328DE7D-1728-4C43-9819-246B7E131ABC}"/>
    <cellStyle name="Normal 8 2 2 4 2 2 2 3" xfId="24307" xr:uid="{D90262AB-B3E1-41EE-8C97-F15839E44AEE}"/>
    <cellStyle name="Normal 8 2 2 4 2 2 3" xfId="11642" xr:uid="{6C41DF33-B697-45D5-AAD2-AFA700053733}"/>
    <cellStyle name="Normal 8 2 2 4 2 2 4" xfId="20090" xr:uid="{D4D8D066-B069-4800-92A6-C9604310E09A}"/>
    <cellStyle name="Normal 8 2 2 4 2 3" xfId="5265" xr:uid="{00000000-0005-0000-0000-0000711C0000}"/>
    <cellStyle name="Normal 8 2 2 4 2 3 2" xfId="13715" xr:uid="{D6BA5511-67CF-49DC-AFA6-10AF1132295E}"/>
    <cellStyle name="Normal 8 2 2 4 2 3 3" xfId="22162" xr:uid="{CC17758E-22DD-4D33-8283-A339DD0AB318}"/>
    <cellStyle name="Normal 8 2 2 4 2 4" xfId="9497" xr:uid="{5C10B8B8-B62B-4AB1-A02E-A3D6BAD77446}"/>
    <cellStyle name="Normal 8 2 2 4 2 5" xfId="17945" xr:uid="{A62CDC0B-733F-4598-9BFB-2A683D34E9B0}"/>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D67F0FCF-AEAE-466B-A22D-DF80D63DD3C1}"/>
    <cellStyle name="Normal 8 2 2 4 3 2 2 3" xfId="24720" xr:uid="{103DAFC2-495E-40D1-9B80-3155712E4D62}"/>
    <cellStyle name="Normal 8 2 2 4 3 2 3" xfId="12055" xr:uid="{4CBC1E2B-01C8-4D5C-B216-96C0C335B1F8}"/>
    <cellStyle name="Normal 8 2 2 4 3 2 4" xfId="20503" xr:uid="{2AA1F264-0E6A-400F-9026-BE6EC84DB4DD}"/>
    <cellStyle name="Normal 8 2 2 4 3 3" xfId="5678" xr:uid="{00000000-0005-0000-0000-0000751C0000}"/>
    <cellStyle name="Normal 8 2 2 4 3 3 2" xfId="14128" xr:uid="{2C2DBCCB-48D2-483A-B26F-FCE8D322614D}"/>
    <cellStyle name="Normal 8 2 2 4 3 3 3" xfId="22575" xr:uid="{3468A0E3-8932-44A4-A298-8012D9568E48}"/>
    <cellStyle name="Normal 8 2 2 4 3 4" xfId="9910" xr:uid="{37637059-FE4B-47CA-8039-B30619DC32DA}"/>
    <cellStyle name="Normal 8 2 2 4 3 5" xfId="18358" xr:uid="{A206DE41-3E73-41BB-9719-B518D341E73B}"/>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3B0CEF3D-5437-4AD8-805B-F903C692A205}"/>
    <cellStyle name="Normal 8 2 2 4 4 2 2 3" xfId="25133" xr:uid="{D7569637-527D-4F14-B143-21183880257A}"/>
    <cellStyle name="Normal 8 2 2 4 4 2 3" xfId="12468" xr:uid="{246BE9E4-3D24-4A13-BAF3-529ECE829BC1}"/>
    <cellStyle name="Normal 8 2 2 4 4 2 4" xfId="20916" xr:uid="{9B4FB0F1-359B-4ADB-AE86-14B3BBFED208}"/>
    <cellStyle name="Normal 8 2 2 4 4 3" xfId="6091" xr:uid="{00000000-0005-0000-0000-0000791C0000}"/>
    <cellStyle name="Normal 8 2 2 4 4 3 2" xfId="14541" xr:uid="{3CDACEEB-0469-4AEC-9840-B635F4E4D115}"/>
    <cellStyle name="Normal 8 2 2 4 4 3 3" xfId="22988" xr:uid="{526D196C-34F6-4FC7-9534-12CAE9CF4529}"/>
    <cellStyle name="Normal 8 2 2 4 4 4" xfId="10323" xr:uid="{93F52554-ABFA-47AF-BE36-6E6B84C684B8}"/>
    <cellStyle name="Normal 8 2 2 4 4 5" xfId="18771" xr:uid="{EB6370E7-A8BB-4130-A9AE-DA0E60446CB7}"/>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DB15416A-F8F6-42EF-A54B-DCD0D3797576}"/>
    <cellStyle name="Normal 8 2 2 4 5 2 2 3" xfId="25546" xr:uid="{18E55A5D-98D6-4A83-AED3-48226C858A6F}"/>
    <cellStyle name="Normal 8 2 2 4 5 2 3" xfId="12881" xr:uid="{271AEAB1-B937-4146-BB55-FC590770CA42}"/>
    <cellStyle name="Normal 8 2 2 4 5 2 4" xfId="21329" xr:uid="{4FF6D17D-FDCD-4F61-BAE4-48CC90B83132}"/>
    <cellStyle name="Normal 8 2 2 4 5 3" xfId="6504" xr:uid="{00000000-0005-0000-0000-00007D1C0000}"/>
    <cellStyle name="Normal 8 2 2 4 5 3 2" xfId="14954" xr:uid="{C461705C-3A6B-4217-A493-FBE81F238AE7}"/>
    <cellStyle name="Normal 8 2 2 4 5 3 3" xfId="23401" xr:uid="{0615ABCA-724C-4526-BA72-360A95722B65}"/>
    <cellStyle name="Normal 8 2 2 4 5 4" xfId="10736" xr:uid="{6B80ABC2-D282-44DB-83D6-CB02E20208FB}"/>
    <cellStyle name="Normal 8 2 2 4 5 5" xfId="19184" xr:uid="{2CBC024F-191F-4413-A5D0-F63485E979B5}"/>
    <cellStyle name="Normal 8 2 2 4 6" xfId="2634" xr:uid="{00000000-0005-0000-0000-00007E1C0000}"/>
    <cellStyle name="Normal 8 2 2 4 6 2" xfId="6917" xr:uid="{00000000-0005-0000-0000-00007F1C0000}"/>
    <cellStyle name="Normal 8 2 2 4 6 2 2" xfId="15367" xr:uid="{1F036F61-5B7F-436B-86BD-717CF532858A}"/>
    <cellStyle name="Normal 8 2 2 4 6 2 3" xfId="23814" xr:uid="{8A036928-54C2-44F0-8AF1-CB0B9AE03C7C}"/>
    <cellStyle name="Normal 8 2 2 4 6 3" xfId="11149" xr:uid="{3E18E52F-1604-4CAA-B5AC-102604E2BAA6}"/>
    <cellStyle name="Normal 8 2 2 4 6 4" xfId="19597" xr:uid="{1A747FF3-1003-4278-A061-3DA92FBA2F29}"/>
    <cellStyle name="Normal 8 2 2 4 7" xfId="4852" xr:uid="{00000000-0005-0000-0000-0000801C0000}"/>
    <cellStyle name="Normal 8 2 2 4 7 2" xfId="13302" xr:uid="{3BC3974F-0A32-4F8F-ADB1-C956536526E8}"/>
    <cellStyle name="Normal 8 2 2 4 7 3" xfId="21749" xr:uid="{B19576FA-C2F5-4256-8193-164CD3353938}"/>
    <cellStyle name="Normal 8 2 2 4 8" xfId="9084" xr:uid="{DC6FD38C-041D-4C09-83D3-A99B3F665700}"/>
    <cellStyle name="Normal 8 2 2 4 9" xfId="17532" xr:uid="{60B28FFB-2C15-4B53-A0D9-7A0E5C2DEB8B}"/>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3A4AB817-6CA9-4C21-A7E9-A72EC991DE55}"/>
    <cellStyle name="Normal 8 2 2 5 2 2 3" xfId="24300" xr:uid="{363650E4-E92B-4DCC-B52D-7A70DD5E0780}"/>
    <cellStyle name="Normal 8 2 2 5 2 3" xfId="11635" xr:uid="{FC67D095-1A55-4D24-A0AD-FFF1A4F0BE93}"/>
    <cellStyle name="Normal 8 2 2 5 2 4" xfId="20083" xr:uid="{0A06B0C6-FC42-4C80-8953-C07EBDC96505}"/>
    <cellStyle name="Normal 8 2 2 5 3" xfId="5258" xr:uid="{00000000-0005-0000-0000-0000841C0000}"/>
    <cellStyle name="Normal 8 2 2 5 3 2" xfId="13708" xr:uid="{6D73318A-0B90-4AF2-88BC-7140A938643A}"/>
    <cellStyle name="Normal 8 2 2 5 3 3" xfId="22155" xr:uid="{D77DF3EE-F04D-40B2-9427-C7BEE1262150}"/>
    <cellStyle name="Normal 8 2 2 5 4" xfId="9490" xr:uid="{B881F55A-ACA9-461B-BF01-57D97DCF3FB5}"/>
    <cellStyle name="Normal 8 2 2 5 5" xfId="17938" xr:uid="{3EE589B3-2509-4475-968A-3804289A5265}"/>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9CD5A595-881A-47A1-A197-99B42C3C5FF7}"/>
    <cellStyle name="Normal 8 2 2 6 2 2 3" xfId="24713" xr:uid="{7B7F54B1-3967-4C73-8B74-469B244809A7}"/>
    <cellStyle name="Normal 8 2 2 6 2 3" xfId="12048" xr:uid="{B31BE479-B598-4DCA-8840-E024F316A6E5}"/>
    <cellStyle name="Normal 8 2 2 6 2 4" xfId="20496" xr:uid="{05BB7C53-979D-4FD6-9C0B-F9656DF88D7B}"/>
    <cellStyle name="Normal 8 2 2 6 3" xfId="5671" xr:uid="{00000000-0005-0000-0000-0000881C0000}"/>
    <cellStyle name="Normal 8 2 2 6 3 2" xfId="14121" xr:uid="{D52F1BCA-E8F2-4358-9F2B-8307DD683322}"/>
    <cellStyle name="Normal 8 2 2 6 3 3" xfId="22568" xr:uid="{C8FCBF98-B8B3-4578-B36F-31D1166EBA0B}"/>
    <cellStyle name="Normal 8 2 2 6 4" xfId="9903" xr:uid="{ECDD9689-25FB-4A20-8CAF-9072827C057E}"/>
    <cellStyle name="Normal 8 2 2 6 5" xfId="18351" xr:uid="{24BD0EC8-55A0-43BC-BD0F-F9FE8385FA01}"/>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EF7323A4-6844-4488-8E67-092EF1D49857}"/>
    <cellStyle name="Normal 8 2 2 7 2 2 3" xfId="25126" xr:uid="{59C6E2E4-A7E6-4D6C-8108-5DB404628C39}"/>
    <cellStyle name="Normal 8 2 2 7 2 3" xfId="12461" xr:uid="{EAFA7A5C-934B-4B7B-9000-D8C4030FC809}"/>
    <cellStyle name="Normal 8 2 2 7 2 4" xfId="20909" xr:uid="{9523F3F4-FD10-40F2-B266-7B2ADF2E71CB}"/>
    <cellStyle name="Normal 8 2 2 7 3" xfId="6084" xr:uid="{00000000-0005-0000-0000-00008C1C0000}"/>
    <cellStyle name="Normal 8 2 2 7 3 2" xfId="14534" xr:uid="{A104EEC0-5E44-4E89-95F2-ADB5FFB41E5A}"/>
    <cellStyle name="Normal 8 2 2 7 3 3" xfId="22981" xr:uid="{E5CF1E51-9A12-435B-822C-5ECA16A42903}"/>
    <cellStyle name="Normal 8 2 2 7 4" xfId="10316" xr:uid="{017D4F34-77B1-49E5-983E-D2CBEABB38CB}"/>
    <cellStyle name="Normal 8 2 2 7 5" xfId="18764" xr:uid="{317DC654-8243-4440-A867-856E42A2D3BF}"/>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68E77C40-DBA5-4DD3-A45C-6027613476C4}"/>
    <cellStyle name="Normal 8 2 2 8 2 2 3" xfId="25539" xr:uid="{272FF480-A3DE-4AA5-9758-BC1789277561}"/>
    <cellStyle name="Normal 8 2 2 8 2 3" xfId="12874" xr:uid="{278F24A9-7604-426C-940B-AE419BB1A24B}"/>
    <cellStyle name="Normal 8 2 2 8 2 4" xfId="21322" xr:uid="{35203D12-2D9F-4717-8B81-85CDBCBC29A2}"/>
    <cellStyle name="Normal 8 2 2 8 3" xfId="6497" xr:uid="{00000000-0005-0000-0000-0000901C0000}"/>
    <cellStyle name="Normal 8 2 2 8 3 2" xfId="14947" xr:uid="{38484440-52BF-41AC-80D7-845E62F1A272}"/>
    <cellStyle name="Normal 8 2 2 8 3 3" xfId="23394" xr:uid="{CAED8CFA-D5EF-4F5B-A509-97030106083F}"/>
    <cellStyle name="Normal 8 2 2 8 4" xfId="10729" xr:uid="{98C2A506-C68C-4EE1-A5B8-0B4D2BD6B578}"/>
    <cellStyle name="Normal 8 2 2 8 5" xfId="19177" xr:uid="{84DECECF-5BEA-4E44-A6C7-20F2701B66B8}"/>
    <cellStyle name="Normal 8 2 2 9" xfId="2627" xr:uid="{00000000-0005-0000-0000-0000911C0000}"/>
    <cellStyle name="Normal 8 2 2 9 2" xfId="6910" xr:uid="{00000000-0005-0000-0000-0000921C0000}"/>
    <cellStyle name="Normal 8 2 2 9 2 2" xfId="15360" xr:uid="{39979F62-4DCC-4273-8126-AE2EE70576C0}"/>
    <cellStyle name="Normal 8 2 2 9 2 3" xfId="23807" xr:uid="{44D4452A-DC23-4D97-B16E-C9DB70A9FB88}"/>
    <cellStyle name="Normal 8 2 2 9 3" xfId="11142" xr:uid="{9A999EBD-0070-4405-A046-52E2BABE2D9D}"/>
    <cellStyle name="Normal 8 2 2 9 4" xfId="19590" xr:uid="{563FE4BE-1774-45C9-AB22-5DD03DC89B70}"/>
    <cellStyle name="Normal 8 2 3" xfId="488" xr:uid="{00000000-0005-0000-0000-0000931C0000}"/>
    <cellStyle name="Normal 8 2 3 10" xfId="9085" xr:uid="{260FD510-7A69-49C9-A803-1F56D1E968EF}"/>
    <cellStyle name="Normal 8 2 3 11" xfId="17533" xr:uid="{58715A05-E28A-4490-B1C5-1EA1574E6710}"/>
    <cellStyle name="Normal 8 2 3 2" xfId="489" xr:uid="{00000000-0005-0000-0000-0000941C0000}"/>
    <cellStyle name="Normal 8 2 3 2 10" xfId="17534" xr:uid="{E30EE5BE-8592-4212-9478-96C26D08427A}"/>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18CCF3E5-8EB9-47CF-8C81-D0252957E280}"/>
    <cellStyle name="Normal 8 2 3 2 2 2 2 2 3" xfId="24310" xr:uid="{FA0A2DFA-F43B-47A9-B294-3D779F1D11A5}"/>
    <cellStyle name="Normal 8 2 3 2 2 2 2 3" xfId="11645" xr:uid="{7B39FE82-F4D1-4EC6-9F5B-9C8E7ABC2234}"/>
    <cellStyle name="Normal 8 2 3 2 2 2 2 4" xfId="20093" xr:uid="{BF2578A2-FD9F-4A27-832D-B32D036A605E}"/>
    <cellStyle name="Normal 8 2 3 2 2 2 3" xfId="5268" xr:uid="{00000000-0005-0000-0000-0000991C0000}"/>
    <cellStyle name="Normal 8 2 3 2 2 2 3 2" xfId="13718" xr:uid="{B8F7842C-4ACB-42CC-80F1-48BCFD1C4BC7}"/>
    <cellStyle name="Normal 8 2 3 2 2 2 3 3" xfId="22165" xr:uid="{B7EE76DD-8D67-4C6E-A1C4-F68BD7FE8C18}"/>
    <cellStyle name="Normal 8 2 3 2 2 2 4" xfId="9500" xr:uid="{8D6185B6-E255-4D50-B3DE-5DA2EAF25B32}"/>
    <cellStyle name="Normal 8 2 3 2 2 2 5" xfId="17948" xr:uid="{F7FAA30E-EE62-4154-BBED-02E4A6BA2C5E}"/>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7FF8BADD-ED7E-4E46-8ADB-BEBAF3D89D8B}"/>
    <cellStyle name="Normal 8 2 3 2 2 3 2 2 3" xfId="24723" xr:uid="{E8D33095-0B16-44FC-A738-FDFD4F42B6A9}"/>
    <cellStyle name="Normal 8 2 3 2 2 3 2 3" xfId="12058" xr:uid="{B3D32843-B56B-4BA1-9625-6C16E0E05E7A}"/>
    <cellStyle name="Normal 8 2 3 2 2 3 2 4" xfId="20506" xr:uid="{3DD03C01-5E04-4651-9D6D-04D1C0860461}"/>
    <cellStyle name="Normal 8 2 3 2 2 3 3" xfId="5681" xr:uid="{00000000-0005-0000-0000-00009D1C0000}"/>
    <cellStyle name="Normal 8 2 3 2 2 3 3 2" xfId="14131" xr:uid="{85E3A61A-6AEF-43A6-B866-5E0C421CB2D8}"/>
    <cellStyle name="Normal 8 2 3 2 2 3 3 3" xfId="22578" xr:uid="{43E99BEB-2B72-4E06-BEB7-EBE2645DE172}"/>
    <cellStyle name="Normal 8 2 3 2 2 3 4" xfId="9913" xr:uid="{14B6E460-3B94-40BA-AC57-EB23C2DB1DF2}"/>
    <cellStyle name="Normal 8 2 3 2 2 3 5" xfId="18361" xr:uid="{F7BCD509-F2B8-434F-965F-DB1C558B842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85E39454-5903-4E6D-B0D8-215D391CAE2C}"/>
    <cellStyle name="Normal 8 2 3 2 2 4 2 2 3" xfId="25136" xr:uid="{B1A1557C-2822-4EA1-AA50-DA85587D6114}"/>
    <cellStyle name="Normal 8 2 3 2 2 4 2 3" xfId="12471" xr:uid="{CAD0D945-E202-43E4-A653-8B32A7F67E24}"/>
    <cellStyle name="Normal 8 2 3 2 2 4 2 4" xfId="20919" xr:uid="{7374A286-AB0E-444A-80DF-918865E61C9B}"/>
    <cellStyle name="Normal 8 2 3 2 2 4 3" xfId="6094" xr:uid="{00000000-0005-0000-0000-0000A11C0000}"/>
    <cellStyle name="Normal 8 2 3 2 2 4 3 2" xfId="14544" xr:uid="{255A118E-534C-429E-A68A-CE010B1C0E0E}"/>
    <cellStyle name="Normal 8 2 3 2 2 4 3 3" xfId="22991" xr:uid="{2EFB2B66-438A-4848-A1A1-18360ED806AA}"/>
    <cellStyle name="Normal 8 2 3 2 2 4 4" xfId="10326" xr:uid="{B76029D8-4979-4848-BD25-365F9B200795}"/>
    <cellStyle name="Normal 8 2 3 2 2 4 5" xfId="18774" xr:uid="{C3E441FB-522D-463E-84A2-20BFD8648BA3}"/>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9CBBFDEE-4881-425F-823B-8D68F9E40B8E}"/>
    <cellStyle name="Normal 8 2 3 2 2 5 2 2 3" xfId="25549" xr:uid="{C50F1F27-D65F-4D0D-8C06-145C3EFAEEDA}"/>
    <cellStyle name="Normal 8 2 3 2 2 5 2 3" xfId="12884" xr:uid="{EBD209E5-BDF7-47D7-8802-C7A7AFE8CBA9}"/>
    <cellStyle name="Normal 8 2 3 2 2 5 2 4" xfId="21332" xr:uid="{02DE1A95-1845-417F-9579-BE1B05F75863}"/>
    <cellStyle name="Normal 8 2 3 2 2 5 3" xfId="6507" xr:uid="{00000000-0005-0000-0000-0000A51C0000}"/>
    <cellStyle name="Normal 8 2 3 2 2 5 3 2" xfId="14957" xr:uid="{6BE33D59-BD59-47DB-8581-2064B153D203}"/>
    <cellStyle name="Normal 8 2 3 2 2 5 3 3" xfId="23404" xr:uid="{FEF2FAD2-98AB-4B9F-99B0-60FC35A6A11F}"/>
    <cellStyle name="Normal 8 2 3 2 2 5 4" xfId="10739" xr:uid="{A3924BDC-82DC-4AB0-A5BF-0BA9E072FC19}"/>
    <cellStyle name="Normal 8 2 3 2 2 5 5" xfId="19187" xr:uid="{5D03C1EE-D5BE-4034-9F97-9F81D124EF19}"/>
    <cellStyle name="Normal 8 2 3 2 2 6" xfId="2637" xr:uid="{00000000-0005-0000-0000-0000A61C0000}"/>
    <cellStyle name="Normal 8 2 3 2 2 6 2" xfId="6920" xr:uid="{00000000-0005-0000-0000-0000A71C0000}"/>
    <cellStyle name="Normal 8 2 3 2 2 6 2 2" xfId="15370" xr:uid="{0D142BD1-89B3-49C6-BD50-9EE25953DDC5}"/>
    <cellStyle name="Normal 8 2 3 2 2 6 2 3" xfId="23817" xr:uid="{0F44FA65-588A-4D91-BB11-D2A3D7F4E59F}"/>
    <cellStyle name="Normal 8 2 3 2 2 6 3" xfId="11152" xr:uid="{CFEB8067-D822-4000-A9AF-60B96C75C77F}"/>
    <cellStyle name="Normal 8 2 3 2 2 6 4" xfId="19600" xr:uid="{B6C9D151-00B9-4431-B925-AF74E277E976}"/>
    <cellStyle name="Normal 8 2 3 2 2 7" xfId="4855" xr:uid="{00000000-0005-0000-0000-0000A81C0000}"/>
    <cellStyle name="Normal 8 2 3 2 2 7 2" xfId="13305" xr:uid="{68C20C08-CBE5-4D89-BADE-C68D5022A3B9}"/>
    <cellStyle name="Normal 8 2 3 2 2 7 3" xfId="21752" xr:uid="{3C64ABB5-292C-488D-8E53-48E59B040EAC}"/>
    <cellStyle name="Normal 8 2 3 2 2 8" xfId="9087" xr:uid="{7493557A-691C-4C43-81E4-6F4B89DB0546}"/>
    <cellStyle name="Normal 8 2 3 2 2 9" xfId="17535" xr:uid="{7EBA2956-FE0C-4396-9B1F-4205C1065C43}"/>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69A31F7B-C25B-4654-9368-1679DB02B830}"/>
    <cellStyle name="Normal 8 2 3 2 3 2 2 3" xfId="24309" xr:uid="{2DC7E831-668F-43F7-B3CA-7E5026E88765}"/>
    <cellStyle name="Normal 8 2 3 2 3 2 3" xfId="11644" xr:uid="{2C3D95E0-B673-4691-AF8D-003F5DE1B47B}"/>
    <cellStyle name="Normal 8 2 3 2 3 2 4" xfId="20092" xr:uid="{838C2C3F-FF3E-4D0F-9E4F-7C5BFC1EF32B}"/>
    <cellStyle name="Normal 8 2 3 2 3 3" xfId="5267" xr:uid="{00000000-0005-0000-0000-0000AC1C0000}"/>
    <cellStyle name="Normal 8 2 3 2 3 3 2" xfId="13717" xr:uid="{5B639638-CBDD-475F-B204-D34D4B4C4DC7}"/>
    <cellStyle name="Normal 8 2 3 2 3 3 3" xfId="22164" xr:uid="{CAEA83A1-B8C2-4458-BB52-1B064F1F51B7}"/>
    <cellStyle name="Normal 8 2 3 2 3 4" xfId="9499" xr:uid="{BEE6C718-45DD-4A77-A2A7-CA573CB1D63E}"/>
    <cellStyle name="Normal 8 2 3 2 3 5" xfId="17947" xr:uid="{141A232C-5302-4084-9EF1-D8B3AA048904}"/>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9F82A637-1EE1-4AE2-AD01-B0F9E581CD28}"/>
    <cellStyle name="Normal 8 2 3 2 4 2 2 3" xfId="24722" xr:uid="{CD0A992B-BC6C-419C-90AA-E7D740BA7A33}"/>
    <cellStyle name="Normal 8 2 3 2 4 2 3" xfId="12057" xr:uid="{6C16CA7C-2195-48A4-9425-CAB880516B43}"/>
    <cellStyle name="Normal 8 2 3 2 4 2 4" xfId="20505" xr:uid="{35A12511-A6CB-4F69-928F-4F4E9BBD8BEA}"/>
    <cellStyle name="Normal 8 2 3 2 4 3" xfId="5680" xr:uid="{00000000-0005-0000-0000-0000B01C0000}"/>
    <cellStyle name="Normal 8 2 3 2 4 3 2" xfId="14130" xr:uid="{4A549C6A-FEA8-4C17-B256-FE931720102C}"/>
    <cellStyle name="Normal 8 2 3 2 4 3 3" xfId="22577" xr:uid="{C77A8539-0F58-4B70-B1D9-F4A1CD05E7BA}"/>
    <cellStyle name="Normal 8 2 3 2 4 4" xfId="9912" xr:uid="{07B9B1C5-4E07-474F-AEC7-B1CBF502A279}"/>
    <cellStyle name="Normal 8 2 3 2 4 5" xfId="18360" xr:uid="{A7D9E1A1-8D62-422F-AD0C-EDF9E5180C3D}"/>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AF3AB985-8E02-4CE1-BC3A-28A547F2ADFD}"/>
    <cellStyle name="Normal 8 2 3 2 5 2 2 3" xfId="25135" xr:uid="{EFAB2CD2-1A73-4C8D-9E63-CB8FE0EC7126}"/>
    <cellStyle name="Normal 8 2 3 2 5 2 3" xfId="12470" xr:uid="{E04E39A0-2066-4C69-B7F6-442E1DF8D1C5}"/>
    <cellStyle name="Normal 8 2 3 2 5 2 4" xfId="20918" xr:uid="{D8A16F24-156D-46F7-95C4-46C5703A85D3}"/>
    <cellStyle name="Normal 8 2 3 2 5 3" xfId="6093" xr:uid="{00000000-0005-0000-0000-0000B41C0000}"/>
    <cellStyle name="Normal 8 2 3 2 5 3 2" xfId="14543" xr:uid="{A7D1D239-AB44-41D4-BF98-76242EA02F2A}"/>
    <cellStyle name="Normal 8 2 3 2 5 3 3" xfId="22990" xr:uid="{8C08CF2F-36C5-41F9-B3B2-FB708F4A57FE}"/>
    <cellStyle name="Normal 8 2 3 2 5 4" xfId="10325" xr:uid="{76ECDC5F-89CD-4EDA-84BD-991043C7C067}"/>
    <cellStyle name="Normal 8 2 3 2 5 5" xfId="18773" xr:uid="{0BF9902D-FD86-4BE0-BE15-D90731F3AADB}"/>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DBA04A49-EEF8-44CD-9D36-704F44620744}"/>
    <cellStyle name="Normal 8 2 3 2 6 2 2 3" xfId="25548" xr:uid="{8927118F-86A6-40BD-BD91-D8BA74F6D97C}"/>
    <cellStyle name="Normal 8 2 3 2 6 2 3" xfId="12883" xr:uid="{BB38F659-6A3C-4944-AEBA-14594BA61DFC}"/>
    <cellStyle name="Normal 8 2 3 2 6 2 4" xfId="21331" xr:uid="{FDF90B3D-343A-4305-A888-1152338DE7C3}"/>
    <cellStyle name="Normal 8 2 3 2 6 3" xfId="6506" xr:uid="{00000000-0005-0000-0000-0000B81C0000}"/>
    <cellStyle name="Normal 8 2 3 2 6 3 2" xfId="14956" xr:uid="{1CF41258-987B-4FC8-8C8C-84D5ADD67E7D}"/>
    <cellStyle name="Normal 8 2 3 2 6 3 3" xfId="23403" xr:uid="{D3DCC89D-6738-4FE8-A6A1-04E0E9601A91}"/>
    <cellStyle name="Normal 8 2 3 2 6 4" xfId="10738" xr:uid="{10529F3A-A0B8-4DF4-A008-7F0E030546C4}"/>
    <cellStyle name="Normal 8 2 3 2 6 5" xfId="19186" xr:uid="{341D8A3C-5917-43CB-80DB-D3B7200174D7}"/>
    <cellStyle name="Normal 8 2 3 2 7" xfId="2636" xr:uid="{00000000-0005-0000-0000-0000B91C0000}"/>
    <cellStyle name="Normal 8 2 3 2 7 2" xfId="6919" xr:uid="{00000000-0005-0000-0000-0000BA1C0000}"/>
    <cellStyle name="Normal 8 2 3 2 7 2 2" xfId="15369" xr:uid="{C8BAEF8E-0259-4B33-8F64-013927DAA737}"/>
    <cellStyle name="Normal 8 2 3 2 7 2 3" xfId="23816" xr:uid="{A933BD62-B3DB-43C1-BEA5-EA4297DCB660}"/>
    <cellStyle name="Normal 8 2 3 2 7 3" xfId="11151" xr:uid="{DAA36440-C609-4FDF-9BF5-9FBC78038F1C}"/>
    <cellStyle name="Normal 8 2 3 2 7 4" xfId="19599" xr:uid="{DEA55C4A-8121-4366-B99C-C80D9217C39A}"/>
    <cellStyle name="Normal 8 2 3 2 8" xfId="4854" xr:uid="{00000000-0005-0000-0000-0000BB1C0000}"/>
    <cellStyle name="Normal 8 2 3 2 8 2" xfId="13304" xr:uid="{A19761D3-A035-4AB2-ADB5-F30B8C86259A}"/>
    <cellStyle name="Normal 8 2 3 2 8 3" xfId="21751" xr:uid="{C0583491-BCA0-467D-99FA-672E380331DA}"/>
    <cellStyle name="Normal 8 2 3 2 9" xfId="9086" xr:uid="{14E899EF-8C94-4156-AA43-94D88E969B51}"/>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45AA7FF9-4441-4F58-90C7-510AFAEC94F9}"/>
    <cellStyle name="Normal 8 2 3 3 2 2 2 3" xfId="24311" xr:uid="{DC210B7E-ED03-47D0-BD49-0AFB52ECE4A3}"/>
    <cellStyle name="Normal 8 2 3 3 2 2 3" xfId="11646" xr:uid="{2059E937-2FBC-4FBE-9391-AAA22BA3687B}"/>
    <cellStyle name="Normal 8 2 3 3 2 2 4" xfId="20094" xr:uid="{141C50ED-10A1-472C-A91C-77D683FB24DA}"/>
    <cellStyle name="Normal 8 2 3 3 2 3" xfId="5269" xr:uid="{00000000-0005-0000-0000-0000C01C0000}"/>
    <cellStyle name="Normal 8 2 3 3 2 3 2" xfId="13719" xr:uid="{0B062355-F2AE-4545-BD84-EC2BC34481D1}"/>
    <cellStyle name="Normal 8 2 3 3 2 3 3" xfId="22166" xr:uid="{B0DC2F68-A938-4198-ACA3-AE1A276B745D}"/>
    <cellStyle name="Normal 8 2 3 3 2 4" xfId="9501" xr:uid="{CCE432BA-EE86-415A-B212-27845BE08FA4}"/>
    <cellStyle name="Normal 8 2 3 3 2 5" xfId="17949" xr:uid="{3D3CCE14-2CAB-489B-AD58-1C42FEBF614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E71652A9-6B29-4B8A-BFAD-A3759AAA2E37}"/>
    <cellStyle name="Normal 8 2 3 3 3 2 2 3" xfId="24724" xr:uid="{EB57334C-655C-4658-BE40-0B55D88A9A9A}"/>
    <cellStyle name="Normal 8 2 3 3 3 2 3" xfId="12059" xr:uid="{18566731-485F-4519-B512-8B75E5DE1A6F}"/>
    <cellStyle name="Normal 8 2 3 3 3 2 4" xfId="20507" xr:uid="{AE1EB30F-CB7B-4433-95B6-40DB7C1CB2FE}"/>
    <cellStyle name="Normal 8 2 3 3 3 3" xfId="5682" xr:uid="{00000000-0005-0000-0000-0000C41C0000}"/>
    <cellStyle name="Normal 8 2 3 3 3 3 2" xfId="14132" xr:uid="{8DC28DA2-48EA-431F-BF4D-0F6F033BE89A}"/>
    <cellStyle name="Normal 8 2 3 3 3 3 3" xfId="22579" xr:uid="{2F2B9A9F-FE0C-48F2-9A11-37214BDE7D83}"/>
    <cellStyle name="Normal 8 2 3 3 3 4" xfId="9914" xr:uid="{ED8A6738-BD71-45F7-9B3E-9C76EB5DBE72}"/>
    <cellStyle name="Normal 8 2 3 3 3 5" xfId="18362" xr:uid="{5034DD78-C56C-4423-BF5E-B4986D3DC669}"/>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B7CB564D-CD28-47A1-8BF8-8B41ABC35591}"/>
    <cellStyle name="Normal 8 2 3 3 4 2 2 3" xfId="25137" xr:uid="{339EBC1E-2249-46D3-BA6C-4E0004ED09A8}"/>
    <cellStyle name="Normal 8 2 3 3 4 2 3" xfId="12472" xr:uid="{7D4B1608-548B-40B0-9B33-90E5A180609D}"/>
    <cellStyle name="Normal 8 2 3 3 4 2 4" xfId="20920" xr:uid="{E6306D9D-D4A0-498A-9D62-F8E5DEC158FC}"/>
    <cellStyle name="Normal 8 2 3 3 4 3" xfId="6095" xr:uid="{00000000-0005-0000-0000-0000C81C0000}"/>
    <cellStyle name="Normal 8 2 3 3 4 3 2" xfId="14545" xr:uid="{106FD4C0-1301-4C33-B42C-7F9425086FEC}"/>
    <cellStyle name="Normal 8 2 3 3 4 3 3" xfId="22992" xr:uid="{256C4A6D-EEF6-49B1-B24E-CD5282CE3D97}"/>
    <cellStyle name="Normal 8 2 3 3 4 4" xfId="10327" xr:uid="{CD60973B-CDC7-488D-B0A0-11C5EBF1D184}"/>
    <cellStyle name="Normal 8 2 3 3 4 5" xfId="18775" xr:uid="{DF9A1578-97D1-4001-A779-893FC1427D6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86E9ED2B-C589-429B-B1FF-7A5E9A1196CA}"/>
    <cellStyle name="Normal 8 2 3 3 5 2 2 3" xfId="25550" xr:uid="{21545FB6-D526-443E-8F2D-997EDB714665}"/>
    <cellStyle name="Normal 8 2 3 3 5 2 3" xfId="12885" xr:uid="{D434424F-E643-4BE1-AF5D-77757B55033B}"/>
    <cellStyle name="Normal 8 2 3 3 5 2 4" xfId="21333" xr:uid="{D4375B4F-9DA4-4334-B717-68BE09976641}"/>
    <cellStyle name="Normal 8 2 3 3 5 3" xfId="6508" xr:uid="{00000000-0005-0000-0000-0000CC1C0000}"/>
    <cellStyle name="Normal 8 2 3 3 5 3 2" xfId="14958" xr:uid="{3E7229D0-9D5F-4B61-A0AA-DA435129150C}"/>
    <cellStyle name="Normal 8 2 3 3 5 3 3" xfId="23405" xr:uid="{1EA90878-7C60-4B45-BC13-5CFDF6C19FD5}"/>
    <cellStyle name="Normal 8 2 3 3 5 4" xfId="10740" xr:uid="{990FBA4B-0D1E-499D-8EC0-D9444B6F3360}"/>
    <cellStyle name="Normal 8 2 3 3 5 5" xfId="19188" xr:uid="{50F7B0BC-E9A1-4750-B1D3-13ED78B37C00}"/>
    <cellStyle name="Normal 8 2 3 3 6" xfId="2638" xr:uid="{00000000-0005-0000-0000-0000CD1C0000}"/>
    <cellStyle name="Normal 8 2 3 3 6 2" xfId="6921" xr:uid="{00000000-0005-0000-0000-0000CE1C0000}"/>
    <cellStyle name="Normal 8 2 3 3 6 2 2" xfId="15371" xr:uid="{EDAE02B1-D980-4B94-9B17-E0481A7B17AF}"/>
    <cellStyle name="Normal 8 2 3 3 6 2 3" xfId="23818" xr:uid="{C4E437A3-1117-43F8-AC95-4C04E8D3247B}"/>
    <cellStyle name="Normal 8 2 3 3 6 3" xfId="11153" xr:uid="{93231E9F-E33F-4F7E-85FE-AB8FC8D8A727}"/>
    <cellStyle name="Normal 8 2 3 3 6 4" xfId="19601" xr:uid="{50CE6825-A0D4-4034-A76A-1A5C9DA378BA}"/>
    <cellStyle name="Normal 8 2 3 3 7" xfId="4856" xr:uid="{00000000-0005-0000-0000-0000CF1C0000}"/>
    <cellStyle name="Normal 8 2 3 3 7 2" xfId="13306" xr:uid="{1BEB448E-5A82-4675-A6CE-FB416559E53F}"/>
    <cellStyle name="Normal 8 2 3 3 7 3" xfId="21753" xr:uid="{CA1662C3-A6F9-49B1-9194-A9874A340CCE}"/>
    <cellStyle name="Normal 8 2 3 3 8" xfId="9088" xr:uid="{CCA64304-3A0A-49E7-9EFE-173D8CFCEFEA}"/>
    <cellStyle name="Normal 8 2 3 3 9" xfId="17536" xr:uid="{7CF027C4-3633-4F66-8661-9E480B5C0885}"/>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49909F38-D34D-4DE9-89E7-93AF7BFF1247}"/>
    <cellStyle name="Normal 8 2 3 4 2 2 3" xfId="24308" xr:uid="{A63D55CD-C2CA-40CE-A705-2C56C6E3F9A4}"/>
    <cellStyle name="Normal 8 2 3 4 2 3" xfId="11643" xr:uid="{50F81FAA-F6F2-4712-B312-F415A249CFD4}"/>
    <cellStyle name="Normal 8 2 3 4 2 4" xfId="20091" xr:uid="{90D7DE44-3271-4F44-8949-9637A8DCC32C}"/>
    <cellStyle name="Normal 8 2 3 4 3" xfId="5266" xr:uid="{00000000-0005-0000-0000-0000D31C0000}"/>
    <cellStyle name="Normal 8 2 3 4 3 2" xfId="13716" xr:uid="{C3BDD310-DA51-4507-BAAE-8319D9A755E5}"/>
    <cellStyle name="Normal 8 2 3 4 3 3" xfId="22163" xr:uid="{A1ED2767-B140-47A0-B3AD-91A0142E8B9D}"/>
    <cellStyle name="Normal 8 2 3 4 4" xfId="9498" xr:uid="{DB2F8241-55CB-49D4-B414-8CE55222E505}"/>
    <cellStyle name="Normal 8 2 3 4 5" xfId="17946" xr:uid="{F54939C5-DE22-4768-B811-E29BA41C372D}"/>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CCBD7508-F732-4B71-8869-AACC075C8A75}"/>
    <cellStyle name="Normal 8 2 3 5 2 2 3" xfId="24721" xr:uid="{964E4209-0635-4ED4-A3FF-704A43B30743}"/>
    <cellStyle name="Normal 8 2 3 5 2 3" xfId="12056" xr:uid="{C1F51903-4D6D-4D5C-B3E1-A474C3F22874}"/>
    <cellStyle name="Normal 8 2 3 5 2 4" xfId="20504" xr:uid="{DC223B9F-46AD-4733-A449-47161293FE8F}"/>
    <cellStyle name="Normal 8 2 3 5 3" xfId="5679" xr:uid="{00000000-0005-0000-0000-0000D71C0000}"/>
    <cellStyle name="Normal 8 2 3 5 3 2" xfId="14129" xr:uid="{02302600-BECA-46DA-A121-F3F5C2FBC0EA}"/>
    <cellStyle name="Normal 8 2 3 5 3 3" xfId="22576" xr:uid="{8F916CA7-D672-4A57-9F0C-1C18E992F70B}"/>
    <cellStyle name="Normal 8 2 3 5 4" xfId="9911" xr:uid="{39DF428F-9172-4B44-BF2E-07E3959E6284}"/>
    <cellStyle name="Normal 8 2 3 5 5" xfId="18359" xr:uid="{673EC758-E349-4E4F-9D3B-96657309573E}"/>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4C84A1AC-BDAE-44D9-8F01-81D990B702DB}"/>
    <cellStyle name="Normal 8 2 3 6 2 2 3" xfId="25134" xr:uid="{7D114ED7-D06E-4C81-9041-D602C323247F}"/>
    <cellStyle name="Normal 8 2 3 6 2 3" xfId="12469" xr:uid="{B93FE9A8-A8CC-48FC-B35E-A89246029AEE}"/>
    <cellStyle name="Normal 8 2 3 6 2 4" xfId="20917" xr:uid="{BB115EA5-E5CD-4580-A631-7694AB7EAEA2}"/>
    <cellStyle name="Normal 8 2 3 6 3" xfId="6092" xr:uid="{00000000-0005-0000-0000-0000DB1C0000}"/>
    <cellStyle name="Normal 8 2 3 6 3 2" xfId="14542" xr:uid="{44D93054-7EAA-4D48-B380-1960F2217FD8}"/>
    <cellStyle name="Normal 8 2 3 6 3 3" xfId="22989" xr:uid="{F615DF6D-CBBC-4809-8EF2-E1002AD0E706}"/>
    <cellStyle name="Normal 8 2 3 6 4" xfId="10324" xr:uid="{121CDBCD-517C-4D47-8BEF-B8E6E46812F7}"/>
    <cellStyle name="Normal 8 2 3 6 5" xfId="18772" xr:uid="{31D6DA07-9E94-46A2-8078-91BC42F56F07}"/>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A308DF51-8929-4A5E-9C6A-F6551FA09F95}"/>
    <cellStyle name="Normal 8 2 3 7 2 2 3" xfId="25547" xr:uid="{3B3B9A82-25AA-45AB-9350-1821903E5C70}"/>
    <cellStyle name="Normal 8 2 3 7 2 3" xfId="12882" xr:uid="{6D2536AB-9B14-431F-8380-6E70E1D835A8}"/>
    <cellStyle name="Normal 8 2 3 7 2 4" xfId="21330" xr:uid="{CAE47FA1-297D-4FB3-8D53-E00F84D8D810}"/>
    <cellStyle name="Normal 8 2 3 7 3" xfId="6505" xr:uid="{00000000-0005-0000-0000-0000DF1C0000}"/>
    <cellStyle name="Normal 8 2 3 7 3 2" xfId="14955" xr:uid="{0D9078C5-2B94-464F-9834-91A06842A5C6}"/>
    <cellStyle name="Normal 8 2 3 7 3 3" xfId="23402" xr:uid="{499EF581-B6B9-4973-98DF-FA06F6538360}"/>
    <cellStyle name="Normal 8 2 3 7 4" xfId="10737" xr:uid="{8F31BC45-62C3-4CA7-A333-6FFAF136BBFB}"/>
    <cellStyle name="Normal 8 2 3 7 5" xfId="19185" xr:uid="{E27C161C-43BE-4134-A972-A41C835E9F3F}"/>
    <cellStyle name="Normal 8 2 3 8" xfId="2635" xr:uid="{00000000-0005-0000-0000-0000E01C0000}"/>
    <cellStyle name="Normal 8 2 3 8 2" xfId="6918" xr:uid="{00000000-0005-0000-0000-0000E11C0000}"/>
    <cellStyle name="Normal 8 2 3 8 2 2" xfId="15368" xr:uid="{D2DD0AEA-C2E7-49D1-AEE9-9D3C14E800C5}"/>
    <cellStyle name="Normal 8 2 3 8 2 3" xfId="23815" xr:uid="{8F3958BE-0604-4B0A-8619-41BD6946CAE7}"/>
    <cellStyle name="Normal 8 2 3 8 3" xfId="11150" xr:uid="{4B0754E2-D1DF-4AF8-B532-3621545D2FF0}"/>
    <cellStyle name="Normal 8 2 3 8 4" xfId="19598" xr:uid="{4BAAB7D1-0421-41D5-AEA6-9A7F89AE7943}"/>
    <cellStyle name="Normal 8 2 3 9" xfId="4853" xr:uid="{00000000-0005-0000-0000-0000E21C0000}"/>
    <cellStyle name="Normal 8 2 3 9 2" xfId="13303" xr:uid="{13717B85-B865-4517-B234-AE7B4E584753}"/>
    <cellStyle name="Normal 8 2 3 9 3" xfId="21750" xr:uid="{13AA51E6-B3EA-46B7-BF1F-0F53A36FBAA0}"/>
    <cellStyle name="Normal 8 2 4" xfId="492" xr:uid="{00000000-0005-0000-0000-0000E31C0000}"/>
    <cellStyle name="Normal 8 2 4 10" xfId="17537" xr:uid="{3A860277-3C08-4761-8425-9C5B628BEE0C}"/>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9DF33F07-1659-4AE5-8D2E-3B8897AEB76C}"/>
    <cellStyle name="Normal 8 2 4 2 2 2 2 3" xfId="24313" xr:uid="{D1C1DD2C-7A46-4D13-92EA-67229800192D}"/>
    <cellStyle name="Normal 8 2 4 2 2 2 3" xfId="11648" xr:uid="{0075C305-D8BD-4CC0-ACF9-874F7FD6123C}"/>
    <cellStyle name="Normal 8 2 4 2 2 2 4" xfId="20096" xr:uid="{56B0BF5D-53A3-4B6C-A5CA-36B5B6508830}"/>
    <cellStyle name="Normal 8 2 4 2 2 3" xfId="5271" xr:uid="{00000000-0005-0000-0000-0000E81C0000}"/>
    <cellStyle name="Normal 8 2 4 2 2 3 2" xfId="13721" xr:uid="{C8347786-418D-4BFE-98F9-D0BC4816D94B}"/>
    <cellStyle name="Normal 8 2 4 2 2 3 3" xfId="22168" xr:uid="{C1A5F51E-AFFD-4EBF-B9D8-3FB4E807B300}"/>
    <cellStyle name="Normal 8 2 4 2 2 4" xfId="9503" xr:uid="{983F7A8D-D7DF-4429-B92E-25DDCDA6FE73}"/>
    <cellStyle name="Normal 8 2 4 2 2 5" xfId="17951" xr:uid="{94F7003F-9432-4757-8E2F-E12F5009844F}"/>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E2ECCA37-065F-44DD-9939-5117A9010113}"/>
    <cellStyle name="Normal 8 2 4 2 3 2 2 3" xfId="24726" xr:uid="{832731DD-E901-4640-9D88-90AF179D77EB}"/>
    <cellStyle name="Normal 8 2 4 2 3 2 3" xfId="12061" xr:uid="{726EC3BC-B0D6-46B3-AA74-19AAA7A2F9AA}"/>
    <cellStyle name="Normal 8 2 4 2 3 2 4" xfId="20509" xr:uid="{FDB735B9-014E-452F-999F-1886EE26ADCE}"/>
    <cellStyle name="Normal 8 2 4 2 3 3" xfId="5684" xr:uid="{00000000-0005-0000-0000-0000EC1C0000}"/>
    <cellStyle name="Normal 8 2 4 2 3 3 2" xfId="14134" xr:uid="{CCBE29FC-DCAD-432C-89AB-5C1DEF5DA2FE}"/>
    <cellStyle name="Normal 8 2 4 2 3 3 3" xfId="22581" xr:uid="{5CC1DEE6-85F5-4F36-96AE-BC0C23D0EAC7}"/>
    <cellStyle name="Normal 8 2 4 2 3 4" xfId="9916" xr:uid="{DB111C82-4F48-4116-8B6B-1EDE4C56D368}"/>
    <cellStyle name="Normal 8 2 4 2 3 5" xfId="18364" xr:uid="{5A4899C6-B74B-4BE4-AF3B-BA385AF2439B}"/>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1C0FB378-C63C-4CFD-B1AC-69B596827233}"/>
    <cellStyle name="Normal 8 2 4 2 4 2 2 3" xfId="25139" xr:uid="{8EA747B1-2B47-49CC-BD9C-64FB551C8A1C}"/>
    <cellStyle name="Normal 8 2 4 2 4 2 3" xfId="12474" xr:uid="{8730AF82-8133-4CC8-9572-6C85E71FE2C8}"/>
    <cellStyle name="Normal 8 2 4 2 4 2 4" xfId="20922" xr:uid="{7DD7EFD8-BC42-464A-A194-B031B48C6BBA}"/>
    <cellStyle name="Normal 8 2 4 2 4 3" xfId="6097" xr:uid="{00000000-0005-0000-0000-0000F01C0000}"/>
    <cellStyle name="Normal 8 2 4 2 4 3 2" xfId="14547" xr:uid="{C6F78F86-EF65-4544-94CB-7370ACD79058}"/>
    <cellStyle name="Normal 8 2 4 2 4 3 3" xfId="22994" xr:uid="{F7AAA564-6075-41C4-AA67-BD2F512E8971}"/>
    <cellStyle name="Normal 8 2 4 2 4 4" xfId="10329" xr:uid="{F3FEEA10-F55F-4CB6-9C90-50B4D81215E5}"/>
    <cellStyle name="Normal 8 2 4 2 4 5" xfId="18777" xr:uid="{C652EFE8-B3ED-4C32-921A-F84C6882DAA2}"/>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5266E106-B554-4996-BB54-9C7848916094}"/>
    <cellStyle name="Normal 8 2 4 2 5 2 2 3" xfId="25552" xr:uid="{5BFDC3D1-6017-433F-BDB5-65FB2DC4FBCE}"/>
    <cellStyle name="Normal 8 2 4 2 5 2 3" xfId="12887" xr:uid="{20AF6EBD-E9E7-4DD5-9F29-D3CDB583CD5C}"/>
    <cellStyle name="Normal 8 2 4 2 5 2 4" xfId="21335" xr:uid="{3EE4AAF2-B5AF-4AE7-9CF9-A929C777BDB9}"/>
    <cellStyle name="Normal 8 2 4 2 5 3" xfId="6510" xr:uid="{00000000-0005-0000-0000-0000F41C0000}"/>
    <cellStyle name="Normal 8 2 4 2 5 3 2" xfId="14960" xr:uid="{FE1A2403-4153-4641-A193-9A1FFC4E385A}"/>
    <cellStyle name="Normal 8 2 4 2 5 3 3" xfId="23407" xr:uid="{619C294D-5D68-43F9-9A66-3E330C929411}"/>
    <cellStyle name="Normal 8 2 4 2 5 4" xfId="10742" xr:uid="{37CE3B46-3DA2-445A-BEBA-A45B026DD3FE}"/>
    <cellStyle name="Normal 8 2 4 2 5 5" xfId="19190" xr:uid="{E83ECBBA-3B70-45D5-A777-3AB7443BA2D9}"/>
    <cellStyle name="Normal 8 2 4 2 6" xfId="2640" xr:uid="{00000000-0005-0000-0000-0000F51C0000}"/>
    <cellStyle name="Normal 8 2 4 2 6 2" xfId="6923" xr:uid="{00000000-0005-0000-0000-0000F61C0000}"/>
    <cellStyle name="Normal 8 2 4 2 6 2 2" xfId="15373" xr:uid="{4F2E4FB2-D5F4-4AAE-A750-A237F5284223}"/>
    <cellStyle name="Normal 8 2 4 2 6 2 3" xfId="23820" xr:uid="{0BC8A18B-19DC-4598-ABBB-838EDFF96A10}"/>
    <cellStyle name="Normal 8 2 4 2 6 3" xfId="11155" xr:uid="{4D46F1DC-8CCB-45B5-BB15-A6FF2F184D89}"/>
    <cellStyle name="Normal 8 2 4 2 6 4" xfId="19603" xr:uid="{E416078C-AEA0-4422-8F8E-F9E579D4BBCD}"/>
    <cellStyle name="Normal 8 2 4 2 7" xfId="4858" xr:uid="{00000000-0005-0000-0000-0000F71C0000}"/>
    <cellStyle name="Normal 8 2 4 2 7 2" xfId="13308" xr:uid="{31A41E8E-41E3-42E5-B157-4B52E50514B6}"/>
    <cellStyle name="Normal 8 2 4 2 7 3" xfId="21755" xr:uid="{24E86317-FA4E-48F8-A131-029C2531978E}"/>
    <cellStyle name="Normal 8 2 4 2 8" xfId="9090" xr:uid="{B1FB3757-1552-4947-BC6B-49531513B016}"/>
    <cellStyle name="Normal 8 2 4 2 9" xfId="17538" xr:uid="{017D0908-F4D8-4315-81BE-ED441665E8EF}"/>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BD9AD5F3-1D64-4F7A-8209-2706A97AB0AD}"/>
    <cellStyle name="Normal 8 2 4 3 2 2 3" xfId="24312" xr:uid="{64623A0B-8407-4EE7-A235-BD7F12875F67}"/>
    <cellStyle name="Normal 8 2 4 3 2 3" xfId="11647" xr:uid="{3FC47829-967F-4087-9FBF-B51E33D2313E}"/>
    <cellStyle name="Normal 8 2 4 3 2 4" xfId="20095" xr:uid="{B825E7AD-9425-4F6F-8002-EC57FDDE6E68}"/>
    <cellStyle name="Normal 8 2 4 3 3" xfId="5270" xr:uid="{00000000-0005-0000-0000-0000FB1C0000}"/>
    <cellStyle name="Normal 8 2 4 3 3 2" xfId="13720" xr:uid="{B71A181C-C63E-4513-AF7C-0BE36B061BC8}"/>
    <cellStyle name="Normal 8 2 4 3 3 3" xfId="22167" xr:uid="{2BD95F10-DD30-4CAC-95E8-12AA52796702}"/>
    <cellStyle name="Normal 8 2 4 3 4" xfId="9502" xr:uid="{3A605AF9-68B6-4360-8642-36881A9F6CE9}"/>
    <cellStyle name="Normal 8 2 4 3 5" xfId="17950" xr:uid="{060AD54E-2A42-4E42-81BC-3E6D66127352}"/>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B6E548C5-E616-480D-B993-9A8B54AB0A62}"/>
    <cellStyle name="Normal 8 2 4 4 2 2 3" xfId="24725" xr:uid="{C8B63C51-2942-4D78-B5B8-276BB87C643D}"/>
    <cellStyle name="Normal 8 2 4 4 2 3" xfId="12060" xr:uid="{4F905A56-5E53-4388-8092-3FB451077E63}"/>
    <cellStyle name="Normal 8 2 4 4 2 4" xfId="20508" xr:uid="{5CABFAE8-50F6-437E-B3F9-606606F389F1}"/>
    <cellStyle name="Normal 8 2 4 4 3" xfId="5683" xr:uid="{00000000-0005-0000-0000-0000FF1C0000}"/>
    <cellStyle name="Normal 8 2 4 4 3 2" xfId="14133" xr:uid="{EBD8320A-AB44-4C30-98AB-DAA07D5BBB54}"/>
    <cellStyle name="Normal 8 2 4 4 3 3" xfId="22580" xr:uid="{AB92104B-0D91-4B1C-890E-718DF26D80F7}"/>
    <cellStyle name="Normal 8 2 4 4 4" xfId="9915" xr:uid="{4D4D8FF9-7218-4F38-B003-AF441B0B42D8}"/>
    <cellStyle name="Normal 8 2 4 4 5" xfId="18363" xr:uid="{D33831A8-35B2-4B0D-88BC-CBE25F639165}"/>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650C7F1E-D63B-439D-8CD0-9512332AB112}"/>
    <cellStyle name="Normal 8 2 4 5 2 2 3" xfId="25138" xr:uid="{5EDE5C7D-6FD2-4646-8E8E-B622F29553E8}"/>
    <cellStyle name="Normal 8 2 4 5 2 3" xfId="12473" xr:uid="{B568A7AC-403A-4FC9-B39B-D7943D62A0BB}"/>
    <cellStyle name="Normal 8 2 4 5 2 4" xfId="20921" xr:uid="{18B92E90-B430-495D-8FFB-9045F1734DFD}"/>
    <cellStyle name="Normal 8 2 4 5 3" xfId="6096" xr:uid="{00000000-0005-0000-0000-0000031D0000}"/>
    <cellStyle name="Normal 8 2 4 5 3 2" xfId="14546" xr:uid="{ECD818E9-9EBF-44DA-AC10-B5017193D90E}"/>
    <cellStyle name="Normal 8 2 4 5 3 3" xfId="22993" xr:uid="{D1827C38-907C-40CB-B6A7-CCC069ADC5C9}"/>
    <cellStyle name="Normal 8 2 4 5 4" xfId="10328" xr:uid="{562ECE78-28A2-45D8-A012-7A120EF2FCFE}"/>
    <cellStyle name="Normal 8 2 4 5 5" xfId="18776" xr:uid="{6D554A97-BE6B-4043-884A-D90D2C2353D0}"/>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E5ACFA8B-E264-416E-A5F7-6638B6237B4F}"/>
    <cellStyle name="Normal 8 2 4 6 2 2 3" xfId="25551" xr:uid="{8B892013-59AD-4E7A-9377-9D3CE1633044}"/>
    <cellStyle name="Normal 8 2 4 6 2 3" xfId="12886" xr:uid="{4A02708A-376F-4270-AB6B-34FFD92DAA4A}"/>
    <cellStyle name="Normal 8 2 4 6 2 4" xfId="21334" xr:uid="{360F420B-3CA4-4838-B023-ABDC1A7BBF8B}"/>
    <cellStyle name="Normal 8 2 4 6 3" xfId="6509" xr:uid="{00000000-0005-0000-0000-0000071D0000}"/>
    <cellStyle name="Normal 8 2 4 6 3 2" xfId="14959" xr:uid="{91A0D708-55F7-4A24-9324-B87ED222DBA7}"/>
    <cellStyle name="Normal 8 2 4 6 3 3" xfId="23406" xr:uid="{54F1FDB7-5AC1-400B-A8B6-A2DDB41E7DF7}"/>
    <cellStyle name="Normal 8 2 4 6 4" xfId="10741" xr:uid="{35DEF654-7AC0-4DAA-A427-52D099BD1AF2}"/>
    <cellStyle name="Normal 8 2 4 6 5" xfId="19189" xr:uid="{52558082-919F-4BA8-BAB7-A51EC5764832}"/>
    <cellStyle name="Normal 8 2 4 7" xfId="2639" xr:uid="{00000000-0005-0000-0000-0000081D0000}"/>
    <cellStyle name="Normal 8 2 4 7 2" xfId="6922" xr:uid="{00000000-0005-0000-0000-0000091D0000}"/>
    <cellStyle name="Normal 8 2 4 7 2 2" xfId="15372" xr:uid="{2227D1D4-83C1-48D7-A40D-C61384B2335A}"/>
    <cellStyle name="Normal 8 2 4 7 2 3" xfId="23819" xr:uid="{34D73D9C-D0FA-44C9-A58D-AEF393454226}"/>
    <cellStyle name="Normal 8 2 4 7 3" xfId="11154" xr:uid="{1CDF29B6-00A1-484E-BC75-C9735455100A}"/>
    <cellStyle name="Normal 8 2 4 7 4" xfId="19602" xr:uid="{9FE6DBBE-36DB-4BEE-9453-ADEC4F3A6EDD}"/>
    <cellStyle name="Normal 8 2 4 8" xfId="4857" xr:uid="{00000000-0005-0000-0000-00000A1D0000}"/>
    <cellStyle name="Normal 8 2 4 8 2" xfId="13307" xr:uid="{8118E2B1-EB5B-43EE-B184-728E9F6F630B}"/>
    <cellStyle name="Normal 8 2 4 8 3" xfId="21754" xr:uid="{14993BB4-785B-4D15-AEA3-E89B7580212E}"/>
    <cellStyle name="Normal 8 2 4 9" xfId="9089" xr:uid="{A449B9FC-2FD9-495E-89CD-85696E8CC23B}"/>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13CE57A8-677C-4335-B715-DABAE2D58222}"/>
    <cellStyle name="Normal 8 2 5 2 2 2 3" xfId="24314" xr:uid="{AA328FE7-94E8-4D50-91B9-9953A21B5EFD}"/>
    <cellStyle name="Normal 8 2 5 2 2 3" xfId="11649" xr:uid="{086F75EA-D9CA-46C3-B757-1D65AE931490}"/>
    <cellStyle name="Normal 8 2 5 2 2 4" xfId="20097" xr:uid="{2FAEACAE-088C-435A-BABB-35195D6AFC41}"/>
    <cellStyle name="Normal 8 2 5 2 3" xfId="5272" xr:uid="{00000000-0005-0000-0000-00000F1D0000}"/>
    <cellStyle name="Normal 8 2 5 2 3 2" xfId="13722" xr:uid="{3A667A34-BD3B-4F4D-8733-357F3AA91702}"/>
    <cellStyle name="Normal 8 2 5 2 3 3" xfId="22169" xr:uid="{9EF9A174-7FF2-47A2-83CF-EAC1D197534D}"/>
    <cellStyle name="Normal 8 2 5 2 4" xfId="9504" xr:uid="{AE60D02C-BA35-475E-A414-8B2496E1529B}"/>
    <cellStyle name="Normal 8 2 5 2 5" xfId="17952" xr:uid="{81AEE8A2-F0A4-469F-9D65-C2F44FE217BF}"/>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D2FDFB89-BC50-4A3B-9BCA-61BBB815832B}"/>
    <cellStyle name="Normal 8 2 5 3 2 2 3" xfId="24727" xr:uid="{300BFD2D-4946-4F33-B8EF-C0DBC4706679}"/>
    <cellStyle name="Normal 8 2 5 3 2 3" xfId="12062" xr:uid="{248BBADB-B4C0-4646-B052-4EA86089B406}"/>
    <cellStyle name="Normal 8 2 5 3 2 4" xfId="20510" xr:uid="{DC24A0EB-7198-4988-89DB-FC8D92E31FE8}"/>
    <cellStyle name="Normal 8 2 5 3 3" xfId="5685" xr:uid="{00000000-0005-0000-0000-0000131D0000}"/>
    <cellStyle name="Normal 8 2 5 3 3 2" xfId="14135" xr:uid="{2AA23C48-8687-432D-BEDA-B4EBB4528C77}"/>
    <cellStyle name="Normal 8 2 5 3 3 3" xfId="22582" xr:uid="{62080C89-32CA-4179-9120-BA481C27F393}"/>
    <cellStyle name="Normal 8 2 5 3 4" xfId="9917" xr:uid="{76B9C888-C35E-45B4-B9FC-5F4EC2A97E7E}"/>
    <cellStyle name="Normal 8 2 5 3 5" xfId="18365" xr:uid="{240191DE-251A-44F8-999D-6D82E04101BC}"/>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1D9BD830-7D27-48E2-820C-A18541FF2292}"/>
    <cellStyle name="Normal 8 2 5 4 2 2 3" xfId="25140" xr:uid="{25A48274-5FC1-411C-847C-1C67E8A55C47}"/>
    <cellStyle name="Normal 8 2 5 4 2 3" xfId="12475" xr:uid="{88CD3147-A71D-4CD5-A0BB-0F7064F96CDD}"/>
    <cellStyle name="Normal 8 2 5 4 2 4" xfId="20923" xr:uid="{CA972EC5-A938-476D-86B7-C95AFF0D7E29}"/>
    <cellStyle name="Normal 8 2 5 4 3" xfId="6098" xr:uid="{00000000-0005-0000-0000-0000171D0000}"/>
    <cellStyle name="Normal 8 2 5 4 3 2" xfId="14548" xr:uid="{3023B5CE-9D9C-49BF-9A34-90CB32B25F66}"/>
    <cellStyle name="Normal 8 2 5 4 3 3" xfId="22995" xr:uid="{19C7735B-BB82-465E-88C8-95F5FC1370A1}"/>
    <cellStyle name="Normal 8 2 5 4 4" xfId="10330" xr:uid="{7C46421C-42C7-4B4F-9B67-8A1C9A2DFD29}"/>
    <cellStyle name="Normal 8 2 5 4 5" xfId="18778" xr:uid="{EB574A1B-2D03-490A-879D-7DEA2661D2F7}"/>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C82407ED-3018-412C-A8DC-0E4B6CB266C5}"/>
    <cellStyle name="Normal 8 2 5 5 2 2 3" xfId="25553" xr:uid="{BCEB55C0-8293-4A83-AFC5-470A83786E9E}"/>
    <cellStyle name="Normal 8 2 5 5 2 3" xfId="12888" xr:uid="{C80A110D-D717-4A2F-A331-704CA0F02BAE}"/>
    <cellStyle name="Normal 8 2 5 5 2 4" xfId="21336" xr:uid="{75DB4D4A-8E20-4BE6-AC28-6C20BE7DB1C4}"/>
    <cellStyle name="Normal 8 2 5 5 3" xfId="6511" xr:uid="{00000000-0005-0000-0000-00001B1D0000}"/>
    <cellStyle name="Normal 8 2 5 5 3 2" xfId="14961" xr:uid="{6FA95C8D-41C3-41C0-B155-058280938F5F}"/>
    <cellStyle name="Normal 8 2 5 5 3 3" xfId="23408" xr:uid="{0642EFBF-62F8-45BB-A96D-8C9A805971C8}"/>
    <cellStyle name="Normal 8 2 5 5 4" xfId="10743" xr:uid="{29B121B1-B9B7-4492-8C2D-ED605FAC86D1}"/>
    <cellStyle name="Normal 8 2 5 5 5" xfId="19191" xr:uid="{29B10B2F-6653-48C5-A4CB-0DB0D4FFBC26}"/>
    <cellStyle name="Normal 8 2 5 6" xfId="2641" xr:uid="{00000000-0005-0000-0000-00001C1D0000}"/>
    <cellStyle name="Normal 8 2 5 6 2" xfId="6924" xr:uid="{00000000-0005-0000-0000-00001D1D0000}"/>
    <cellStyle name="Normal 8 2 5 6 2 2" xfId="15374" xr:uid="{DC6EFC70-D9C3-4BBA-9667-1A6FACA7D5D2}"/>
    <cellStyle name="Normal 8 2 5 6 2 3" xfId="23821" xr:uid="{0162E97A-3FDA-49C7-9CC6-07AE7D5A5548}"/>
    <cellStyle name="Normal 8 2 5 6 3" xfId="11156" xr:uid="{1F504A4F-9E8B-4916-99B8-78B1094AB071}"/>
    <cellStyle name="Normal 8 2 5 6 4" xfId="19604" xr:uid="{5A53BCD4-7CFF-4CCC-95F2-0C6964739F2E}"/>
    <cellStyle name="Normal 8 2 5 7" xfId="4859" xr:uid="{00000000-0005-0000-0000-00001E1D0000}"/>
    <cellStyle name="Normal 8 2 5 7 2" xfId="13309" xr:uid="{37E8F9CB-BD04-458E-95F5-2C64BD9A6108}"/>
    <cellStyle name="Normal 8 2 5 7 3" xfId="21756" xr:uid="{A028D68E-7830-47B6-8533-2F0B1B54A4C2}"/>
    <cellStyle name="Normal 8 2 5 8" xfId="9091" xr:uid="{1F2932D4-7DD0-4768-8DA4-EC1934EF1CBB}"/>
    <cellStyle name="Normal 8 2 5 9" xfId="17539" xr:uid="{638741C5-031A-4BEE-A78D-D02AC64B508D}"/>
    <cellStyle name="Normal 8 2 6" xfId="946" xr:uid="{00000000-0005-0000-0000-00001F1D0000}"/>
    <cellStyle name="Normal 8 2 6 2" xfId="3180" xr:uid="{00000000-0005-0000-0000-0000201D0000}"/>
    <cellStyle name="Normal 8 2 6 2 2" xfId="7402" xr:uid="{00000000-0005-0000-0000-0000211D0000}"/>
    <cellStyle name="Normal 8 2 6 2 2 2" xfId="15852" xr:uid="{70E6CDF0-18CF-441F-9ED0-9285474439A1}"/>
    <cellStyle name="Normal 8 2 6 2 2 3" xfId="24299" xr:uid="{64160991-0D5A-4063-B5B5-6C2D3073F676}"/>
    <cellStyle name="Normal 8 2 6 2 3" xfId="11634" xr:uid="{20385940-80B4-405E-84DD-E77227E70E26}"/>
    <cellStyle name="Normal 8 2 6 2 4" xfId="20082" xr:uid="{30CAF84B-D04F-46B4-AB56-B6973395F3C9}"/>
    <cellStyle name="Normal 8 2 6 3" xfId="5257" xr:uid="{00000000-0005-0000-0000-0000221D0000}"/>
    <cellStyle name="Normal 8 2 6 3 2" xfId="13707" xr:uid="{696AB72D-44C5-4914-B67A-185424D5B5B4}"/>
    <cellStyle name="Normal 8 2 6 3 3" xfId="22154" xr:uid="{577D5750-3287-4DB4-924F-137DEFBCB751}"/>
    <cellStyle name="Normal 8 2 6 4" xfId="9489" xr:uid="{281BA9DD-DBCA-429A-B8AE-276ADF0C2D08}"/>
    <cellStyle name="Normal 8 2 6 5" xfId="17937" xr:uid="{CAA09778-86C7-4262-8E99-2444327A30C9}"/>
    <cellStyle name="Normal 8 2 7" xfId="1363" xr:uid="{00000000-0005-0000-0000-0000231D0000}"/>
    <cellStyle name="Normal 8 2 7 2" xfId="3593" xr:uid="{00000000-0005-0000-0000-0000241D0000}"/>
    <cellStyle name="Normal 8 2 7 2 2" xfId="7815" xr:uid="{00000000-0005-0000-0000-0000251D0000}"/>
    <cellStyle name="Normal 8 2 7 2 2 2" xfId="16265" xr:uid="{8277DFA7-4A1F-4BC4-AF90-9E951C0D857C}"/>
    <cellStyle name="Normal 8 2 7 2 2 3" xfId="24712" xr:uid="{6337F57F-5A68-4F78-ADAE-5971BAD78734}"/>
    <cellStyle name="Normal 8 2 7 2 3" xfId="12047" xr:uid="{45802A3A-B9A3-497A-B80D-A895159743A7}"/>
    <cellStyle name="Normal 8 2 7 2 4" xfId="20495" xr:uid="{0A217A1F-D00B-4C8B-94FA-3990CE6B5651}"/>
    <cellStyle name="Normal 8 2 7 3" xfId="5670" xr:uid="{00000000-0005-0000-0000-0000261D0000}"/>
    <cellStyle name="Normal 8 2 7 3 2" xfId="14120" xr:uid="{5DBF3107-4B87-4F24-A7B1-B757920D3578}"/>
    <cellStyle name="Normal 8 2 7 3 3" xfId="22567" xr:uid="{50F993BC-2626-4CAA-AF67-62C2196D5872}"/>
    <cellStyle name="Normal 8 2 7 4" xfId="9902" xr:uid="{B1F06701-5C07-48B6-A234-6437DFB96E1B}"/>
    <cellStyle name="Normal 8 2 7 5" xfId="18350" xr:uid="{1F60F484-BDE6-4C1B-894A-DF4130F01FF7}"/>
    <cellStyle name="Normal 8 2 8" xfId="1776" xr:uid="{00000000-0005-0000-0000-0000271D0000}"/>
    <cellStyle name="Normal 8 2 8 2" xfId="4006" xr:uid="{00000000-0005-0000-0000-0000281D0000}"/>
    <cellStyle name="Normal 8 2 8 2 2" xfId="8228" xr:uid="{00000000-0005-0000-0000-0000291D0000}"/>
    <cellStyle name="Normal 8 2 8 2 2 2" xfId="16678" xr:uid="{0E02DF94-7456-4E36-A23B-7FE96C81C992}"/>
    <cellStyle name="Normal 8 2 8 2 2 3" xfId="25125" xr:uid="{1B743F45-A349-4F06-BC5C-C5C3CB935DC8}"/>
    <cellStyle name="Normal 8 2 8 2 3" xfId="12460" xr:uid="{60A69714-1BBC-4A84-9F46-11F79DEDA45E}"/>
    <cellStyle name="Normal 8 2 8 2 4" xfId="20908" xr:uid="{7A38F44A-9F0B-44AC-B99F-DCE214142F5C}"/>
    <cellStyle name="Normal 8 2 8 3" xfId="6083" xr:uid="{00000000-0005-0000-0000-00002A1D0000}"/>
    <cellStyle name="Normal 8 2 8 3 2" xfId="14533" xr:uid="{DDBBBC69-B2C4-4A48-8FEE-B332B2283EC7}"/>
    <cellStyle name="Normal 8 2 8 3 3" xfId="22980" xr:uid="{DFFF561A-15A4-45F9-9058-D391F9F28D3A}"/>
    <cellStyle name="Normal 8 2 8 4" xfId="10315" xr:uid="{C4AAF7DC-4E00-4061-A06A-2B626BE2BBC2}"/>
    <cellStyle name="Normal 8 2 8 5" xfId="18763" xr:uid="{C764944A-7CE2-4341-BB7B-054BEFC22960}"/>
    <cellStyle name="Normal 8 2 9" xfId="2190" xr:uid="{00000000-0005-0000-0000-00002B1D0000}"/>
    <cellStyle name="Normal 8 2 9 2" xfId="4419" xr:uid="{00000000-0005-0000-0000-00002C1D0000}"/>
    <cellStyle name="Normal 8 2 9 2 2" xfId="8641" xr:uid="{00000000-0005-0000-0000-00002D1D0000}"/>
    <cellStyle name="Normal 8 2 9 2 2 2" xfId="17091" xr:uid="{8901D5D8-7ECE-4327-97E9-E0CEE276481E}"/>
    <cellStyle name="Normal 8 2 9 2 2 3" xfId="25538" xr:uid="{F213C97A-A09D-49A3-BC79-AEABCF1BFD3C}"/>
    <cellStyle name="Normal 8 2 9 2 3" xfId="12873" xr:uid="{95B90A97-E1B3-4B4A-9949-1FDBF0655017}"/>
    <cellStyle name="Normal 8 2 9 2 4" xfId="21321" xr:uid="{A76EFC64-4C6C-4C3D-B6A6-D102C576B582}"/>
    <cellStyle name="Normal 8 2 9 3" xfId="6496" xr:uid="{00000000-0005-0000-0000-00002E1D0000}"/>
    <cellStyle name="Normal 8 2 9 3 2" xfId="14946" xr:uid="{12F58BFE-92FC-4BE6-8F66-F496B40EDEF7}"/>
    <cellStyle name="Normal 8 2 9 3 3" xfId="23393" xr:uid="{F4B33B65-5027-4148-9F16-D9986CCE70DC}"/>
    <cellStyle name="Normal 8 2 9 4" xfId="10728" xr:uid="{3F841338-9F6E-47CF-B8DC-B05304EB777E}"/>
    <cellStyle name="Normal 8 2 9 5" xfId="19176" xr:uid="{8378670F-7959-475B-AB61-9E0156BB7F65}"/>
    <cellStyle name="Normal 8 3" xfId="495" xr:uid="{00000000-0005-0000-0000-00002F1D0000}"/>
    <cellStyle name="Normal 8 3 10" xfId="4860" xr:uid="{00000000-0005-0000-0000-0000301D0000}"/>
    <cellStyle name="Normal 8 3 10 2" xfId="13310" xr:uid="{A93E4CDF-182E-477A-BC48-E3890AFE639B}"/>
    <cellStyle name="Normal 8 3 10 3" xfId="21757" xr:uid="{65F13A35-D29A-4BAF-BA7B-61020546F32F}"/>
    <cellStyle name="Normal 8 3 11" xfId="9092" xr:uid="{8D6E59B8-748D-4ADF-9E92-4D6BD8748266}"/>
    <cellStyle name="Normal 8 3 12" xfId="17540" xr:uid="{36AA3863-354D-4E15-A0E5-ED6A5AA16824}"/>
    <cellStyle name="Normal 8 3 2" xfId="496" xr:uid="{00000000-0005-0000-0000-0000311D0000}"/>
    <cellStyle name="Normal 8 3 2 10" xfId="9093" xr:uid="{5C6388EA-9A3A-4821-A5DA-B24441545EBC}"/>
    <cellStyle name="Normal 8 3 2 11" xfId="17541" xr:uid="{EAD20855-6700-477A-B976-8E8AD9264623}"/>
    <cellStyle name="Normal 8 3 2 2" xfId="497" xr:uid="{00000000-0005-0000-0000-0000321D0000}"/>
    <cellStyle name="Normal 8 3 2 2 10" xfId="17542" xr:uid="{A507A17C-33B9-45CA-95DB-F212313D05F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0886DA85-C077-4D3D-ACC7-15F3D989BADC}"/>
    <cellStyle name="Normal 8 3 2 2 2 2 2 2 3" xfId="24318" xr:uid="{99C7D547-C5AB-4363-B345-27E7933CD316}"/>
    <cellStyle name="Normal 8 3 2 2 2 2 2 3" xfId="11653" xr:uid="{6F3BFB59-352E-437A-819A-C05EF91B5729}"/>
    <cellStyle name="Normal 8 3 2 2 2 2 2 4" xfId="20101" xr:uid="{8A210915-62ED-4DC6-A8D6-A69B3929CA1A}"/>
    <cellStyle name="Normal 8 3 2 2 2 2 3" xfId="5276" xr:uid="{00000000-0005-0000-0000-0000371D0000}"/>
    <cellStyle name="Normal 8 3 2 2 2 2 3 2" xfId="13726" xr:uid="{DCCEC51A-F4A1-4A8C-8C81-25CCCF255750}"/>
    <cellStyle name="Normal 8 3 2 2 2 2 3 3" xfId="22173" xr:uid="{05356DBF-236A-4BDD-AC82-D2C874BA6618}"/>
    <cellStyle name="Normal 8 3 2 2 2 2 4" xfId="9508" xr:uid="{FE16904C-BC56-4BDF-BDED-532F8D345DFA}"/>
    <cellStyle name="Normal 8 3 2 2 2 2 5" xfId="17956" xr:uid="{75C49530-2FB2-4949-8FB2-ED1E4968744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B31E558A-4768-4272-84F6-912A0FC48C6D}"/>
    <cellStyle name="Normal 8 3 2 2 2 3 2 2 3" xfId="24731" xr:uid="{CC0EB66D-9126-4A0E-A5DB-038C87FE36B9}"/>
    <cellStyle name="Normal 8 3 2 2 2 3 2 3" xfId="12066" xr:uid="{A81AE56C-46AC-429F-B767-EC7432A7D3FF}"/>
    <cellStyle name="Normal 8 3 2 2 2 3 2 4" xfId="20514" xr:uid="{9F7753A3-62CB-4810-869A-DD17A10CDC44}"/>
    <cellStyle name="Normal 8 3 2 2 2 3 3" xfId="5689" xr:uid="{00000000-0005-0000-0000-00003B1D0000}"/>
    <cellStyle name="Normal 8 3 2 2 2 3 3 2" xfId="14139" xr:uid="{1D804A30-B0B0-4743-8676-9930821F0915}"/>
    <cellStyle name="Normal 8 3 2 2 2 3 3 3" xfId="22586" xr:uid="{8362674F-B7FC-4698-8787-E6E1D06F8E2B}"/>
    <cellStyle name="Normal 8 3 2 2 2 3 4" xfId="9921" xr:uid="{EAF1DE8F-86E8-44A0-8441-534B77B0D808}"/>
    <cellStyle name="Normal 8 3 2 2 2 3 5" xfId="18369" xr:uid="{BB241182-FBFB-4151-BA4E-8C6D022EE0E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743B60A5-07D8-4183-84CB-049BC03B5EF9}"/>
    <cellStyle name="Normal 8 3 2 2 2 4 2 2 3" xfId="25144" xr:uid="{4961A291-641E-4F39-A3DB-3B3925166E4A}"/>
    <cellStyle name="Normal 8 3 2 2 2 4 2 3" xfId="12479" xr:uid="{492A463A-880D-4441-BD3D-E9A74F365C07}"/>
    <cellStyle name="Normal 8 3 2 2 2 4 2 4" xfId="20927" xr:uid="{9DCCCB7A-D66B-4205-AB6F-CFABD6EDA4E1}"/>
    <cellStyle name="Normal 8 3 2 2 2 4 3" xfId="6102" xr:uid="{00000000-0005-0000-0000-00003F1D0000}"/>
    <cellStyle name="Normal 8 3 2 2 2 4 3 2" xfId="14552" xr:uid="{123DE9CB-6B75-4333-9536-916C47374C97}"/>
    <cellStyle name="Normal 8 3 2 2 2 4 3 3" xfId="22999" xr:uid="{9825A454-6C5B-4615-9190-F686B5D54ED2}"/>
    <cellStyle name="Normal 8 3 2 2 2 4 4" xfId="10334" xr:uid="{7B72F5E5-F423-4749-ABC7-6044C8DB5048}"/>
    <cellStyle name="Normal 8 3 2 2 2 4 5" xfId="18782" xr:uid="{82448F9A-0C4E-434D-BF92-FF20A152B5D9}"/>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38D7F5E8-B816-4ACC-8D89-C279C281BD8F}"/>
    <cellStyle name="Normal 8 3 2 2 2 5 2 2 3" xfId="25557" xr:uid="{0A2201DE-9497-46E0-B9B5-1C9BE8F5EE30}"/>
    <cellStyle name="Normal 8 3 2 2 2 5 2 3" xfId="12892" xr:uid="{332EEBD1-4A8F-4C06-B729-8B76A65D320C}"/>
    <cellStyle name="Normal 8 3 2 2 2 5 2 4" xfId="21340" xr:uid="{E1461841-09F7-46EA-9564-F158BE25F369}"/>
    <cellStyle name="Normal 8 3 2 2 2 5 3" xfId="6515" xr:uid="{00000000-0005-0000-0000-0000431D0000}"/>
    <cellStyle name="Normal 8 3 2 2 2 5 3 2" xfId="14965" xr:uid="{4B6E4525-228C-4AB4-92A1-B2E4C0477E3C}"/>
    <cellStyle name="Normal 8 3 2 2 2 5 3 3" xfId="23412" xr:uid="{8496BDEE-BA5A-4FB3-B24F-88C8A8C9E76C}"/>
    <cellStyle name="Normal 8 3 2 2 2 5 4" xfId="10747" xr:uid="{31B00396-0FAE-4480-B74C-20779C4F7985}"/>
    <cellStyle name="Normal 8 3 2 2 2 5 5" xfId="19195" xr:uid="{38664996-34E5-41E4-AFBD-C766369A4B85}"/>
    <cellStyle name="Normal 8 3 2 2 2 6" xfId="2645" xr:uid="{00000000-0005-0000-0000-0000441D0000}"/>
    <cellStyle name="Normal 8 3 2 2 2 6 2" xfId="6928" xr:uid="{00000000-0005-0000-0000-0000451D0000}"/>
    <cellStyle name="Normal 8 3 2 2 2 6 2 2" xfId="15378" xr:uid="{432AC7A6-6D98-4A40-BB4E-916137EC18D7}"/>
    <cellStyle name="Normal 8 3 2 2 2 6 2 3" xfId="23825" xr:uid="{CB7CAAEF-57D1-4646-B3F7-C6F338C5F2E4}"/>
    <cellStyle name="Normal 8 3 2 2 2 6 3" xfId="11160" xr:uid="{EFCB275D-9253-48A3-AD62-FF5EE9F439A8}"/>
    <cellStyle name="Normal 8 3 2 2 2 6 4" xfId="19608" xr:uid="{9D939460-1C0F-4FB3-AFCB-A1B939762DFB}"/>
    <cellStyle name="Normal 8 3 2 2 2 7" xfId="4863" xr:uid="{00000000-0005-0000-0000-0000461D0000}"/>
    <cellStyle name="Normal 8 3 2 2 2 7 2" xfId="13313" xr:uid="{62F711BB-AD0E-46FA-A782-A86EFF0591FA}"/>
    <cellStyle name="Normal 8 3 2 2 2 7 3" xfId="21760" xr:uid="{FDFF52A1-177B-45D6-98AD-86983E6CCC5B}"/>
    <cellStyle name="Normal 8 3 2 2 2 8" xfId="9095" xr:uid="{C559876E-AB24-4DAC-A959-4649C663F923}"/>
    <cellStyle name="Normal 8 3 2 2 2 9" xfId="17543" xr:uid="{6D9C2BC5-D1BA-482D-BB5D-2F49C848D9BF}"/>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3BEB1B1A-67F2-4F76-A638-4EECA7CB2EF4}"/>
    <cellStyle name="Normal 8 3 2 2 3 2 2 3" xfId="24317" xr:uid="{1B747385-1841-43E6-A913-1000B497B7A6}"/>
    <cellStyle name="Normal 8 3 2 2 3 2 3" xfId="11652" xr:uid="{24C25CCB-4559-42FD-B106-A7621446DE32}"/>
    <cellStyle name="Normal 8 3 2 2 3 2 4" xfId="20100" xr:uid="{5977F2BC-C872-4097-AC8F-9DA4E73BCCF8}"/>
    <cellStyle name="Normal 8 3 2 2 3 3" xfId="5275" xr:uid="{00000000-0005-0000-0000-00004A1D0000}"/>
    <cellStyle name="Normal 8 3 2 2 3 3 2" xfId="13725" xr:uid="{976FDB29-2F01-46BF-A057-F51D96FFE534}"/>
    <cellStyle name="Normal 8 3 2 2 3 3 3" xfId="22172" xr:uid="{3EB949A8-E290-4B01-931C-6BABA6D36859}"/>
    <cellStyle name="Normal 8 3 2 2 3 4" xfId="9507" xr:uid="{EBAA2E33-6AEC-4674-A246-F07767E75967}"/>
    <cellStyle name="Normal 8 3 2 2 3 5" xfId="17955" xr:uid="{19A35D8E-0DF1-4B64-99F1-5DD0C6705A1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DC789DEB-EF52-4550-87BD-54BD8454D2E5}"/>
    <cellStyle name="Normal 8 3 2 2 4 2 2 3" xfId="24730" xr:uid="{8760E1E4-B773-4688-8D10-0D2665B4D4C1}"/>
    <cellStyle name="Normal 8 3 2 2 4 2 3" xfId="12065" xr:uid="{AF93C209-83DF-48E5-88A5-B2D616053E5D}"/>
    <cellStyle name="Normal 8 3 2 2 4 2 4" xfId="20513" xr:uid="{A73B25C6-D51B-4674-B0BC-907335274C99}"/>
    <cellStyle name="Normal 8 3 2 2 4 3" xfId="5688" xr:uid="{00000000-0005-0000-0000-00004E1D0000}"/>
    <cellStyle name="Normal 8 3 2 2 4 3 2" xfId="14138" xr:uid="{4E2F843A-24BB-4E60-A1CE-73ACDB84DAB6}"/>
    <cellStyle name="Normal 8 3 2 2 4 3 3" xfId="22585" xr:uid="{A2C8DD79-0308-45EC-BAFE-B970FF03D0BB}"/>
    <cellStyle name="Normal 8 3 2 2 4 4" xfId="9920" xr:uid="{278CA877-7473-4439-8AC0-D0E2C35DC0A5}"/>
    <cellStyle name="Normal 8 3 2 2 4 5" xfId="18368" xr:uid="{CC8FDB76-92AA-4219-B698-485128D8EB9E}"/>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24BAE2CB-AC0C-4F18-B9B0-723ED58ECF4B}"/>
    <cellStyle name="Normal 8 3 2 2 5 2 2 3" xfId="25143" xr:uid="{D7205253-C8C9-4DB6-92D2-5207A45F3F16}"/>
    <cellStyle name="Normal 8 3 2 2 5 2 3" xfId="12478" xr:uid="{D8C92FFF-C29B-41C1-B2A2-8AFA1BA34D09}"/>
    <cellStyle name="Normal 8 3 2 2 5 2 4" xfId="20926" xr:uid="{CB14045A-AEEB-4ECA-B22B-5F107A9CD19C}"/>
    <cellStyle name="Normal 8 3 2 2 5 3" xfId="6101" xr:uid="{00000000-0005-0000-0000-0000521D0000}"/>
    <cellStyle name="Normal 8 3 2 2 5 3 2" xfId="14551" xr:uid="{236524BA-37B4-452B-A781-2DFE5B8EEFE1}"/>
    <cellStyle name="Normal 8 3 2 2 5 3 3" xfId="22998" xr:uid="{7EE01497-6ABC-4A1B-A575-9988DB6C741C}"/>
    <cellStyle name="Normal 8 3 2 2 5 4" xfId="10333" xr:uid="{4E544008-64EA-4881-B9B0-5CBDB6ADCF0E}"/>
    <cellStyle name="Normal 8 3 2 2 5 5" xfId="18781" xr:uid="{BDAFAA70-FE8B-4C9D-B90F-53CFA4DF04B9}"/>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0D5117E9-2681-4D49-A484-49B4C91B1549}"/>
    <cellStyle name="Normal 8 3 2 2 6 2 2 3" xfId="25556" xr:uid="{3A1A7BB7-624B-4789-915D-7E12B4EB07B2}"/>
    <cellStyle name="Normal 8 3 2 2 6 2 3" xfId="12891" xr:uid="{820CBD48-D26E-4753-9B52-5CC5C6246582}"/>
    <cellStyle name="Normal 8 3 2 2 6 2 4" xfId="21339" xr:uid="{C10AA913-4921-4CC0-B89F-C56742AF66B0}"/>
    <cellStyle name="Normal 8 3 2 2 6 3" xfId="6514" xr:uid="{00000000-0005-0000-0000-0000561D0000}"/>
    <cellStyle name="Normal 8 3 2 2 6 3 2" xfId="14964" xr:uid="{B11D656E-5E3F-478A-82FE-DA00478BAD37}"/>
    <cellStyle name="Normal 8 3 2 2 6 3 3" xfId="23411" xr:uid="{AC238ECC-5DBA-4B5E-B9D3-063158AD41C4}"/>
    <cellStyle name="Normal 8 3 2 2 6 4" xfId="10746" xr:uid="{074C931C-7130-4110-8B5A-BD19B26B5650}"/>
    <cellStyle name="Normal 8 3 2 2 6 5" xfId="19194" xr:uid="{7AFF01DD-3628-44B8-87C3-118DA21014DF}"/>
    <cellStyle name="Normal 8 3 2 2 7" xfId="2644" xr:uid="{00000000-0005-0000-0000-0000571D0000}"/>
    <cellStyle name="Normal 8 3 2 2 7 2" xfId="6927" xr:uid="{00000000-0005-0000-0000-0000581D0000}"/>
    <cellStyle name="Normal 8 3 2 2 7 2 2" xfId="15377" xr:uid="{4EBCB133-8A0B-4FB5-8D26-0E640A449780}"/>
    <cellStyle name="Normal 8 3 2 2 7 2 3" xfId="23824" xr:uid="{D154D266-5C84-468A-AB0A-8B2A2F0D6759}"/>
    <cellStyle name="Normal 8 3 2 2 7 3" xfId="11159" xr:uid="{1FE77414-BE76-4EDF-AE45-A844BA3263F0}"/>
    <cellStyle name="Normal 8 3 2 2 7 4" xfId="19607" xr:uid="{42AA1F53-6694-45BE-B0AF-BE881BC70E8C}"/>
    <cellStyle name="Normal 8 3 2 2 8" xfId="4862" xr:uid="{00000000-0005-0000-0000-0000591D0000}"/>
    <cellStyle name="Normal 8 3 2 2 8 2" xfId="13312" xr:uid="{865B56D0-7C74-4954-9C93-F56B32CCFF48}"/>
    <cellStyle name="Normal 8 3 2 2 8 3" xfId="21759" xr:uid="{8B31F1EB-49F5-4AB8-87CD-6CE5C50FD79E}"/>
    <cellStyle name="Normal 8 3 2 2 9" xfId="9094" xr:uid="{4346ED2C-EFDE-48FD-8199-DAD6F12AEF13}"/>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A0CA1911-5D4F-4969-9A45-592E73F1F37B}"/>
    <cellStyle name="Normal 8 3 2 3 2 2 2 3" xfId="24319" xr:uid="{3D1A71C1-31FF-414A-941F-51AEB308FA0B}"/>
    <cellStyle name="Normal 8 3 2 3 2 2 3" xfId="11654" xr:uid="{7B1A494C-C455-4700-8869-90E071E05318}"/>
    <cellStyle name="Normal 8 3 2 3 2 2 4" xfId="20102" xr:uid="{4379CFD5-64AD-43D4-BEC8-0493C5074FF1}"/>
    <cellStyle name="Normal 8 3 2 3 2 3" xfId="5277" xr:uid="{00000000-0005-0000-0000-00005E1D0000}"/>
    <cellStyle name="Normal 8 3 2 3 2 3 2" xfId="13727" xr:uid="{D890E7FF-7EF2-44CC-9E89-B22FE535A0DD}"/>
    <cellStyle name="Normal 8 3 2 3 2 3 3" xfId="22174" xr:uid="{A4E9B914-12B2-474C-8DCF-45A2F8DF1A57}"/>
    <cellStyle name="Normal 8 3 2 3 2 4" xfId="9509" xr:uid="{7252C2DD-1ADE-4A09-A169-6177CD0B24A1}"/>
    <cellStyle name="Normal 8 3 2 3 2 5" xfId="17957" xr:uid="{C420B472-B96E-40C2-9FD6-11F235DBB3E8}"/>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B07B8A01-340F-4B2D-AE0D-50FFF2ECF8AB}"/>
    <cellStyle name="Normal 8 3 2 3 3 2 2 3" xfId="24732" xr:uid="{EFB30433-4513-4599-8B5E-BE0FA25D1BAA}"/>
    <cellStyle name="Normal 8 3 2 3 3 2 3" xfId="12067" xr:uid="{8907E272-BD2C-43AA-8176-018D7F9F26AE}"/>
    <cellStyle name="Normal 8 3 2 3 3 2 4" xfId="20515" xr:uid="{E1ABE90E-F58D-48A8-9BC1-181CE0A46570}"/>
    <cellStyle name="Normal 8 3 2 3 3 3" xfId="5690" xr:uid="{00000000-0005-0000-0000-0000621D0000}"/>
    <cellStyle name="Normal 8 3 2 3 3 3 2" xfId="14140" xr:uid="{E4DC5953-837E-48BC-9A7C-08D48144D4EE}"/>
    <cellStyle name="Normal 8 3 2 3 3 3 3" xfId="22587" xr:uid="{0BFA179C-D07A-4360-8838-355F9E1086BE}"/>
    <cellStyle name="Normal 8 3 2 3 3 4" xfId="9922" xr:uid="{C10B44F5-B0A6-42AF-BE5C-B1F40637DAB5}"/>
    <cellStyle name="Normal 8 3 2 3 3 5" xfId="18370" xr:uid="{6991DDAC-186D-49E3-9119-D305944C8C5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6C16BEB5-4B5A-4226-951D-249D012F5AD3}"/>
    <cellStyle name="Normal 8 3 2 3 4 2 2 3" xfId="25145" xr:uid="{A36BD582-50C8-496A-9C18-F6390305A701}"/>
    <cellStyle name="Normal 8 3 2 3 4 2 3" xfId="12480" xr:uid="{40AA1175-0A4B-44EF-952D-3977A366E1D4}"/>
    <cellStyle name="Normal 8 3 2 3 4 2 4" xfId="20928" xr:uid="{17AB5C8B-7D09-42B7-AF37-3DE133E07B0C}"/>
    <cellStyle name="Normal 8 3 2 3 4 3" xfId="6103" xr:uid="{00000000-0005-0000-0000-0000661D0000}"/>
    <cellStyle name="Normal 8 3 2 3 4 3 2" xfId="14553" xr:uid="{0339730C-C1D1-44A9-8C59-49018BD49F62}"/>
    <cellStyle name="Normal 8 3 2 3 4 3 3" xfId="23000" xr:uid="{6C82683F-61A0-45B0-90B9-7824162DC371}"/>
    <cellStyle name="Normal 8 3 2 3 4 4" xfId="10335" xr:uid="{3CA041E9-EFDC-4DD7-A25F-D46D0FB896EE}"/>
    <cellStyle name="Normal 8 3 2 3 4 5" xfId="18783" xr:uid="{C9C05191-0A4D-4422-9F91-A3FC512117B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3469E697-1BD1-4062-9882-4BC485039259}"/>
    <cellStyle name="Normal 8 3 2 3 5 2 2 3" xfId="25558" xr:uid="{043A3E3A-F0D2-43DC-809C-566AF2AC11EB}"/>
    <cellStyle name="Normal 8 3 2 3 5 2 3" xfId="12893" xr:uid="{3F82B100-3B12-41D3-9E6F-6608AAA24EB5}"/>
    <cellStyle name="Normal 8 3 2 3 5 2 4" xfId="21341" xr:uid="{1BF8B881-FA33-4F2B-BF0C-F756BEF7CC6E}"/>
    <cellStyle name="Normal 8 3 2 3 5 3" xfId="6516" xr:uid="{00000000-0005-0000-0000-00006A1D0000}"/>
    <cellStyle name="Normal 8 3 2 3 5 3 2" xfId="14966" xr:uid="{99915D64-5F86-4381-AED3-AAAE1A2C4B7C}"/>
    <cellStyle name="Normal 8 3 2 3 5 3 3" xfId="23413" xr:uid="{131714BF-A1DE-4967-8393-56F1FFD630CC}"/>
    <cellStyle name="Normal 8 3 2 3 5 4" xfId="10748" xr:uid="{0CBCB6D4-607C-4628-8090-7D23F68BB825}"/>
    <cellStyle name="Normal 8 3 2 3 5 5" xfId="19196" xr:uid="{F67807A0-2CCF-4B33-A203-695C1CE8E8E5}"/>
    <cellStyle name="Normal 8 3 2 3 6" xfId="2646" xr:uid="{00000000-0005-0000-0000-00006B1D0000}"/>
    <cellStyle name="Normal 8 3 2 3 6 2" xfId="6929" xr:uid="{00000000-0005-0000-0000-00006C1D0000}"/>
    <cellStyle name="Normal 8 3 2 3 6 2 2" xfId="15379" xr:uid="{6269FF04-9E16-4A74-A7DA-67EE31B7C307}"/>
    <cellStyle name="Normal 8 3 2 3 6 2 3" xfId="23826" xr:uid="{BF85791E-7D5F-4E5D-8100-1D38089775EB}"/>
    <cellStyle name="Normal 8 3 2 3 6 3" xfId="11161" xr:uid="{DF510BAD-A1AE-41EA-94B6-EC3B27BB7227}"/>
    <cellStyle name="Normal 8 3 2 3 6 4" xfId="19609" xr:uid="{B39AC930-8B0A-4623-AF68-11457A45D735}"/>
    <cellStyle name="Normal 8 3 2 3 7" xfId="4864" xr:uid="{00000000-0005-0000-0000-00006D1D0000}"/>
    <cellStyle name="Normal 8 3 2 3 7 2" xfId="13314" xr:uid="{39F3B49A-DF03-4F37-B874-93FA5CE22694}"/>
    <cellStyle name="Normal 8 3 2 3 7 3" xfId="21761" xr:uid="{D5627153-0688-4327-8C76-16483D81FB74}"/>
    <cellStyle name="Normal 8 3 2 3 8" xfId="9096" xr:uid="{9E435A80-5DF9-4744-88BA-614938B3D180}"/>
    <cellStyle name="Normal 8 3 2 3 9" xfId="17544" xr:uid="{7CE70D84-26A5-4D39-A32A-77A7CAED8AD8}"/>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3E3FA053-C633-4537-9B84-047C8C7AE18D}"/>
    <cellStyle name="Normal 8 3 2 4 2 2 3" xfId="24316" xr:uid="{3446B449-3399-462B-BD8A-860205719F0A}"/>
    <cellStyle name="Normal 8 3 2 4 2 3" xfId="11651" xr:uid="{D78223B7-EAB3-4C40-8FDA-C8201AEB1654}"/>
    <cellStyle name="Normal 8 3 2 4 2 4" xfId="20099" xr:uid="{66DD9E8D-0708-4E61-8D02-1DFC7FF0C87D}"/>
    <cellStyle name="Normal 8 3 2 4 3" xfId="5274" xr:uid="{00000000-0005-0000-0000-0000711D0000}"/>
    <cellStyle name="Normal 8 3 2 4 3 2" xfId="13724" xr:uid="{D9BEE4FB-A5D8-41C8-A1B5-44B655C30EF2}"/>
    <cellStyle name="Normal 8 3 2 4 3 3" xfId="22171" xr:uid="{4C75CDC9-CD8C-4BFC-AA2E-F6A751AA8E68}"/>
    <cellStyle name="Normal 8 3 2 4 4" xfId="9506" xr:uid="{B3B7E501-C745-4072-962C-C7BD4353D0BB}"/>
    <cellStyle name="Normal 8 3 2 4 5" xfId="17954" xr:uid="{CB96EE8B-F726-4ECC-9143-58236779C82D}"/>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CC38898-908E-46FD-8E69-704C43888B6B}"/>
    <cellStyle name="Normal 8 3 2 5 2 2 3" xfId="24729" xr:uid="{DEDC22C8-9583-4E2E-8508-B06A5E93E78F}"/>
    <cellStyle name="Normal 8 3 2 5 2 3" xfId="12064" xr:uid="{BA1225A5-5C10-4071-A4E1-EE545EAA020A}"/>
    <cellStyle name="Normal 8 3 2 5 2 4" xfId="20512" xr:uid="{4066EBED-C3EC-4C1B-A3AF-B81399AE27EF}"/>
    <cellStyle name="Normal 8 3 2 5 3" xfId="5687" xr:uid="{00000000-0005-0000-0000-0000751D0000}"/>
    <cellStyle name="Normal 8 3 2 5 3 2" xfId="14137" xr:uid="{07D92DCF-BF8D-42D9-B120-4970D80C882A}"/>
    <cellStyle name="Normal 8 3 2 5 3 3" xfId="22584" xr:uid="{223042ED-FAF8-4448-9F25-143D89420699}"/>
    <cellStyle name="Normal 8 3 2 5 4" xfId="9919" xr:uid="{6633EA90-DD56-4F9A-8AA1-90ADAF62EB24}"/>
    <cellStyle name="Normal 8 3 2 5 5" xfId="18367" xr:uid="{3A8231A6-96CA-4909-B409-AC4593394A17}"/>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DA1AB06D-CF7D-4D43-B75F-0E98D647EB62}"/>
    <cellStyle name="Normal 8 3 2 6 2 2 3" xfId="25142" xr:uid="{B2257382-84F2-4299-A06F-A6DF8B7BF962}"/>
    <cellStyle name="Normal 8 3 2 6 2 3" xfId="12477" xr:uid="{F62C1021-C270-4D21-A37F-6C5F99035F4A}"/>
    <cellStyle name="Normal 8 3 2 6 2 4" xfId="20925" xr:uid="{9D49022B-097F-4F58-B06A-A099790A93C2}"/>
    <cellStyle name="Normal 8 3 2 6 3" xfId="6100" xr:uid="{00000000-0005-0000-0000-0000791D0000}"/>
    <cellStyle name="Normal 8 3 2 6 3 2" xfId="14550" xr:uid="{AC5FAF3B-F5B3-4ECC-9B8A-38DEEBBDD3E8}"/>
    <cellStyle name="Normal 8 3 2 6 3 3" xfId="22997" xr:uid="{E187ADDD-3FBD-4085-A785-8243D891E181}"/>
    <cellStyle name="Normal 8 3 2 6 4" xfId="10332" xr:uid="{066127EE-140C-4B3D-94D1-271B15DF13DB}"/>
    <cellStyle name="Normal 8 3 2 6 5" xfId="18780" xr:uid="{CCB059C5-2C22-4739-A13F-8A9C365BCEBE}"/>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8A9FCA6D-FE7B-4289-BD3E-3B7353FAB6E8}"/>
    <cellStyle name="Normal 8 3 2 7 2 2 3" xfId="25555" xr:uid="{79FB8EAB-27BA-4358-A509-D74D59020417}"/>
    <cellStyle name="Normal 8 3 2 7 2 3" xfId="12890" xr:uid="{D09733D8-D5F0-4663-9878-36BBE3398355}"/>
    <cellStyle name="Normal 8 3 2 7 2 4" xfId="21338" xr:uid="{88844BF2-4D1F-4F1F-9241-07B84E203097}"/>
    <cellStyle name="Normal 8 3 2 7 3" xfId="6513" xr:uid="{00000000-0005-0000-0000-00007D1D0000}"/>
    <cellStyle name="Normal 8 3 2 7 3 2" xfId="14963" xr:uid="{9E37406F-3834-4F9D-B3CB-285771B36478}"/>
    <cellStyle name="Normal 8 3 2 7 3 3" xfId="23410" xr:uid="{B71C3F8C-3916-4AE2-8652-DC55670C3237}"/>
    <cellStyle name="Normal 8 3 2 7 4" xfId="10745" xr:uid="{9B5FBEDA-5CBC-4011-8CBF-B7577D55617E}"/>
    <cellStyle name="Normal 8 3 2 7 5" xfId="19193" xr:uid="{DCDA9843-E4A7-45A0-A7EB-D3DD36724500}"/>
    <cellStyle name="Normal 8 3 2 8" xfId="2643" xr:uid="{00000000-0005-0000-0000-00007E1D0000}"/>
    <cellStyle name="Normal 8 3 2 8 2" xfId="6926" xr:uid="{00000000-0005-0000-0000-00007F1D0000}"/>
    <cellStyle name="Normal 8 3 2 8 2 2" xfId="15376" xr:uid="{E7BAC746-54D0-49ED-BB2A-9046013E5997}"/>
    <cellStyle name="Normal 8 3 2 8 2 3" xfId="23823" xr:uid="{BCB62FCE-B31B-42E3-B401-F0750427E14B}"/>
    <cellStyle name="Normal 8 3 2 8 3" xfId="11158" xr:uid="{59DC4CC3-36EA-4D05-B560-537A44FF48FD}"/>
    <cellStyle name="Normal 8 3 2 8 4" xfId="19606" xr:uid="{AF946713-2E34-47A8-94E1-BF19A7EF34D0}"/>
    <cellStyle name="Normal 8 3 2 9" xfId="4861" xr:uid="{00000000-0005-0000-0000-0000801D0000}"/>
    <cellStyle name="Normal 8 3 2 9 2" xfId="13311" xr:uid="{221C5236-A4D9-446B-A16E-EA2D43F6C7E0}"/>
    <cellStyle name="Normal 8 3 2 9 3" xfId="21758" xr:uid="{33212AE9-E5AB-4784-BE87-8531EDF92410}"/>
    <cellStyle name="Normal 8 3 3" xfId="500" xr:uid="{00000000-0005-0000-0000-0000811D0000}"/>
    <cellStyle name="Normal 8 3 3 10" xfId="17545" xr:uid="{BD5F7808-56E7-4C84-B928-C68323DAB814}"/>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C4853CFA-BFDB-4F8B-8612-189F61390AAC}"/>
    <cellStyle name="Normal 8 3 3 2 2 2 2 3" xfId="24321" xr:uid="{937249B6-39E6-42A6-80AA-CEAD9ECD45CA}"/>
    <cellStyle name="Normal 8 3 3 2 2 2 3" xfId="11656" xr:uid="{B9A96C4E-7023-447F-AEF1-3F79E4480D7F}"/>
    <cellStyle name="Normal 8 3 3 2 2 2 4" xfId="20104" xr:uid="{1F06563E-6490-4961-B9B0-2CADCB16A9BE}"/>
    <cellStyle name="Normal 8 3 3 2 2 3" xfId="5279" xr:uid="{00000000-0005-0000-0000-0000861D0000}"/>
    <cellStyle name="Normal 8 3 3 2 2 3 2" xfId="13729" xr:uid="{6B099826-E7DF-4CF2-A5AF-E49CDCDC78C3}"/>
    <cellStyle name="Normal 8 3 3 2 2 3 3" xfId="22176" xr:uid="{46746731-955B-4197-9F2A-82D782438B80}"/>
    <cellStyle name="Normal 8 3 3 2 2 4" xfId="9511" xr:uid="{67AE2649-6E92-45A5-A748-B1EF063B507C}"/>
    <cellStyle name="Normal 8 3 3 2 2 5" xfId="17959" xr:uid="{444A6E44-675B-4608-8F06-A2E9C203479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BA20970A-05B8-46AA-ACC1-683A6B26F5CF}"/>
    <cellStyle name="Normal 8 3 3 2 3 2 2 3" xfId="24734" xr:uid="{0252DDAF-F704-464B-8CA8-B3EF7EC0A693}"/>
    <cellStyle name="Normal 8 3 3 2 3 2 3" xfId="12069" xr:uid="{4289A0FE-6B79-4580-96EB-61D72698D165}"/>
    <cellStyle name="Normal 8 3 3 2 3 2 4" xfId="20517" xr:uid="{61F60020-0A95-4C6F-A26E-AE57C770C3F9}"/>
    <cellStyle name="Normal 8 3 3 2 3 3" xfId="5692" xr:uid="{00000000-0005-0000-0000-00008A1D0000}"/>
    <cellStyle name="Normal 8 3 3 2 3 3 2" xfId="14142" xr:uid="{13B690FB-60B5-49D2-8911-E2A99794A3DD}"/>
    <cellStyle name="Normal 8 3 3 2 3 3 3" xfId="22589" xr:uid="{73818C05-79DD-4718-AF66-C8A87CE7C4A1}"/>
    <cellStyle name="Normal 8 3 3 2 3 4" xfId="9924" xr:uid="{C1D054AB-713E-4CAC-B1CF-A5651740E87B}"/>
    <cellStyle name="Normal 8 3 3 2 3 5" xfId="18372" xr:uid="{EB3817E2-B4D9-4074-8A9C-97D356C08718}"/>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8C669060-75D4-43BA-BFC4-E5546B535E1B}"/>
    <cellStyle name="Normal 8 3 3 2 4 2 2 3" xfId="25147" xr:uid="{31F60092-0C6F-4D6D-85DB-6512711C370B}"/>
    <cellStyle name="Normal 8 3 3 2 4 2 3" xfId="12482" xr:uid="{8A205D40-828A-4EEA-ABB7-052BE3DF90B5}"/>
    <cellStyle name="Normal 8 3 3 2 4 2 4" xfId="20930" xr:uid="{84495998-4415-43BD-93F4-F8D1BD34BEDE}"/>
    <cellStyle name="Normal 8 3 3 2 4 3" xfId="6105" xr:uid="{00000000-0005-0000-0000-00008E1D0000}"/>
    <cellStyle name="Normal 8 3 3 2 4 3 2" xfId="14555" xr:uid="{A69B51DD-3A44-43D3-A61E-15BB410D17E0}"/>
    <cellStyle name="Normal 8 3 3 2 4 3 3" xfId="23002" xr:uid="{5E9EFCBB-6B6C-44D4-A2FE-027ED10A59EB}"/>
    <cellStyle name="Normal 8 3 3 2 4 4" xfId="10337" xr:uid="{00D750C9-BA56-4EC1-B372-2AD2666DFBA4}"/>
    <cellStyle name="Normal 8 3 3 2 4 5" xfId="18785" xr:uid="{C5902763-436B-48BA-87F1-3DAED003DDD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7CC215FD-54A3-4E55-9F7B-BBFCFD6B82D4}"/>
    <cellStyle name="Normal 8 3 3 2 5 2 2 3" xfId="25560" xr:uid="{F5E994E4-4BF3-4273-B4E2-60341345FDE1}"/>
    <cellStyle name="Normal 8 3 3 2 5 2 3" xfId="12895" xr:uid="{2B7B43C4-3059-4715-9779-CF434526D591}"/>
    <cellStyle name="Normal 8 3 3 2 5 2 4" xfId="21343" xr:uid="{D64E7A9F-1B9E-4D4F-A316-D7B6C93217EE}"/>
    <cellStyle name="Normal 8 3 3 2 5 3" xfId="6518" xr:uid="{00000000-0005-0000-0000-0000921D0000}"/>
    <cellStyle name="Normal 8 3 3 2 5 3 2" xfId="14968" xr:uid="{13DD41FF-BF07-47FB-B521-6F3304A2D751}"/>
    <cellStyle name="Normal 8 3 3 2 5 3 3" xfId="23415" xr:uid="{A2BEADDB-B57D-40BE-BBFA-FD577C746B8A}"/>
    <cellStyle name="Normal 8 3 3 2 5 4" xfId="10750" xr:uid="{A64F21C4-66C3-45C7-A55F-CE0AC0F08F5A}"/>
    <cellStyle name="Normal 8 3 3 2 5 5" xfId="19198" xr:uid="{9F7105C1-E084-4416-BD80-02BA85BA2AC2}"/>
    <cellStyle name="Normal 8 3 3 2 6" xfId="2648" xr:uid="{00000000-0005-0000-0000-0000931D0000}"/>
    <cellStyle name="Normal 8 3 3 2 6 2" xfId="6931" xr:uid="{00000000-0005-0000-0000-0000941D0000}"/>
    <cellStyle name="Normal 8 3 3 2 6 2 2" xfId="15381" xr:uid="{8FF718EF-44D1-48BC-96AE-3DFC023D8E88}"/>
    <cellStyle name="Normal 8 3 3 2 6 2 3" xfId="23828" xr:uid="{BA1E98E8-17E7-403F-89FD-C1DDB6952E29}"/>
    <cellStyle name="Normal 8 3 3 2 6 3" xfId="11163" xr:uid="{7D14D30C-E74C-4A32-8788-C7E665F4EF8F}"/>
    <cellStyle name="Normal 8 3 3 2 6 4" xfId="19611" xr:uid="{226F6C1B-4975-4F0E-99AB-8EC7A48790AD}"/>
    <cellStyle name="Normal 8 3 3 2 7" xfId="4866" xr:uid="{00000000-0005-0000-0000-0000951D0000}"/>
    <cellStyle name="Normal 8 3 3 2 7 2" xfId="13316" xr:uid="{AE8BC063-4F22-4A78-BA0B-C3B2C52482C1}"/>
    <cellStyle name="Normal 8 3 3 2 7 3" xfId="21763" xr:uid="{D9A0EEA0-B088-4A05-A01C-F6C28AA30421}"/>
    <cellStyle name="Normal 8 3 3 2 8" xfId="9098" xr:uid="{DD3BE67E-7AD5-4A5B-B724-A4ABAA97EBA3}"/>
    <cellStyle name="Normal 8 3 3 2 9" xfId="17546" xr:uid="{A6F38158-5B12-4C0E-99E9-D4F9B099E797}"/>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45EAAE87-0125-45A9-BCA6-DA25277E50AC}"/>
    <cellStyle name="Normal 8 3 3 3 2 2 3" xfId="24320" xr:uid="{792B9510-C9CB-4507-9632-FAE9B69C558E}"/>
    <cellStyle name="Normal 8 3 3 3 2 3" xfId="11655" xr:uid="{88FD1567-677C-4950-93CD-959AEF228498}"/>
    <cellStyle name="Normal 8 3 3 3 2 4" xfId="20103" xr:uid="{76954D84-5A7B-4C41-868D-8A3770E31738}"/>
    <cellStyle name="Normal 8 3 3 3 3" xfId="5278" xr:uid="{00000000-0005-0000-0000-0000991D0000}"/>
    <cellStyle name="Normal 8 3 3 3 3 2" xfId="13728" xr:uid="{C2584BA3-44C2-4928-B24F-1E12078DFB1C}"/>
    <cellStyle name="Normal 8 3 3 3 3 3" xfId="22175" xr:uid="{E134AD90-A94F-4994-8689-503B72D6F1B8}"/>
    <cellStyle name="Normal 8 3 3 3 4" xfId="9510" xr:uid="{7BA9ABD4-045D-41A1-B938-1FCEFB147103}"/>
    <cellStyle name="Normal 8 3 3 3 5" xfId="17958" xr:uid="{0D89C2CF-707A-42BD-A569-8C014B9DF4FD}"/>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D39F431E-C157-4F0B-B7C4-375950B27260}"/>
    <cellStyle name="Normal 8 3 3 4 2 2 3" xfId="24733" xr:uid="{9CDA0024-3813-4DC1-8E78-03BC65836DE6}"/>
    <cellStyle name="Normal 8 3 3 4 2 3" xfId="12068" xr:uid="{B64BDFC7-8A03-45AD-B4BE-A555DF725F23}"/>
    <cellStyle name="Normal 8 3 3 4 2 4" xfId="20516" xr:uid="{9B710C12-179E-4F6B-AD09-656F8C98CEDD}"/>
    <cellStyle name="Normal 8 3 3 4 3" xfId="5691" xr:uid="{00000000-0005-0000-0000-00009D1D0000}"/>
    <cellStyle name="Normal 8 3 3 4 3 2" xfId="14141" xr:uid="{502208F6-5200-4A9F-95C4-B0A4E568B77C}"/>
    <cellStyle name="Normal 8 3 3 4 3 3" xfId="22588" xr:uid="{EDA42850-804F-44E2-9100-5C9FC4503090}"/>
    <cellStyle name="Normal 8 3 3 4 4" xfId="9923" xr:uid="{D310E213-E11B-4259-A99E-21820B1F9798}"/>
    <cellStyle name="Normal 8 3 3 4 5" xfId="18371" xr:uid="{72B11297-1438-40FF-A05E-7B13EB013A99}"/>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87EC6F97-FA5D-4DAC-8940-F4F0E54683C1}"/>
    <cellStyle name="Normal 8 3 3 5 2 2 3" xfId="25146" xr:uid="{4BC87524-F6E0-495F-B4EE-C1A6AE990D8E}"/>
    <cellStyle name="Normal 8 3 3 5 2 3" xfId="12481" xr:uid="{475C116D-831D-4F25-8B58-FD131DBC2048}"/>
    <cellStyle name="Normal 8 3 3 5 2 4" xfId="20929" xr:uid="{7F5A5786-1475-434C-B226-361AC564BE05}"/>
    <cellStyle name="Normal 8 3 3 5 3" xfId="6104" xr:uid="{00000000-0005-0000-0000-0000A11D0000}"/>
    <cellStyle name="Normal 8 3 3 5 3 2" xfId="14554" xr:uid="{A63EE323-0094-46D3-98CD-330E2294ED71}"/>
    <cellStyle name="Normal 8 3 3 5 3 3" xfId="23001" xr:uid="{1F3F7FE5-F272-4A17-89DF-1BBE8D2894E5}"/>
    <cellStyle name="Normal 8 3 3 5 4" xfId="10336" xr:uid="{2E099F53-22B9-439B-94FC-C84FE011AFA0}"/>
    <cellStyle name="Normal 8 3 3 5 5" xfId="18784" xr:uid="{9DC7CC62-E39D-40DE-AFD2-093471F3044B}"/>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8E4254FB-E804-4C96-ABB0-8CC7B22840B4}"/>
    <cellStyle name="Normal 8 3 3 6 2 2 3" xfId="25559" xr:uid="{8C07146A-F0CB-4253-9CA4-DA51576AC8F4}"/>
    <cellStyle name="Normal 8 3 3 6 2 3" xfId="12894" xr:uid="{18DF8555-DB76-4CEE-B69C-501E66F04366}"/>
    <cellStyle name="Normal 8 3 3 6 2 4" xfId="21342" xr:uid="{73DA6F26-6F55-428A-8B58-CCD328F69205}"/>
    <cellStyle name="Normal 8 3 3 6 3" xfId="6517" xr:uid="{00000000-0005-0000-0000-0000A51D0000}"/>
    <cellStyle name="Normal 8 3 3 6 3 2" xfId="14967" xr:uid="{1CB5B73D-7F96-41F8-8556-3383A805775F}"/>
    <cellStyle name="Normal 8 3 3 6 3 3" xfId="23414" xr:uid="{CCD7615E-4307-4D60-8865-485534C6F199}"/>
    <cellStyle name="Normal 8 3 3 6 4" xfId="10749" xr:uid="{435FAD6D-7D3A-4D7C-9917-A7458F11F1EC}"/>
    <cellStyle name="Normal 8 3 3 6 5" xfId="19197" xr:uid="{5D71B207-9837-4ED5-9B64-D9FD94CBFFC9}"/>
    <cellStyle name="Normal 8 3 3 7" xfId="2647" xr:uid="{00000000-0005-0000-0000-0000A61D0000}"/>
    <cellStyle name="Normal 8 3 3 7 2" xfId="6930" xr:uid="{00000000-0005-0000-0000-0000A71D0000}"/>
    <cellStyle name="Normal 8 3 3 7 2 2" xfId="15380" xr:uid="{2E8E1C0B-55D7-4319-ADE8-63E30A6AFB22}"/>
    <cellStyle name="Normal 8 3 3 7 2 3" xfId="23827" xr:uid="{E19E2587-12B0-46D0-A060-D45FE61582E8}"/>
    <cellStyle name="Normal 8 3 3 7 3" xfId="11162" xr:uid="{1936E89E-9D64-4594-9AFD-0D770A4D5BB3}"/>
    <cellStyle name="Normal 8 3 3 7 4" xfId="19610" xr:uid="{FF074CD2-B5AB-492D-B427-9EBA2DB36512}"/>
    <cellStyle name="Normal 8 3 3 8" xfId="4865" xr:uid="{00000000-0005-0000-0000-0000A81D0000}"/>
    <cellStyle name="Normal 8 3 3 8 2" xfId="13315" xr:uid="{BB6E51B7-2DCB-4DC8-B206-218AD9A1D02A}"/>
    <cellStyle name="Normal 8 3 3 8 3" xfId="21762" xr:uid="{62957888-510E-4205-9CFA-63926F1F468C}"/>
    <cellStyle name="Normal 8 3 3 9" xfId="9097" xr:uid="{71CE6EDA-4598-4177-9624-5F4616E2CB7F}"/>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6351EB79-926A-4199-876D-FB2BCB169EF7}"/>
    <cellStyle name="Normal 8 3 4 2 2 2 3" xfId="24322" xr:uid="{1F603B0B-BE23-4080-8BE3-E4C373839661}"/>
    <cellStyle name="Normal 8 3 4 2 2 3" xfId="11657" xr:uid="{8D1F05D6-8881-4FA3-BB16-37E4753610CE}"/>
    <cellStyle name="Normal 8 3 4 2 2 4" xfId="20105" xr:uid="{56BE9878-1FF3-4AF5-B29B-B8BD1F865E90}"/>
    <cellStyle name="Normal 8 3 4 2 3" xfId="5280" xr:uid="{00000000-0005-0000-0000-0000AD1D0000}"/>
    <cellStyle name="Normal 8 3 4 2 3 2" xfId="13730" xr:uid="{9C1FF05B-760C-47BE-8AC8-FCE3C4C47772}"/>
    <cellStyle name="Normal 8 3 4 2 3 3" xfId="22177" xr:uid="{B27F3C35-6CF9-49CB-A06D-664479577B89}"/>
    <cellStyle name="Normal 8 3 4 2 4" xfId="9512" xr:uid="{C7C919F4-4BFC-498F-9707-A0223AB6A6C0}"/>
    <cellStyle name="Normal 8 3 4 2 5" xfId="17960" xr:uid="{E068A037-D328-4016-B013-A819B710B4B7}"/>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47256548-94F9-4900-B6AB-A7A9A824B716}"/>
    <cellStyle name="Normal 8 3 4 3 2 2 3" xfId="24735" xr:uid="{37B52F30-D9CD-4736-9B06-BC8CDCC00709}"/>
    <cellStyle name="Normal 8 3 4 3 2 3" xfId="12070" xr:uid="{0F303479-CAE5-43DC-B03C-C1D33A6C9966}"/>
    <cellStyle name="Normal 8 3 4 3 2 4" xfId="20518" xr:uid="{E5997909-A89B-4B91-A5FE-FD7119513B5A}"/>
    <cellStyle name="Normal 8 3 4 3 3" xfId="5693" xr:uid="{00000000-0005-0000-0000-0000B11D0000}"/>
    <cellStyle name="Normal 8 3 4 3 3 2" xfId="14143" xr:uid="{5AEAC810-E3A9-4C8D-A4DC-C172E2A7EA41}"/>
    <cellStyle name="Normal 8 3 4 3 3 3" xfId="22590" xr:uid="{3AF9C563-D872-47EB-92EA-978B425EDDC4}"/>
    <cellStyle name="Normal 8 3 4 3 4" xfId="9925" xr:uid="{106726DA-6633-4CDA-AAD2-BFFF89B62EC5}"/>
    <cellStyle name="Normal 8 3 4 3 5" xfId="18373" xr:uid="{84368109-2803-4B2C-95B8-32B044606425}"/>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A1EAC391-267C-467D-85C8-4514293D2FD6}"/>
    <cellStyle name="Normal 8 3 4 4 2 2 3" xfId="25148" xr:uid="{1516FAFB-B37F-4270-B49F-77DFA6C3C662}"/>
    <cellStyle name="Normal 8 3 4 4 2 3" xfId="12483" xr:uid="{27778A12-5887-4BD1-9C40-E76354A95967}"/>
    <cellStyle name="Normal 8 3 4 4 2 4" xfId="20931" xr:uid="{C996B374-CAFC-42CA-B9B9-DB31A180FB7B}"/>
    <cellStyle name="Normal 8 3 4 4 3" xfId="6106" xr:uid="{00000000-0005-0000-0000-0000B51D0000}"/>
    <cellStyle name="Normal 8 3 4 4 3 2" xfId="14556" xr:uid="{854A69D0-EDF7-4872-A96A-E2CB27BBDE53}"/>
    <cellStyle name="Normal 8 3 4 4 3 3" xfId="23003" xr:uid="{D04A260E-45AF-417F-BE18-758FA198027D}"/>
    <cellStyle name="Normal 8 3 4 4 4" xfId="10338" xr:uid="{3711A9F7-E13B-4F2B-B932-8330E5541E60}"/>
    <cellStyle name="Normal 8 3 4 4 5" xfId="18786" xr:uid="{0D1AFCCA-D60B-4267-8A61-4B2F88CECE33}"/>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515610C0-2E7B-45B2-A074-92EFCE7B3250}"/>
    <cellStyle name="Normal 8 3 4 5 2 2 3" xfId="25561" xr:uid="{30A3DE63-F0A6-418B-A348-111513185FD6}"/>
    <cellStyle name="Normal 8 3 4 5 2 3" xfId="12896" xr:uid="{8D3615F7-BAE8-4601-94ED-6B645D5AD5BD}"/>
    <cellStyle name="Normal 8 3 4 5 2 4" xfId="21344" xr:uid="{54E84363-A977-4331-910E-D552DE6AEDA8}"/>
    <cellStyle name="Normal 8 3 4 5 3" xfId="6519" xr:uid="{00000000-0005-0000-0000-0000B91D0000}"/>
    <cellStyle name="Normal 8 3 4 5 3 2" xfId="14969" xr:uid="{9733830F-B0CE-4A41-AC3F-F0258F0DA5F8}"/>
    <cellStyle name="Normal 8 3 4 5 3 3" xfId="23416" xr:uid="{FE73B261-E8FB-489B-B201-51E09AA8D106}"/>
    <cellStyle name="Normal 8 3 4 5 4" xfId="10751" xr:uid="{48EE2A74-169E-4A57-AF5E-AE7EA8D2FC8F}"/>
    <cellStyle name="Normal 8 3 4 5 5" xfId="19199" xr:uid="{2BB1E866-7425-46BC-93D7-7D8FDA3FDD3C}"/>
    <cellStyle name="Normal 8 3 4 6" xfId="2649" xr:uid="{00000000-0005-0000-0000-0000BA1D0000}"/>
    <cellStyle name="Normal 8 3 4 6 2" xfId="6932" xr:uid="{00000000-0005-0000-0000-0000BB1D0000}"/>
    <cellStyle name="Normal 8 3 4 6 2 2" xfId="15382" xr:uid="{C330D244-CF97-4DB8-BFCE-10F545A1EBE6}"/>
    <cellStyle name="Normal 8 3 4 6 2 3" xfId="23829" xr:uid="{5A070051-594E-40E1-9E48-ED2CBB97F27C}"/>
    <cellStyle name="Normal 8 3 4 6 3" xfId="11164" xr:uid="{377BD4C9-2370-4B52-8CC5-D812DAC54D44}"/>
    <cellStyle name="Normal 8 3 4 6 4" xfId="19612" xr:uid="{D7A124B5-C199-4D7F-9F6D-1EEC04C8CD24}"/>
    <cellStyle name="Normal 8 3 4 7" xfId="4867" xr:uid="{00000000-0005-0000-0000-0000BC1D0000}"/>
    <cellStyle name="Normal 8 3 4 7 2" xfId="13317" xr:uid="{6A106681-F8BA-4D00-8E7A-8414FADB2839}"/>
    <cellStyle name="Normal 8 3 4 7 3" xfId="21764" xr:uid="{BBB0F3D2-76BE-4F7C-8244-4AC835BB800A}"/>
    <cellStyle name="Normal 8 3 4 8" xfId="9099" xr:uid="{C16C8F59-DBF1-4661-AB57-4DC28E6F3AF0}"/>
    <cellStyle name="Normal 8 3 4 9" xfId="17547" xr:uid="{51D96BC7-C481-451B-9B89-8D9DE12ABEDF}"/>
    <cellStyle name="Normal 8 3 5" xfId="962" xr:uid="{00000000-0005-0000-0000-0000BD1D0000}"/>
    <cellStyle name="Normal 8 3 5 2" xfId="3196" xr:uid="{00000000-0005-0000-0000-0000BE1D0000}"/>
    <cellStyle name="Normal 8 3 5 2 2" xfId="7418" xr:uid="{00000000-0005-0000-0000-0000BF1D0000}"/>
    <cellStyle name="Normal 8 3 5 2 2 2" xfId="15868" xr:uid="{0796AD72-8DAE-4045-A939-E20B31A1D910}"/>
    <cellStyle name="Normal 8 3 5 2 2 3" xfId="24315" xr:uid="{87616C24-BE0F-4959-BE87-295DD85048A8}"/>
    <cellStyle name="Normal 8 3 5 2 3" xfId="11650" xr:uid="{D52C9EC8-779B-4F18-A075-D8DB21FCB4C5}"/>
    <cellStyle name="Normal 8 3 5 2 4" xfId="20098" xr:uid="{78AC5C3B-6618-4AE1-AA55-0EAD4DB644AF}"/>
    <cellStyle name="Normal 8 3 5 3" xfId="5273" xr:uid="{00000000-0005-0000-0000-0000C01D0000}"/>
    <cellStyle name="Normal 8 3 5 3 2" xfId="13723" xr:uid="{1C026E12-C29D-4614-9659-D7088A465F84}"/>
    <cellStyle name="Normal 8 3 5 3 3" xfId="22170" xr:uid="{F3CB4DC0-D7B0-4202-B04B-0FB757136483}"/>
    <cellStyle name="Normal 8 3 5 4" xfId="9505" xr:uid="{21491F4E-F8F0-4B9D-9F81-5A7630C587C4}"/>
    <cellStyle name="Normal 8 3 5 5" xfId="17953" xr:uid="{1E04C415-ABC2-4272-824B-079CB9EDFB8D}"/>
    <cellStyle name="Normal 8 3 6" xfId="1379" xr:uid="{00000000-0005-0000-0000-0000C11D0000}"/>
    <cellStyle name="Normal 8 3 6 2" xfId="3609" xr:uid="{00000000-0005-0000-0000-0000C21D0000}"/>
    <cellStyle name="Normal 8 3 6 2 2" xfId="7831" xr:uid="{00000000-0005-0000-0000-0000C31D0000}"/>
    <cellStyle name="Normal 8 3 6 2 2 2" xfId="16281" xr:uid="{367BDF4F-F993-46F2-87DB-5ED09A9FCE3B}"/>
    <cellStyle name="Normal 8 3 6 2 2 3" xfId="24728" xr:uid="{081366DB-11FC-48D2-A107-0A1B8AF924B5}"/>
    <cellStyle name="Normal 8 3 6 2 3" xfId="12063" xr:uid="{91D83141-90EF-469A-8DCD-F14F6C860511}"/>
    <cellStyle name="Normal 8 3 6 2 4" xfId="20511" xr:uid="{DC94E5C6-7F0F-494E-A355-C370ABD5B9E6}"/>
    <cellStyle name="Normal 8 3 6 3" xfId="5686" xr:uid="{00000000-0005-0000-0000-0000C41D0000}"/>
    <cellStyle name="Normal 8 3 6 3 2" xfId="14136" xr:uid="{3CB13137-158F-450F-85B1-643A362B9F4C}"/>
    <cellStyle name="Normal 8 3 6 3 3" xfId="22583" xr:uid="{244A0C18-0DFD-4776-B2B7-D18B25050B51}"/>
    <cellStyle name="Normal 8 3 6 4" xfId="9918" xr:uid="{A67C85EB-16AF-4152-B61B-9ED3B5039CCE}"/>
    <cellStyle name="Normal 8 3 6 5" xfId="18366" xr:uid="{0A526C7D-72B4-41BF-B7D0-1222D8787C30}"/>
    <cellStyle name="Normal 8 3 7" xfId="1792" xr:uid="{00000000-0005-0000-0000-0000C51D0000}"/>
    <cellStyle name="Normal 8 3 7 2" xfId="4022" xr:uid="{00000000-0005-0000-0000-0000C61D0000}"/>
    <cellStyle name="Normal 8 3 7 2 2" xfId="8244" xr:uid="{00000000-0005-0000-0000-0000C71D0000}"/>
    <cellStyle name="Normal 8 3 7 2 2 2" xfId="16694" xr:uid="{1CB20DA3-050A-4F7B-BD95-F032D208B7E2}"/>
    <cellStyle name="Normal 8 3 7 2 2 3" xfId="25141" xr:uid="{A9AC3C32-2984-4134-88DB-68428040BE1B}"/>
    <cellStyle name="Normal 8 3 7 2 3" xfId="12476" xr:uid="{47CD27A2-0856-441C-9469-1717B169C8E6}"/>
    <cellStyle name="Normal 8 3 7 2 4" xfId="20924" xr:uid="{9D315182-357B-4D1E-9925-34D22487DEEB}"/>
    <cellStyle name="Normal 8 3 7 3" xfId="6099" xr:uid="{00000000-0005-0000-0000-0000C81D0000}"/>
    <cellStyle name="Normal 8 3 7 3 2" xfId="14549" xr:uid="{851DA6B4-641A-4E03-94B6-D123DE994831}"/>
    <cellStyle name="Normal 8 3 7 3 3" xfId="22996" xr:uid="{2A63770A-C7C1-4DD7-A194-F98A279EC23A}"/>
    <cellStyle name="Normal 8 3 7 4" xfId="10331" xr:uid="{C21DDDB4-B3C5-4473-8755-774237D80C71}"/>
    <cellStyle name="Normal 8 3 7 5" xfId="18779" xr:uid="{667978EE-358F-4DC1-A997-498B74AB4D75}"/>
    <cellStyle name="Normal 8 3 8" xfId="2206" xr:uid="{00000000-0005-0000-0000-0000C91D0000}"/>
    <cellStyle name="Normal 8 3 8 2" xfId="4435" xr:uid="{00000000-0005-0000-0000-0000CA1D0000}"/>
    <cellStyle name="Normal 8 3 8 2 2" xfId="8657" xr:uid="{00000000-0005-0000-0000-0000CB1D0000}"/>
    <cellStyle name="Normal 8 3 8 2 2 2" xfId="17107" xr:uid="{9CAC2932-B4B2-4D48-892B-4984719A1B3A}"/>
    <cellStyle name="Normal 8 3 8 2 2 3" xfId="25554" xr:uid="{E30C4410-7191-498E-923D-5399D400713A}"/>
    <cellStyle name="Normal 8 3 8 2 3" xfId="12889" xr:uid="{3D86E23F-5BAD-4D3A-8907-1F65F36CBF78}"/>
    <cellStyle name="Normal 8 3 8 2 4" xfId="21337" xr:uid="{114F450D-B8A7-4239-9949-0FE29485BA6C}"/>
    <cellStyle name="Normal 8 3 8 3" xfId="6512" xr:uid="{00000000-0005-0000-0000-0000CC1D0000}"/>
    <cellStyle name="Normal 8 3 8 3 2" xfId="14962" xr:uid="{0E6A4135-3AB1-40DA-80F4-857103B39497}"/>
    <cellStyle name="Normal 8 3 8 3 3" xfId="23409" xr:uid="{397B6542-727C-490F-BD62-B805E3EA2E3E}"/>
    <cellStyle name="Normal 8 3 8 4" xfId="10744" xr:uid="{C17C5702-3BCD-435B-B434-2F3BFD539C66}"/>
    <cellStyle name="Normal 8 3 8 5" xfId="19192" xr:uid="{37215BAE-C12D-4F62-BC63-79A4E11A76FD}"/>
    <cellStyle name="Normal 8 3 9" xfId="2642" xr:uid="{00000000-0005-0000-0000-0000CD1D0000}"/>
    <cellStyle name="Normal 8 3 9 2" xfId="6925" xr:uid="{00000000-0005-0000-0000-0000CE1D0000}"/>
    <cellStyle name="Normal 8 3 9 2 2" xfId="15375" xr:uid="{670115A5-7302-4E74-90EF-F4DE5110C287}"/>
    <cellStyle name="Normal 8 3 9 2 3" xfId="23822" xr:uid="{C8385517-5F36-437E-8DA5-59B694F61581}"/>
    <cellStyle name="Normal 8 3 9 3" xfId="11157" xr:uid="{7BC8BEB5-CC2D-4E9F-9E6E-F170FE98564C}"/>
    <cellStyle name="Normal 8 3 9 4" xfId="19605" xr:uid="{0A44FED2-29CD-4C7B-AB50-C1D4CD305266}"/>
    <cellStyle name="Normal 8 4" xfId="503" xr:uid="{00000000-0005-0000-0000-0000CF1D0000}"/>
    <cellStyle name="Normal 8 4 10" xfId="9100" xr:uid="{97FC5B29-8CB2-4342-91D5-D91DC57A798C}"/>
    <cellStyle name="Normal 8 4 11" xfId="17548" xr:uid="{E08A1145-9C15-425F-9A27-0CF949FB8EC0}"/>
    <cellStyle name="Normal 8 4 2" xfId="504" xr:uid="{00000000-0005-0000-0000-0000D01D0000}"/>
    <cellStyle name="Normal 8 4 2 10" xfId="17549" xr:uid="{C79BA67B-0BCD-4E9D-ADC0-19C36C80A7B5}"/>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CC95DEFE-5D97-44A8-A087-62F7ED866257}"/>
    <cellStyle name="Normal 8 4 2 2 2 2 2 3" xfId="24325" xr:uid="{EA485AC7-9973-4C3D-9582-D8BC4BD1CC8E}"/>
    <cellStyle name="Normal 8 4 2 2 2 2 3" xfId="11660" xr:uid="{2E617C7E-AB61-4D11-A4CF-9D31A44A6739}"/>
    <cellStyle name="Normal 8 4 2 2 2 2 4" xfId="20108" xr:uid="{6B2823AB-6CA3-4A7B-8568-74C821EF50FC}"/>
    <cellStyle name="Normal 8 4 2 2 2 3" xfId="5283" xr:uid="{00000000-0005-0000-0000-0000D51D0000}"/>
    <cellStyle name="Normal 8 4 2 2 2 3 2" xfId="13733" xr:uid="{A0D9F3F9-D972-4122-8F03-70A6362101DD}"/>
    <cellStyle name="Normal 8 4 2 2 2 3 3" xfId="22180" xr:uid="{9ACB9325-F86E-4341-82C2-51F0589D1C51}"/>
    <cellStyle name="Normal 8 4 2 2 2 4" xfId="9515" xr:uid="{1EED4D6F-E044-4916-B496-413A4CF59800}"/>
    <cellStyle name="Normal 8 4 2 2 2 5" xfId="17963" xr:uid="{D12DD7D6-59AB-4513-83BC-21FE985B5EE6}"/>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215DE652-9E1F-4DB0-8310-B30C6CE96990}"/>
    <cellStyle name="Normal 8 4 2 2 3 2 2 3" xfId="24738" xr:uid="{A0A1D4F5-5DD2-4E6A-8FD8-0CDD93D2C475}"/>
    <cellStyle name="Normal 8 4 2 2 3 2 3" xfId="12073" xr:uid="{583D0234-33C1-4C39-9834-5C15610A3A44}"/>
    <cellStyle name="Normal 8 4 2 2 3 2 4" xfId="20521" xr:uid="{EADB98AA-B23C-49BA-930B-D881F1063C77}"/>
    <cellStyle name="Normal 8 4 2 2 3 3" xfId="5696" xr:uid="{00000000-0005-0000-0000-0000D91D0000}"/>
    <cellStyle name="Normal 8 4 2 2 3 3 2" xfId="14146" xr:uid="{FE37A9CB-CAC0-40A7-A6EF-A088285CCF50}"/>
    <cellStyle name="Normal 8 4 2 2 3 3 3" xfId="22593" xr:uid="{36465C8A-4B74-406E-83CC-FE52939B96B5}"/>
    <cellStyle name="Normal 8 4 2 2 3 4" xfId="9928" xr:uid="{02141657-DED4-42F7-865A-405C19379B22}"/>
    <cellStyle name="Normal 8 4 2 2 3 5" xfId="18376" xr:uid="{B63829A5-2B46-4FAD-B49B-087AC98DD1C0}"/>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0140CF42-D0C5-45E7-80EF-DBAA93F44318}"/>
    <cellStyle name="Normal 8 4 2 2 4 2 2 3" xfId="25151" xr:uid="{E738386F-BAE5-4DBA-AEA2-3B59AD76B12A}"/>
    <cellStyle name="Normal 8 4 2 2 4 2 3" xfId="12486" xr:uid="{7B6C655A-7E89-47C2-9AD6-3248832A9E61}"/>
    <cellStyle name="Normal 8 4 2 2 4 2 4" xfId="20934" xr:uid="{C5A9A279-0BEA-45A9-BE97-7E68514A0F3C}"/>
    <cellStyle name="Normal 8 4 2 2 4 3" xfId="6109" xr:uid="{00000000-0005-0000-0000-0000DD1D0000}"/>
    <cellStyle name="Normal 8 4 2 2 4 3 2" xfId="14559" xr:uid="{D138EB6F-8C95-41BE-8D0B-01FAE627BDA5}"/>
    <cellStyle name="Normal 8 4 2 2 4 3 3" xfId="23006" xr:uid="{81BBFA68-ED4E-454B-A051-0828650147EB}"/>
    <cellStyle name="Normal 8 4 2 2 4 4" xfId="10341" xr:uid="{35604ABA-E63D-428D-854A-1363EFE644FE}"/>
    <cellStyle name="Normal 8 4 2 2 4 5" xfId="18789" xr:uid="{3D2935AD-27B0-41CE-AE88-1AE42197740D}"/>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C71D0B8F-86E7-4B2D-A31C-55CB037FB39B}"/>
    <cellStyle name="Normal 8 4 2 2 5 2 2 3" xfId="25564" xr:uid="{974CF6C3-DC2F-47DD-9AAC-3E456D6D2891}"/>
    <cellStyle name="Normal 8 4 2 2 5 2 3" xfId="12899" xr:uid="{3706CCF7-F2D4-4D1C-8D64-47E234D0E98E}"/>
    <cellStyle name="Normal 8 4 2 2 5 2 4" xfId="21347" xr:uid="{555D2D53-DB52-40AB-9269-638C2192CB8B}"/>
    <cellStyle name="Normal 8 4 2 2 5 3" xfId="6522" xr:uid="{00000000-0005-0000-0000-0000E11D0000}"/>
    <cellStyle name="Normal 8 4 2 2 5 3 2" xfId="14972" xr:uid="{C1046701-7366-4395-B671-1EC85C449E17}"/>
    <cellStyle name="Normal 8 4 2 2 5 3 3" xfId="23419" xr:uid="{C903CC70-DEC2-43D9-B29D-396647DEA256}"/>
    <cellStyle name="Normal 8 4 2 2 5 4" xfId="10754" xr:uid="{58C14AF8-7F1A-4680-822D-5DBFC93AFD52}"/>
    <cellStyle name="Normal 8 4 2 2 5 5" xfId="19202" xr:uid="{83AEFE66-7EA4-4117-A8B9-7B2F77D3960C}"/>
    <cellStyle name="Normal 8 4 2 2 6" xfId="2652" xr:uid="{00000000-0005-0000-0000-0000E21D0000}"/>
    <cellStyle name="Normal 8 4 2 2 6 2" xfId="6935" xr:uid="{00000000-0005-0000-0000-0000E31D0000}"/>
    <cellStyle name="Normal 8 4 2 2 6 2 2" xfId="15385" xr:uid="{7ACD6EAF-6015-46EF-B913-306A8AF68184}"/>
    <cellStyle name="Normal 8 4 2 2 6 2 3" xfId="23832" xr:uid="{8A60723C-7DE3-4A6D-8A3D-E242D6C156E7}"/>
    <cellStyle name="Normal 8 4 2 2 6 3" xfId="11167" xr:uid="{9AC84C7F-6753-48CE-973C-47984AA763C9}"/>
    <cellStyle name="Normal 8 4 2 2 6 4" xfId="19615" xr:uid="{EC85367D-388A-4430-BA1D-36ACF2CDB720}"/>
    <cellStyle name="Normal 8 4 2 2 7" xfId="4870" xr:uid="{00000000-0005-0000-0000-0000E41D0000}"/>
    <cellStyle name="Normal 8 4 2 2 7 2" xfId="13320" xr:uid="{B14691FE-85D6-4384-A3C3-9667B27DE2DC}"/>
    <cellStyle name="Normal 8 4 2 2 7 3" xfId="21767" xr:uid="{50B055AF-EDD5-4007-89A2-CF326B144401}"/>
    <cellStyle name="Normal 8 4 2 2 8" xfId="9102" xr:uid="{B9C34144-3395-4201-852A-71C085FB8A06}"/>
    <cellStyle name="Normal 8 4 2 2 9" xfId="17550" xr:uid="{6DA64975-DCB0-4706-9AC8-A93ED7378682}"/>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49443DED-7623-4496-BCF9-68248B20C357}"/>
    <cellStyle name="Normal 8 4 2 3 2 2 3" xfId="24324" xr:uid="{8F68EF3C-CC84-4386-ACFA-5DC0A68E5A28}"/>
    <cellStyle name="Normal 8 4 2 3 2 3" xfId="11659" xr:uid="{C2AA07D9-6F74-4B78-B2EF-B37B45600938}"/>
    <cellStyle name="Normal 8 4 2 3 2 4" xfId="20107" xr:uid="{86FAECAD-D654-4E2C-BFC9-2D64101C43F9}"/>
    <cellStyle name="Normal 8 4 2 3 3" xfId="5282" xr:uid="{00000000-0005-0000-0000-0000E81D0000}"/>
    <cellStyle name="Normal 8 4 2 3 3 2" xfId="13732" xr:uid="{5D15037F-D46A-4882-B9F9-6B2A558334C3}"/>
    <cellStyle name="Normal 8 4 2 3 3 3" xfId="22179" xr:uid="{4BE929E6-2CDE-4D96-ADAE-DE01221F35CB}"/>
    <cellStyle name="Normal 8 4 2 3 4" xfId="9514" xr:uid="{9E89AD94-1732-4930-9AA5-3FC07E70B8C1}"/>
    <cellStyle name="Normal 8 4 2 3 5" xfId="17962" xr:uid="{BCCAE4C3-7E87-4A83-B9B6-0406742AE54B}"/>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2A00E71F-210D-472C-B0D2-6FC83E8C03A5}"/>
    <cellStyle name="Normal 8 4 2 4 2 2 3" xfId="24737" xr:uid="{C54607AC-0E6C-4BF5-9C2D-0748A9C3F905}"/>
    <cellStyle name="Normal 8 4 2 4 2 3" xfId="12072" xr:uid="{A2DB2555-66EC-4089-9A35-B09F499B91A8}"/>
    <cellStyle name="Normal 8 4 2 4 2 4" xfId="20520" xr:uid="{FC33CBEF-9955-45E5-8FC6-E3D3DDC1FB58}"/>
    <cellStyle name="Normal 8 4 2 4 3" xfId="5695" xr:uid="{00000000-0005-0000-0000-0000EC1D0000}"/>
    <cellStyle name="Normal 8 4 2 4 3 2" xfId="14145" xr:uid="{B4C49342-B335-4FDB-8A6F-FD71B325F116}"/>
    <cellStyle name="Normal 8 4 2 4 3 3" xfId="22592" xr:uid="{4FAD7EFC-5694-4E4F-B9C6-CCF3E957710A}"/>
    <cellStyle name="Normal 8 4 2 4 4" xfId="9927" xr:uid="{4BC26D90-1FB3-49E4-8A71-F589B1072212}"/>
    <cellStyle name="Normal 8 4 2 4 5" xfId="18375" xr:uid="{593BBBB3-9786-4C97-A9D8-771749305FB2}"/>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0B0A7718-735E-4FB1-998E-7014860B1E57}"/>
    <cellStyle name="Normal 8 4 2 5 2 2 3" xfId="25150" xr:uid="{449F213D-2DEC-494B-B128-919B3C50ABAE}"/>
    <cellStyle name="Normal 8 4 2 5 2 3" xfId="12485" xr:uid="{A04EE721-9851-48CA-9BBC-8745C1A14B79}"/>
    <cellStyle name="Normal 8 4 2 5 2 4" xfId="20933" xr:uid="{B7688E97-D15E-423B-99AA-A2D01C27E2D4}"/>
    <cellStyle name="Normal 8 4 2 5 3" xfId="6108" xr:uid="{00000000-0005-0000-0000-0000F01D0000}"/>
    <cellStyle name="Normal 8 4 2 5 3 2" xfId="14558" xr:uid="{9024D5F2-1C10-456A-94A5-1351965A2DDE}"/>
    <cellStyle name="Normal 8 4 2 5 3 3" xfId="23005" xr:uid="{EDDE4B12-A5DF-497A-99DD-D74960294C3B}"/>
    <cellStyle name="Normal 8 4 2 5 4" xfId="10340" xr:uid="{C88B6516-F1CF-4215-885A-6BAECA0CC108}"/>
    <cellStyle name="Normal 8 4 2 5 5" xfId="18788" xr:uid="{7DFC9F16-595E-498A-9D8E-273AE6AE5AF0}"/>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8669F278-C043-464E-95D3-FF222FCDDDAD}"/>
    <cellStyle name="Normal 8 4 2 6 2 2 3" xfId="25563" xr:uid="{A2C64E4E-689C-425F-9B28-0DEB69E3A3AF}"/>
    <cellStyle name="Normal 8 4 2 6 2 3" xfId="12898" xr:uid="{933F5FE4-042C-4E7D-A03C-4574D412CD20}"/>
    <cellStyle name="Normal 8 4 2 6 2 4" xfId="21346" xr:uid="{A01C5D8E-BD6C-4C7B-AF6A-959394E16394}"/>
    <cellStyle name="Normal 8 4 2 6 3" xfId="6521" xr:uid="{00000000-0005-0000-0000-0000F41D0000}"/>
    <cellStyle name="Normal 8 4 2 6 3 2" xfId="14971" xr:uid="{134EFA7E-A123-43C2-8D8C-799DDBD19890}"/>
    <cellStyle name="Normal 8 4 2 6 3 3" xfId="23418" xr:uid="{6F6BC08F-16A3-4D2A-B45B-D23692690E26}"/>
    <cellStyle name="Normal 8 4 2 6 4" xfId="10753" xr:uid="{FEC6314F-BAF0-4E56-877C-CD0D2309FF7A}"/>
    <cellStyle name="Normal 8 4 2 6 5" xfId="19201" xr:uid="{57971E88-8C8B-45DB-A52C-6C8494EB94D5}"/>
    <cellStyle name="Normal 8 4 2 7" xfId="2651" xr:uid="{00000000-0005-0000-0000-0000F51D0000}"/>
    <cellStyle name="Normal 8 4 2 7 2" xfId="6934" xr:uid="{00000000-0005-0000-0000-0000F61D0000}"/>
    <cellStyle name="Normal 8 4 2 7 2 2" xfId="15384" xr:uid="{898E3DAB-848F-4944-ACD1-9117B7B7E2C2}"/>
    <cellStyle name="Normal 8 4 2 7 2 3" xfId="23831" xr:uid="{AB1671B2-B792-4BE5-B65B-4F98008D47C8}"/>
    <cellStyle name="Normal 8 4 2 7 3" xfId="11166" xr:uid="{BA13E6FA-DCF4-4CA4-B806-992E97D93E98}"/>
    <cellStyle name="Normal 8 4 2 7 4" xfId="19614" xr:uid="{05B91AEA-33C4-4E74-A564-57CC76AFC4F5}"/>
    <cellStyle name="Normal 8 4 2 8" xfId="4869" xr:uid="{00000000-0005-0000-0000-0000F71D0000}"/>
    <cellStyle name="Normal 8 4 2 8 2" xfId="13319" xr:uid="{92FEFEC1-33A4-4852-ACFB-2C3490D511A2}"/>
    <cellStyle name="Normal 8 4 2 8 3" xfId="21766" xr:uid="{8A5B23D3-1E43-4F0F-BE94-FC9BEC2AA507}"/>
    <cellStyle name="Normal 8 4 2 9" xfId="9101" xr:uid="{2ED7931C-1E90-4BC3-AE64-DACCB3DC46A9}"/>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B27E95B6-0ED8-4750-BE5F-7D4CB601435C}"/>
    <cellStyle name="Normal 8 4 3 2 2 2 3" xfId="24326" xr:uid="{CFFF7409-78F8-4994-9955-B03FDC2C6C46}"/>
    <cellStyle name="Normal 8 4 3 2 2 3" xfId="11661" xr:uid="{E1E16942-3A07-4526-A72E-6FFB8DC89DEC}"/>
    <cellStyle name="Normal 8 4 3 2 2 4" xfId="20109" xr:uid="{F26F06CE-E61B-4664-B924-66004CF758C8}"/>
    <cellStyle name="Normal 8 4 3 2 3" xfId="5284" xr:uid="{00000000-0005-0000-0000-0000FC1D0000}"/>
    <cellStyle name="Normal 8 4 3 2 3 2" xfId="13734" xr:uid="{346CC545-261F-4CFA-8609-68AD4D859666}"/>
    <cellStyle name="Normal 8 4 3 2 3 3" xfId="22181" xr:uid="{008D3324-923E-4F98-85A8-55E44AB57B3A}"/>
    <cellStyle name="Normal 8 4 3 2 4" xfId="9516" xr:uid="{92CADF08-82D2-4EDA-87DF-A073142CC9E5}"/>
    <cellStyle name="Normal 8 4 3 2 5" xfId="17964" xr:uid="{4C0A5D54-71A6-45E6-AD38-9B82F04C9665}"/>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CD72CA05-0273-4087-B60A-8BF24CF06B1D}"/>
    <cellStyle name="Normal 8 4 3 3 2 2 3" xfId="24739" xr:uid="{E108BDC7-1232-42AE-8844-611F3A5B6A5A}"/>
    <cellStyle name="Normal 8 4 3 3 2 3" xfId="12074" xr:uid="{00FD724E-548E-4DC6-8DAF-360506480790}"/>
    <cellStyle name="Normal 8 4 3 3 2 4" xfId="20522" xr:uid="{BFBDAC60-87E6-4BD8-9855-A292705ABC97}"/>
    <cellStyle name="Normal 8 4 3 3 3" xfId="5697" xr:uid="{00000000-0005-0000-0000-0000001E0000}"/>
    <cellStyle name="Normal 8 4 3 3 3 2" xfId="14147" xr:uid="{FAF4873E-1102-4388-B95F-B66CC1AD90CB}"/>
    <cellStyle name="Normal 8 4 3 3 3 3" xfId="22594" xr:uid="{3FC10D19-C1A1-46A0-B728-114DE9154CE4}"/>
    <cellStyle name="Normal 8 4 3 3 4" xfId="9929" xr:uid="{25EED452-49A7-4DA5-8484-68048FAA35BC}"/>
    <cellStyle name="Normal 8 4 3 3 5" xfId="18377" xr:uid="{08C32C15-494B-4783-BA18-3A6F0038B3F1}"/>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7EDBFCDE-1D10-48A7-BC9B-2702478FE3C7}"/>
    <cellStyle name="Normal 8 4 3 4 2 2 3" xfId="25152" xr:uid="{3D3A25EB-92EF-43DF-B815-9A4DD633C83D}"/>
    <cellStyle name="Normal 8 4 3 4 2 3" xfId="12487" xr:uid="{BC2268F4-C62A-4978-9FE7-F0DD1714CB14}"/>
    <cellStyle name="Normal 8 4 3 4 2 4" xfId="20935" xr:uid="{ABA75479-6799-4282-BAA4-82792CAC96D3}"/>
    <cellStyle name="Normal 8 4 3 4 3" xfId="6110" xr:uid="{00000000-0005-0000-0000-0000041E0000}"/>
    <cellStyle name="Normal 8 4 3 4 3 2" xfId="14560" xr:uid="{589D230C-729E-4539-99DC-3291FDA9FDE1}"/>
    <cellStyle name="Normal 8 4 3 4 3 3" xfId="23007" xr:uid="{5F7DE77E-21F1-44B9-BBC6-83AA46C6164F}"/>
    <cellStyle name="Normal 8 4 3 4 4" xfId="10342" xr:uid="{A555DB3C-E16C-470E-83EC-FBE418988C5F}"/>
    <cellStyle name="Normal 8 4 3 4 5" xfId="18790" xr:uid="{440913E4-7C07-4E9E-BACA-711D20290932}"/>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9FCB5AEE-4C8F-47F6-909E-406069314E4C}"/>
    <cellStyle name="Normal 8 4 3 5 2 2 3" xfId="25565" xr:uid="{5ACB538C-3480-4762-B38F-D1B42AEE4365}"/>
    <cellStyle name="Normal 8 4 3 5 2 3" xfId="12900" xr:uid="{DB2572EC-5152-432E-94A8-6B7217AD1BFF}"/>
    <cellStyle name="Normal 8 4 3 5 2 4" xfId="21348" xr:uid="{B241FB5B-3251-46E1-96ED-5EB43033C19C}"/>
    <cellStyle name="Normal 8 4 3 5 3" xfId="6523" xr:uid="{00000000-0005-0000-0000-0000081E0000}"/>
    <cellStyle name="Normal 8 4 3 5 3 2" xfId="14973" xr:uid="{0CFDE9CE-FFC6-4E42-927B-8EFD5C9B6D16}"/>
    <cellStyle name="Normal 8 4 3 5 3 3" xfId="23420" xr:uid="{9907F169-BAEE-41F7-871F-94F6539894FB}"/>
    <cellStyle name="Normal 8 4 3 5 4" xfId="10755" xr:uid="{03532246-5047-49E6-BF65-4FA847D3D419}"/>
    <cellStyle name="Normal 8 4 3 5 5" xfId="19203" xr:uid="{23FFC917-9FD6-47CE-BADB-3306B28CBDFF}"/>
    <cellStyle name="Normal 8 4 3 6" xfId="2653" xr:uid="{00000000-0005-0000-0000-0000091E0000}"/>
    <cellStyle name="Normal 8 4 3 6 2" xfId="6936" xr:uid="{00000000-0005-0000-0000-00000A1E0000}"/>
    <cellStyle name="Normal 8 4 3 6 2 2" xfId="15386" xr:uid="{1D81FB86-CFA6-4C3C-A20F-EAB5CF36A77B}"/>
    <cellStyle name="Normal 8 4 3 6 2 3" xfId="23833" xr:uid="{249F8972-8DA4-489E-8D8F-E7BC134C222F}"/>
    <cellStyle name="Normal 8 4 3 6 3" xfId="11168" xr:uid="{A67DCE5F-B773-459F-B42F-77E6202CD828}"/>
    <cellStyle name="Normal 8 4 3 6 4" xfId="19616" xr:uid="{CEB580C4-3E15-42AD-9519-EA6B3128F8A8}"/>
    <cellStyle name="Normal 8 4 3 7" xfId="4871" xr:uid="{00000000-0005-0000-0000-00000B1E0000}"/>
    <cellStyle name="Normal 8 4 3 7 2" xfId="13321" xr:uid="{2A26DF41-0B02-451E-B3AA-59609E432CC4}"/>
    <cellStyle name="Normal 8 4 3 7 3" xfId="21768" xr:uid="{C6769981-7AC8-41EA-A598-8BDACE1BFA37}"/>
    <cellStyle name="Normal 8 4 3 8" xfId="9103" xr:uid="{10928091-F7B2-406C-AAA8-19132C68181D}"/>
    <cellStyle name="Normal 8 4 3 9" xfId="17551" xr:uid="{A8A430CF-FCEA-4672-B71D-D4FCB1212F72}"/>
    <cellStyle name="Normal 8 4 4" xfId="970" xr:uid="{00000000-0005-0000-0000-00000C1E0000}"/>
    <cellStyle name="Normal 8 4 4 2" xfId="3204" xr:uid="{00000000-0005-0000-0000-00000D1E0000}"/>
    <cellStyle name="Normal 8 4 4 2 2" xfId="7426" xr:uid="{00000000-0005-0000-0000-00000E1E0000}"/>
    <cellStyle name="Normal 8 4 4 2 2 2" xfId="15876" xr:uid="{72E804B8-34BE-4D10-9778-6E899414A44E}"/>
    <cellStyle name="Normal 8 4 4 2 2 3" xfId="24323" xr:uid="{9A3B5972-45BC-4AD5-B6EA-573075DA3C7F}"/>
    <cellStyle name="Normal 8 4 4 2 3" xfId="11658" xr:uid="{C0344A40-B0D6-48A0-9E24-8CA5445DFBB4}"/>
    <cellStyle name="Normal 8 4 4 2 4" xfId="20106" xr:uid="{E1471C18-5557-42B8-B11F-7ECE95949932}"/>
    <cellStyle name="Normal 8 4 4 3" xfId="5281" xr:uid="{00000000-0005-0000-0000-00000F1E0000}"/>
    <cellStyle name="Normal 8 4 4 3 2" xfId="13731" xr:uid="{0A76F1FE-B2FE-4138-A37F-A34135DA5B30}"/>
    <cellStyle name="Normal 8 4 4 3 3" xfId="22178" xr:uid="{F4C92342-DA88-4D9A-9517-CBD2B16388D1}"/>
    <cellStyle name="Normal 8 4 4 4" xfId="9513" xr:uid="{3455CE4A-D8D3-438E-977B-B7D947D1AEC7}"/>
    <cellStyle name="Normal 8 4 4 5" xfId="17961" xr:uid="{967A3D04-1A14-43E7-810E-7F1A86FFDAD9}"/>
    <cellStyle name="Normal 8 4 5" xfId="1387" xr:uid="{00000000-0005-0000-0000-0000101E0000}"/>
    <cellStyle name="Normal 8 4 5 2" xfId="3617" xr:uid="{00000000-0005-0000-0000-0000111E0000}"/>
    <cellStyle name="Normal 8 4 5 2 2" xfId="7839" xr:uid="{00000000-0005-0000-0000-0000121E0000}"/>
    <cellStyle name="Normal 8 4 5 2 2 2" xfId="16289" xr:uid="{29BA7BB9-88C3-4A88-A971-ABD8D1B63A73}"/>
    <cellStyle name="Normal 8 4 5 2 2 3" xfId="24736" xr:uid="{DDF96F2F-475C-4E09-82EA-3E23D44D2801}"/>
    <cellStyle name="Normal 8 4 5 2 3" xfId="12071" xr:uid="{D7EA845C-D6B1-4622-AD5C-228F4D58336C}"/>
    <cellStyle name="Normal 8 4 5 2 4" xfId="20519" xr:uid="{3F098F71-EF34-42A0-BF4C-968AE3C65FDF}"/>
    <cellStyle name="Normal 8 4 5 3" xfId="5694" xr:uid="{00000000-0005-0000-0000-0000131E0000}"/>
    <cellStyle name="Normal 8 4 5 3 2" xfId="14144" xr:uid="{2AB7B9B2-1DC6-4BF3-AC77-D00773D2826A}"/>
    <cellStyle name="Normal 8 4 5 3 3" xfId="22591" xr:uid="{CFC8665C-C4C2-40EA-B108-B760DAA86BE1}"/>
    <cellStyle name="Normal 8 4 5 4" xfId="9926" xr:uid="{B9286002-1486-4BF7-BA86-C2869CC05C3A}"/>
    <cellStyle name="Normal 8 4 5 5" xfId="18374" xr:uid="{346CCC50-A370-422D-A0BF-A01CEF734058}"/>
    <cellStyle name="Normal 8 4 6" xfId="1800" xr:uid="{00000000-0005-0000-0000-0000141E0000}"/>
    <cellStyle name="Normal 8 4 6 2" xfId="4030" xr:uid="{00000000-0005-0000-0000-0000151E0000}"/>
    <cellStyle name="Normal 8 4 6 2 2" xfId="8252" xr:uid="{00000000-0005-0000-0000-0000161E0000}"/>
    <cellStyle name="Normal 8 4 6 2 2 2" xfId="16702" xr:uid="{5C5ED1FC-8B72-4D19-9051-75056E996BC3}"/>
    <cellStyle name="Normal 8 4 6 2 2 3" xfId="25149" xr:uid="{CE311E33-1554-407F-8AFA-6CD658AE0022}"/>
    <cellStyle name="Normal 8 4 6 2 3" xfId="12484" xr:uid="{785E3E4D-EFD7-4FB3-A3A9-E16F8650FBC6}"/>
    <cellStyle name="Normal 8 4 6 2 4" xfId="20932" xr:uid="{8954A604-88B6-4767-AF61-921810CA2F32}"/>
    <cellStyle name="Normal 8 4 6 3" xfId="6107" xr:uid="{00000000-0005-0000-0000-0000171E0000}"/>
    <cellStyle name="Normal 8 4 6 3 2" xfId="14557" xr:uid="{225147E6-FE2D-4648-94FB-F9653E8DB964}"/>
    <cellStyle name="Normal 8 4 6 3 3" xfId="23004" xr:uid="{5B588143-3464-435B-8888-32D22E188D66}"/>
    <cellStyle name="Normal 8 4 6 4" xfId="10339" xr:uid="{2787625E-1A06-4E37-BF22-D82817A9E83B}"/>
    <cellStyle name="Normal 8 4 6 5" xfId="18787" xr:uid="{C934519D-5350-46F7-A85C-65DE79942906}"/>
    <cellStyle name="Normal 8 4 7" xfId="2214" xr:uid="{00000000-0005-0000-0000-0000181E0000}"/>
    <cellStyle name="Normal 8 4 7 2" xfId="4443" xr:uid="{00000000-0005-0000-0000-0000191E0000}"/>
    <cellStyle name="Normal 8 4 7 2 2" xfId="8665" xr:uid="{00000000-0005-0000-0000-00001A1E0000}"/>
    <cellStyle name="Normal 8 4 7 2 2 2" xfId="17115" xr:uid="{79E21BE0-C70C-4CDF-9F91-6A7EEBF62377}"/>
    <cellStyle name="Normal 8 4 7 2 2 3" xfId="25562" xr:uid="{4136F928-E800-48EC-B1CB-C83325CB127B}"/>
    <cellStyle name="Normal 8 4 7 2 3" xfId="12897" xr:uid="{198A9BB6-DBFE-4BF3-96CB-D8E6C11B4953}"/>
    <cellStyle name="Normal 8 4 7 2 4" xfId="21345" xr:uid="{57B31362-648B-496D-B8D0-DD340576AC6D}"/>
    <cellStyle name="Normal 8 4 7 3" xfId="6520" xr:uid="{00000000-0005-0000-0000-00001B1E0000}"/>
    <cellStyle name="Normal 8 4 7 3 2" xfId="14970" xr:uid="{03A21051-6F8E-454C-A655-778FBE2B2879}"/>
    <cellStyle name="Normal 8 4 7 3 3" xfId="23417" xr:uid="{32000DD1-8597-48D5-87E0-10F621A0AAB6}"/>
    <cellStyle name="Normal 8 4 7 4" xfId="10752" xr:uid="{6700A6C3-6DC3-437C-A017-65CB7B4530CF}"/>
    <cellStyle name="Normal 8 4 7 5" xfId="19200" xr:uid="{EC74152F-E60C-4519-AEEC-DBBD96AF760D}"/>
    <cellStyle name="Normal 8 4 8" xfId="2650" xr:uid="{00000000-0005-0000-0000-00001C1E0000}"/>
    <cellStyle name="Normal 8 4 8 2" xfId="6933" xr:uid="{00000000-0005-0000-0000-00001D1E0000}"/>
    <cellStyle name="Normal 8 4 8 2 2" xfId="15383" xr:uid="{89A9E552-6C65-4AEE-AE6F-5758F7856CFD}"/>
    <cellStyle name="Normal 8 4 8 2 3" xfId="23830" xr:uid="{A4406225-36D0-4E63-BD6F-7CEF11758F82}"/>
    <cellStyle name="Normal 8 4 8 3" xfId="11165" xr:uid="{42172C9A-C219-47A7-BCA6-B5C8881A9BA7}"/>
    <cellStyle name="Normal 8 4 8 4" xfId="19613" xr:uid="{89313F4D-290E-45DF-93BD-3ED21E8EE108}"/>
    <cellStyle name="Normal 8 4 9" xfId="4868" xr:uid="{00000000-0005-0000-0000-00001E1E0000}"/>
    <cellStyle name="Normal 8 4 9 2" xfId="13318" xr:uid="{99216CBF-A350-41C9-A756-AD62675E0B96}"/>
    <cellStyle name="Normal 8 4 9 3" xfId="21765" xr:uid="{B7966443-3171-4DD4-B654-C6E5398EEE63}"/>
    <cellStyle name="Normal 8 5" xfId="507" xr:uid="{00000000-0005-0000-0000-00001F1E0000}"/>
    <cellStyle name="Normal 8 5 10" xfId="17552" xr:uid="{C8E87414-135B-441A-BD7D-1876FD1927F9}"/>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B2290E2A-6FD7-458E-971C-F36DDFF14BFB}"/>
    <cellStyle name="Normal 8 5 2 2 2 2 3" xfId="24328" xr:uid="{B08B205F-24FB-4AA8-82CC-5D416E112CA1}"/>
    <cellStyle name="Normal 8 5 2 2 2 3" xfId="11663" xr:uid="{E5920141-66F1-4045-B85E-49CD193F9771}"/>
    <cellStyle name="Normal 8 5 2 2 2 4" xfId="20111" xr:uid="{A3D5E18D-A83E-4B90-BDFF-DD421D93D420}"/>
    <cellStyle name="Normal 8 5 2 2 3" xfId="5286" xr:uid="{00000000-0005-0000-0000-0000241E0000}"/>
    <cellStyle name="Normal 8 5 2 2 3 2" xfId="13736" xr:uid="{365E2737-E3FD-4380-A565-8A84493520AE}"/>
    <cellStyle name="Normal 8 5 2 2 3 3" xfId="22183" xr:uid="{941D1B7D-BEA4-47B1-A0CF-3E4CD0E38B85}"/>
    <cellStyle name="Normal 8 5 2 2 4" xfId="9518" xr:uid="{F7882968-F3AB-4D1E-9EC3-CC21AB3ABC29}"/>
    <cellStyle name="Normal 8 5 2 2 5" xfId="17966" xr:uid="{F9FE1210-5B10-406A-BA8C-DE8A6575480A}"/>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A44554C7-0E7E-4235-8E46-50271B85550D}"/>
    <cellStyle name="Normal 8 5 2 3 2 2 3" xfId="24741" xr:uid="{99722F7B-E886-4B48-863C-37DF3BE5958C}"/>
    <cellStyle name="Normal 8 5 2 3 2 3" xfId="12076" xr:uid="{6C02C113-FDE9-4CF1-9D7C-2536F24C74E6}"/>
    <cellStyle name="Normal 8 5 2 3 2 4" xfId="20524" xr:uid="{21B52253-F51E-4A00-8F2C-F278091DA2F1}"/>
    <cellStyle name="Normal 8 5 2 3 3" xfId="5699" xr:uid="{00000000-0005-0000-0000-0000281E0000}"/>
    <cellStyle name="Normal 8 5 2 3 3 2" xfId="14149" xr:uid="{C1BBA26A-68E1-4205-B6DA-FE67B20BE483}"/>
    <cellStyle name="Normal 8 5 2 3 3 3" xfId="22596" xr:uid="{DE4E0B92-A2DD-44EC-A568-E440EE95D07F}"/>
    <cellStyle name="Normal 8 5 2 3 4" xfId="9931" xr:uid="{2C2CCB88-6406-4951-992A-D45B247E7B87}"/>
    <cellStyle name="Normal 8 5 2 3 5" xfId="18379" xr:uid="{D4710D29-263A-4CE8-B95F-7EB49BC3F4B2}"/>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C7C1E39B-8CDA-4046-AF50-8399F96842DF}"/>
    <cellStyle name="Normal 8 5 2 4 2 2 3" xfId="25154" xr:uid="{638C99C0-E6FA-4529-A6C0-54160C0A41D6}"/>
    <cellStyle name="Normal 8 5 2 4 2 3" xfId="12489" xr:uid="{D298391F-DF08-4925-AC1E-756819AD8DC9}"/>
    <cellStyle name="Normal 8 5 2 4 2 4" xfId="20937" xr:uid="{C93DA049-615F-438A-AFA3-A93B603C7A55}"/>
    <cellStyle name="Normal 8 5 2 4 3" xfId="6112" xr:uid="{00000000-0005-0000-0000-00002C1E0000}"/>
    <cellStyle name="Normal 8 5 2 4 3 2" xfId="14562" xr:uid="{E383A143-589E-434E-AFC6-166C6F0F8C8D}"/>
    <cellStyle name="Normal 8 5 2 4 3 3" xfId="23009" xr:uid="{FAA74024-A107-4C97-A214-92E76A9324A3}"/>
    <cellStyle name="Normal 8 5 2 4 4" xfId="10344" xr:uid="{F6749228-6C2E-42F0-AD33-B4A0D2CDCBC5}"/>
    <cellStyle name="Normal 8 5 2 4 5" xfId="18792" xr:uid="{65AA0186-5C60-4137-B8AC-0D7338320343}"/>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B5177D29-2A4C-4A2C-8877-AE02DCEF98B6}"/>
    <cellStyle name="Normal 8 5 2 5 2 2 3" xfId="25567" xr:uid="{3221F7C3-EFA6-45C4-BF26-6BE948400848}"/>
    <cellStyle name="Normal 8 5 2 5 2 3" xfId="12902" xr:uid="{A2FD41A5-9EC9-424F-BD28-FB1F445B1931}"/>
    <cellStyle name="Normal 8 5 2 5 2 4" xfId="21350" xr:uid="{7B4B7ED4-4C6D-4334-B477-476CD020D8A6}"/>
    <cellStyle name="Normal 8 5 2 5 3" xfId="6525" xr:uid="{00000000-0005-0000-0000-0000301E0000}"/>
    <cellStyle name="Normal 8 5 2 5 3 2" xfId="14975" xr:uid="{D4ECE76D-FB33-4F39-BB37-001DF667ABE9}"/>
    <cellStyle name="Normal 8 5 2 5 3 3" xfId="23422" xr:uid="{EABE390A-D490-4ACF-9B2B-82D50C1152B6}"/>
    <cellStyle name="Normal 8 5 2 5 4" xfId="10757" xr:uid="{3E15E398-4965-444D-84E0-9BEEFC2D730E}"/>
    <cellStyle name="Normal 8 5 2 5 5" xfId="19205" xr:uid="{9E4D3163-25E8-46FB-8F12-4F55690E0B21}"/>
    <cellStyle name="Normal 8 5 2 6" xfId="2655" xr:uid="{00000000-0005-0000-0000-0000311E0000}"/>
    <cellStyle name="Normal 8 5 2 6 2" xfId="6938" xr:uid="{00000000-0005-0000-0000-0000321E0000}"/>
    <cellStyle name="Normal 8 5 2 6 2 2" xfId="15388" xr:uid="{E81E5C23-3C77-4620-A0DA-144E2141420B}"/>
    <cellStyle name="Normal 8 5 2 6 2 3" xfId="23835" xr:uid="{266E6E37-BC0F-4CB7-A9B5-7B64768551CE}"/>
    <cellStyle name="Normal 8 5 2 6 3" xfId="11170" xr:uid="{0C387867-6EE5-4EA3-AB7F-D22A25A21139}"/>
    <cellStyle name="Normal 8 5 2 6 4" xfId="19618" xr:uid="{DE19B8BE-BBCC-45B2-951D-D74DCF3E9719}"/>
    <cellStyle name="Normal 8 5 2 7" xfId="4873" xr:uid="{00000000-0005-0000-0000-0000331E0000}"/>
    <cellStyle name="Normal 8 5 2 7 2" xfId="13323" xr:uid="{32FAC627-95F6-41B3-9876-4E3B00B08F17}"/>
    <cellStyle name="Normal 8 5 2 7 3" xfId="21770" xr:uid="{E797B70A-ED85-437E-8317-A36C63FED22F}"/>
    <cellStyle name="Normal 8 5 2 8" xfId="9105" xr:uid="{82E54726-2E10-45F7-9858-B7906AB13B54}"/>
    <cellStyle name="Normal 8 5 2 9" xfId="17553" xr:uid="{007C7761-3E45-43BE-963B-2AFA415CAEB2}"/>
    <cellStyle name="Normal 8 5 3" xfId="974" xr:uid="{00000000-0005-0000-0000-0000341E0000}"/>
    <cellStyle name="Normal 8 5 3 2" xfId="3208" xr:uid="{00000000-0005-0000-0000-0000351E0000}"/>
    <cellStyle name="Normal 8 5 3 2 2" xfId="7430" xr:uid="{00000000-0005-0000-0000-0000361E0000}"/>
    <cellStyle name="Normal 8 5 3 2 2 2" xfId="15880" xr:uid="{AF85E651-1D49-4AD4-8500-55066139B209}"/>
    <cellStyle name="Normal 8 5 3 2 2 3" xfId="24327" xr:uid="{C06EEF24-250D-4D26-B893-550A9F773836}"/>
    <cellStyle name="Normal 8 5 3 2 3" xfId="11662" xr:uid="{11BFC853-2FC6-47FF-B26B-1F937D88382C}"/>
    <cellStyle name="Normal 8 5 3 2 4" xfId="20110" xr:uid="{56235851-678B-4C32-BB77-A7D69A568382}"/>
    <cellStyle name="Normal 8 5 3 3" xfId="5285" xr:uid="{00000000-0005-0000-0000-0000371E0000}"/>
    <cellStyle name="Normal 8 5 3 3 2" xfId="13735" xr:uid="{0880548B-1247-41F3-9DD1-8368C11040CB}"/>
    <cellStyle name="Normal 8 5 3 3 3" xfId="22182" xr:uid="{18F1104E-930C-4CFB-B322-4EE059D6C3AC}"/>
    <cellStyle name="Normal 8 5 3 4" xfId="9517" xr:uid="{F234DB2A-544A-4AEF-B627-4622F84ABDBF}"/>
    <cellStyle name="Normal 8 5 3 5" xfId="17965" xr:uid="{9233D3DF-4CD5-499F-AA19-646A7039B3F7}"/>
    <cellStyle name="Normal 8 5 4" xfId="1391" xr:uid="{00000000-0005-0000-0000-0000381E0000}"/>
    <cellStyle name="Normal 8 5 4 2" xfId="3621" xr:uid="{00000000-0005-0000-0000-0000391E0000}"/>
    <cellStyle name="Normal 8 5 4 2 2" xfId="7843" xr:uid="{00000000-0005-0000-0000-00003A1E0000}"/>
    <cellStyle name="Normal 8 5 4 2 2 2" xfId="16293" xr:uid="{FEFF50D9-7ABD-45BD-BEE6-FCFE0C8B95FB}"/>
    <cellStyle name="Normal 8 5 4 2 2 3" xfId="24740" xr:uid="{324FBE78-93ED-44BB-B6C0-D2DDBA145000}"/>
    <cellStyle name="Normal 8 5 4 2 3" xfId="12075" xr:uid="{3B27640A-C3DE-4F9C-BC5D-954C40BA314D}"/>
    <cellStyle name="Normal 8 5 4 2 4" xfId="20523" xr:uid="{19A81652-30D9-445B-89DE-F538C26D951F}"/>
    <cellStyle name="Normal 8 5 4 3" xfId="5698" xr:uid="{00000000-0005-0000-0000-00003B1E0000}"/>
    <cellStyle name="Normal 8 5 4 3 2" xfId="14148" xr:uid="{3DD920FE-F5EB-4DF8-B99B-54FCF26BDFB6}"/>
    <cellStyle name="Normal 8 5 4 3 3" xfId="22595" xr:uid="{4F228903-1C32-47AD-B4BC-4EF3FD71C3D3}"/>
    <cellStyle name="Normal 8 5 4 4" xfId="9930" xr:uid="{ED7B20F2-83C6-46DB-884A-4DA74C0DF23E}"/>
    <cellStyle name="Normal 8 5 4 5" xfId="18378" xr:uid="{357B8E14-E090-4052-8D73-1C7986A48AAE}"/>
    <cellStyle name="Normal 8 5 5" xfId="1804" xr:uid="{00000000-0005-0000-0000-00003C1E0000}"/>
    <cellStyle name="Normal 8 5 5 2" xfId="4034" xr:uid="{00000000-0005-0000-0000-00003D1E0000}"/>
    <cellStyle name="Normal 8 5 5 2 2" xfId="8256" xr:uid="{00000000-0005-0000-0000-00003E1E0000}"/>
    <cellStyle name="Normal 8 5 5 2 2 2" xfId="16706" xr:uid="{8597D7C4-88EE-477F-8886-6C9E5BEC4969}"/>
    <cellStyle name="Normal 8 5 5 2 2 3" xfId="25153" xr:uid="{0A7F75DD-E6BE-4C48-8A97-363A2F305F3B}"/>
    <cellStyle name="Normal 8 5 5 2 3" xfId="12488" xr:uid="{DEB9A3DB-E672-4DE5-87F0-FFE8B666F94E}"/>
    <cellStyle name="Normal 8 5 5 2 4" xfId="20936" xr:uid="{73671BC5-9367-4E71-B0B7-4290A8DC0490}"/>
    <cellStyle name="Normal 8 5 5 3" xfId="6111" xr:uid="{00000000-0005-0000-0000-00003F1E0000}"/>
    <cellStyle name="Normal 8 5 5 3 2" xfId="14561" xr:uid="{5BD793E8-A024-4914-A3AE-8175167E834F}"/>
    <cellStyle name="Normal 8 5 5 3 3" xfId="23008" xr:uid="{F58C55FF-42A6-4BC7-A468-BF181F342D5A}"/>
    <cellStyle name="Normal 8 5 5 4" xfId="10343" xr:uid="{99B2453C-3463-4341-A8A4-F6E84618F57D}"/>
    <cellStyle name="Normal 8 5 5 5" xfId="18791" xr:uid="{2B9F1C36-768A-4159-BE44-3AC4A0B2A7C5}"/>
    <cellStyle name="Normal 8 5 6" xfId="2218" xr:uid="{00000000-0005-0000-0000-0000401E0000}"/>
    <cellStyle name="Normal 8 5 6 2" xfId="4447" xr:uid="{00000000-0005-0000-0000-0000411E0000}"/>
    <cellStyle name="Normal 8 5 6 2 2" xfId="8669" xr:uid="{00000000-0005-0000-0000-0000421E0000}"/>
    <cellStyle name="Normal 8 5 6 2 2 2" xfId="17119" xr:uid="{9BE25EBA-A989-4735-93AB-2950FC40BA6E}"/>
    <cellStyle name="Normal 8 5 6 2 2 3" xfId="25566" xr:uid="{E6EB4631-7CEE-4D87-83D7-6722C661C241}"/>
    <cellStyle name="Normal 8 5 6 2 3" xfId="12901" xr:uid="{005F6050-61B1-4597-9324-D0CCAC507FEF}"/>
    <cellStyle name="Normal 8 5 6 2 4" xfId="21349" xr:uid="{71B8C511-4147-47EA-91D7-D4B421A6B37B}"/>
    <cellStyle name="Normal 8 5 6 3" xfId="6524" xr:uid="{00000000-0005-0000-0000-0000431E0000}"/>
    <cellStyle name="Normal 8 5 6 3 2" xfId="14974" xr:uid="{13D9A1BD-858A-449A-B540-BB27CF3DDC41}"/>
    <cellStyle name="Normal 8 5 6 3 3" xfId="23421" xr:uid="{584EAA48-0BC5-49B6-953B-13A6304558A6}"/>
    <cellStyle name="Normal 8 5 6 4" xfId="10756" xr:uid="{D5789DA4-5CE2-48B0-80BB-5356D445BAC1}"/>
    <cellStyle name="Normal 8 5 6 5" xfId="19204" xr:uid="{6536A4A3-F3A3-4042-BB3E-4B4F7E23F549}"/>
    <cellStyle name="Normal 8 5 7" xfId="2654" xr:uid="{00000000-0005-0000-0000-0000441E0000}"/>
    <cellStyle name="Normal 8 5 7 2" xfId="6937" xr:uid="{00000000-0005-0000-0000-0000451E0000}"/>
    <cellStyle name="Normal 8 5 7 2 2" xfId="15387" xr:uid="{86C5BB80-F935-4CDE-B732-5A1EE6C8AEAD}"/>
    <cellStyle name="Normal 8 5 7 2 3" xfId="23834" xr:uid="{FA662CFA-AC97-4F67-AD19-C231B85DFD89}"/>
    <cellStyle name="Normal 8 5 7 3" xfId="11169" xr:uid="{6CE6D7ED-C87F-49F1-93B0-C2EA666844B5}"/>
    <cellStyle name="Normal 8 5 7 4" xfId="19617" xr:uid="{1251D61B-B9F8-4C3A-9A9D-2F3FED24C382}"/>
    <cellStyle name="Normal 8 5 8" xfId="4872" xr:uid="{00000000-0005-0000-0000-0000461E0000}"/>
    <cellStyle name="Normal 8 5 8 2" xfId="13322" xr:uid="{50D2D0C3-B6E1-42FF-B8FD-AC4D27A6BBAE}"/>
    <cellStyle name="Normal 8 5 8 3" xfId="21769" xr:uid="{4024BE15-DC2F-4513-8A79-66FB8158BEF7}"/>
    <cellStyle name="Normal 8 5 9" xfId="9104" xr:uid="{7CC700E3-9769-49FB-B0A4-42A6DD71848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0E8449F1-4423-423B-A35B-9B8A257A437E}"/>
    <cellStyle name="Normal 8 6 2 2 2 3" xfId="24329" xr:uid="{5E1F43D7-09BF-46F8-94CA-63E94BA9B5B6}"/>
    <cellStyle name="Normal 8 6 2 2 3" xfId="11664" xr:uid="{EA1BBAD3-AA82-4C4A-8B4B-D73B5EF42D28}"/>
    <cellStyle name="Normal 8 6 2 2 4" xfId="20112" xr:uid="{672AD7E8-9AFE-4FE6-AC95-9CEA132A9059}"/>
    <cellStyle name="Normal 8 6 2 3" xfId="5287" xr:uid="{00000000-0005-0000-0000-00004B1E0000}"/>
    <cellStyle name="Normal 8 6 2 3 2" xfId="13737" xr:uid="{B88279C6-39E8-417F-B846-40F9264F98CF}"/>
    <cellStyle name="Normal 8 6 2 3 3" xfId="22184" xr:uid="{AACBFC6B-A89F-4201-96D8-A697C6220F54}"/>
    <cellStyle name="Normal 8 6 2 4" xfId="9519" xr:uid="{770EF94D-FC25-48F7-9CD4-77546779D0AC}"/>
    <cellStyle name="Normal 8 6 2 5" xfId="17967" xr:uid="{7ED35FA1-A2D7-42DC-9C9F-5D8537BBBF04}"/>
    <cellStyle name="Normal 8 6 3" xfId="1393" xr:uid="{00000000-0005-0000-0000-00004C1E0000}"/>
    <cellStyle name="Normal 8 6 3 2" xfId="3623" xr:uid="{00000000-0005-0000-0000-00004D1E0000}"/>
    <cellStyle name="Normal 8 6 3 2 2" xfId="7845" xr:uid="{00000000-0005-0000-0000-00004E1E0000}"/>
    <cellStyle name="Normal 8 6 3 2 2 2" xfId="16295" xr:uid="{C5B756C7-229A-4775-9374-93912A735A50}"/>
    <cellStyle name="Normal 8 6 3 2 2 3" xfId="24742" xr:uid="{0C165605-CD19-4338-AF9D-4045E063DFB7}"/>
    <cellStyle name="Normal 8 6 3 2 3" xfId="12077" xr:uid="{D7C81186-CE4F-4712-B26D-CE9C9BA46E59}"/>
    <cellStyle name="Normal 8 6 3 2 4" xfId="20525" xr:uid="{1820E8F2-F6F6-47C8-8A54-00DEFDC0D7F8}"/>
    <cellStyle name="Normal 8 6 3 3" xfId="5700" xr:uid="{00000000-0005-0000-0000-00004F1E0000}"/>
    <cellStyle name="Normal 8 6 3 3 2" xfId="14150" xr:uid="{E7B93DA8-BDCF-46B9-B55D-294508367CE4}"/>
    <cellStyle name="Normal 8 6 3 3 3" xfId="22597" xr:uid="{04DD561F-5D35-46E8-BCCE-363C45C4FEA3}"/>
    <cellStyle name="Normal 8 6 3 4" xfId="9932" xr:uid="{AA0F795F-CBAB-4252-B477-F66B9960070D}"/>
    <cellStyle name="Normal 8 6 3 5" xfId="18380" xr:uid="{24FC882E-CB4A-40F0-9E43-BE345629AB35}"/>
    <cellStyle name="Normal 8 6 4" xfId="1806" xr:uid="{00000000-0005-0000-0000-0000501E0000}"/>
    <cellStyle name="Normal 8 6 4 2" xfId="4036" xr:uid="{00000000-0005-0000-0000-0000511E0000}"/>
    <cellStyle name="Normal 8 6 4 2 2" xfId="8258" xr:uid="{00000000-0005-0000-0000-0000521E0000}"/>
    <cellStyle name="Normal 8 6 4 2 2 2" xfId="16708" xr:uid="{26B5C793-2A01-4F73-85C2-0E240A6E8CA8}"/>
    <cellStyle name="Normal 8 6 4 2 2 3" xfId="25155" xr:uid="{E3AA4BF6-6A99-4F15-A931-7AD147C8A89D}"/>
    <cellStyle name="Normal 8 6 4 2 3" xfId="12490" xr:uid="{7D070992-C054-4B52-9B04-7BECCBD2714E}"/>
    <cellStyle name="Normal 8 6 4 2 4" xfId="20938" xr:uid="{B2FEA631-FBA9-4AE0-ABEA-BE694DBA07DA}"/>
    <cellStyle name="Normal 8 6 4 3" xfId="6113" xr:uid="{00000000-0005-0000-0000-0000531E0000}"/>
    <cellStyle name="Normal 8 6 4 3 2" xfId="14563" xr:uid="{A6CE7086-11D5-4D75-88C8-7E7AAE2A3D7D}"/>
    <cellStyle name="Normal 8 6 4 3 3" xfId="23010" xr:uid="{2C9E035F-DCE0-4D6A-9890-D3E9D5D69FEA}"/>
    <cellStyle name="Normal 8 6 4 4" xfId="10345" xr:uid="{698E6674-24B3-4A71-BA92-28D679A3B194}"/>
    <cellStyle name="Normal 8 6 4 5" xfId="18793" xr:uid="{6E6B4CE8-6659-4DBE-A44E-737CDE414C53}"/>
    <cellStyle name="Normal 8 6 5" xfId="2220" xr:uid="{00000000-0005-0000-0000-0000541E0000}"/>
    <cellStyle name="Normal 8 6 5 2" xfId="4449" xr:uid="{00000000-0005-0000-0000-0000551E0000}"/>
    <cellStyle name="Normal 8 6 5 2 2" xfId="8671" xr:uid="{00000000-0005-0000-0000-0000561E0000}"/>
    <cellStyle name="Normal 8 6 5 2 2 2" xfId="17121" xr:uid="{7B6782E8-9EE1-4934-8528-E0FD21C84443}"/>
    <cellStyle name="Normal 8 6 5 2 2 3" xfId="25568" xr:uid="{FA77695E-D30C-41C2-8DD8-8A658D220C1E}"/>
    <cellStyle name="Normal 8 6 5 2 3" xfId="12903" xr:uid="{207F3923-B034-4724-AD2B-63C61914E085}"/>
    <cellStyle name="Normal 8 6 5 2 4" xfId="21351" xr:uid="{5D7C9A48-C7DD-40A7-B7F1-6686AF3A8323}"/>
    <cellStyle name="Normal 8 6 5 3" xfId="6526" xr:uid="{00000000-0005-0000-0000-0000571E0000}"/>
    <cellStyle name="Normal 8 6 5 3 2" xfId="14976" xr:uid="{18B3741E-E8A8-45FB-B1F5-77A1E185D2B5}"/>
    <cellStyle name="Normal 8 6 5 3 3" xfId="23423" xr:uid="{70012B0C-700B-4BF4-967D-018EF67016C6}"/>
    <cellStyle name="Normal 8 6 5 4" xfId="10758" xr:uid="{B8E501EE-2731-4079-B7B8-B22A553230D2}"/>
    <cellStyle name="Normal 8 6 5 5" xfId="19206" xr:uid="{8D9C2F19-B927-4284-A5FC-65CE9EC33754}"/>
    <cellStyle name="Normal 8 6 6" xfId="2656" xr:uid="{00000000-0005-0000-0000-0000581E0000}"/>
    <cellStyle name="Normal 8 6 6 2" xfId="6939" xr:uid="{00000000-0005-0000-0000-0000591E0000}"/>
    <cellStyle name="Normal 8 6 6 2 2" xfId="15389" xr:uid="{505521FC-B5A1-4100-B8A1-EE05EE019D50}"/>
    <cellStyle name="Normal 8 6 6 2 3" xfId="23836" xr:uid="{3368E1C2-917C-4D68-ADD0-AAADDCD9AB87}"/>
    <cellStyle name="Normal 8 6 6 3" xfId="11171" xr:uid="{F08633A7-9852-43EB-9DD2-DA57770E448C}"/>
    <cellStyle name="Normal 8 6 6 4" xfId="19619" xr:uid="{1B7431EC-D051-4C79-AEDB-8247A5B72AB9}"/>
    <cellStyle name="Normal 8 6 7" xfId="4874" xr:uid="{00000000-0005-0000-0000-00005A1E0000}"/>
    <cellStyle name="Normal 8 6 7 2" xfId="13324" xr:uid="{0CB5D6FE-1249-46CD-AEC1-C1864279F80F}"/>
    <cellStyle name="Normal 8 6 7 3" xfId="21771" xr:uid="{FBF97EB9-F518-4AF9-AC07-5B15C1FDC0A7}"/>
    <cellStyle name="Normal 8 6 8" xfId="9106" xr:uid="{DB81E710-A43E-44BF-99A1-1A7D6C23D963}"/>
    <cellStyle name="Normal 8 6 9" xfId="17554" xr:uid="{61E4D273-6A9F-4974-908E-1FCD90B149A8}"/>
    <cellStyle name="Normal 8 7" xfId="945" xr:uid="{00000000-0005-0000-0000-00005B1E0000}"/>
    <cellStyle name="Normal 8 7 2" xfId="3179" xr:uid="{00000000-0005-0000-0000-00005C1E0000}"/>
    <cellStyle name="Normal 8 7 2 2" xfId="7401" xr:uid="{00000000-0005-0000-0000-00005D1E0000}"/>
    <cellStyle name="Normal 8 7 2 2 2" xfId="15851" xr:uid="{6F761A85-955C-4963-A2D1-628103F8A5D8}"/>
    <cellStyle name="Normal 8 7 2 2 3" xfId="24298" xr:uid="{C8FD4C42-B462-4077-A88C-F231E9CDB09D}"/>
    <cellStyle name="Normal 8 7 2 3" xfId="11633" xr:uid="{509C3104-2525-4210-9992-4AA06A8325D9}"/>
    <cellStyle name="Normal 8 7 2 4" xfId="20081" xr:uid="{1985DAD3-DD2C-4A32-A1DC-F7AD154F4D2F}"/>
    <cellStyle name="Normal 8 7 3" xfId="5256" xr:uid="{00000000-0005-0000-0000-00005E1E0000}"/>
    <cellStyle name="Normal 8 7 3 2" xfId="13706" xr:uid="{C8B8C055-4763-462A-A9F7-787066F5CBA8}"/>
    <cellStyle name="Normal 8 7 3 3" xfId="22153" xr:uid="{53DA890C-E822-4D88-AB32-C367B58C08CC}"/>
    <cellStyle name="Normal 8 7 4" xfId="9488" xr:uid="{877889EC-D072-465F-AE68-C7CD7D36DE26}"/>
    <cellStyle name="Normal 8 7 5" xfId="17936" xr:uid="{4BE28046-856E-4326-B6F0-E2DE943B2216}"/>
    <cellStyle name="Normal 8 8" xfId="1362" xr:uid="{00000000-0005-0000-0000-00005F1E0000}"/>
    <cellStyle name="Normal 8 8 2" xfId="3592" xr:uid="{00000000-0005-0000-0000-0000601E0000}"/>
    <cellStyle name="Normal 8 8 2 2" xfId="7814" xr:uid="{00000000-0005-0000-0000-0000611E0000}"/>
    <cellStyle name="Normal 8 8 2 2 2" xfId="16264" xr:uid="{6308FE8E-E3E5-48A1-90E5-9725B409266F}"/>
    <cellStyle name="Normal 8 8 2 2 3" xfId="24711" xr:uid="{A539963D-20E2-4449-B4D9-FDF577A2C0BD}"/>
    <cellStyle name="Normal 8 8 2 3" xfId="12046" xr:uid="{338C6C18-A7CD-4D61-822F-19BE40280BEA}"/>
    <cellStyle name="Normal 8 8 2 4" xfId="20494" xr:uid="{3E2EE3AE-0BDF-4865-B12B-780945C59A04}"/>
    <cellStyle name="Normal 8 8 3" xfId="5669" xr:uid="{00000000-0005-0000-0000-0000621E0000}"/>
    <cellStyle name="Normal 8 8 3 2" xfId="14119" xr:uid="{CF933D45-EED0-4A99-9F5A-46AAEBEB73D9}"/>
    <cellStyle name="Normal 8 8 3 3" xfId="22566" xr:uid="{2249E500-8641-45B2-B28B-77974C15E220}"/>
    <cellStyle name="Normal 8 8 4" xfId="9901" xr:uid="{9C97395C-18ED-4F51-BCBB-154A4BF65DB6}"/>
    <cellStyle name="Normal 8 8 5" xfId="18349" xr:uid="{14711F9F-150C-41D3-AA84-EED1E6243581}"/>
    <cellStyle name="Normal 8 9" xfId="1775" xr:uid="{00000000-0005-0000-0000-0000631E0000}"/>
    <cellStyle name="Normal 8 9 2" xfId="4005" xr:uid="{00000000-0005-0000-0000-0000641E0000}"/>
    <cellStyle name="Normal 8 9 2 2" xfId="8227" xr:uid="{00000000-0005-0000-0000-0000651E0000}"/>
    <cellStyle name="Normal 8 9 2 2 2" xfId="16677" xr:uid="{136C672D-FE40-46F5-9B67-24ED2FFAF16B}"/>
    <cellStyle name="Normal 8 9 2 2 3" xfId="25124" xr:uid="{B876CD50-F104-4772-8FA0-C2E8A6B6662E}"/>
    <cellStyle name="Normal 8 9 2 3" xfId="12459" xr:uid="{1A7D8908-2764-4FE8-8BA4-2BE8B1A51314}"/>
    <cellStyle name="Normal 8 9 2 4" xfId="20907" xr:uid="{5744F50D-2638-42FC-B144-AE326EC1CBD2}"/>
    <cellStyle name="Normal 8 9 3" xfId="6082" xr:uid="{00000000-0005-0000-0000-0000661E0000}"/>
    <cellStyle name="Normal 8 9 3 2" xfId="14532" xr:uid="{ACC2C0E7-791F-435B-9E86-920EFAE172FE}"/>
    <cellStyle name="Normal 8 9 3 3" xfId="22979" xr:uid="{09A0195C-78C1-4A6A-BCD2-748C3F5A297F}"/>
    <cellStyle name="Normal 8 9 4" xfId="10314" xr:uid="{63BBBCAC-4617-49AC-8E11-BB24AA6506A5}"/>
    <cellStyle name="Normal 8 9 5" xfId="18762" xr:uid="{F178276D-ED5E-4BAE-A5B5-1BB20692501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27133AE2-C80E-4BCF-AE98-5C5D7F3E10CB}"/>
    <cellStyle name="Normal 9 2 10 2 3" xfId="23837" xr:uid="{22F30881-0128-459B-8280-80DA4E76D681}"/>
    <cellStyle name="Normal 9 2 10 3" xfId="11172" xr:uid="{6F3E61B5-5C1D-4CC9-B438-358B8D5B61E6}"/>
    <cellStyle name="Normal 9 2 10 4" xfId="19620" xr:uid="{AED4CC0A-9BC0-4725-8BC1-0405345D2EFD}"/>
    <cellStyle name="Normal 9 2 11" xfId="4875" xr:uid="{00000000-0005-0000-0000-00006B1E0000}"/>
    <cellStyle name="Normal 9 2 11 2" xfId="13325" xr:uid="{3DE1AFC8-CBDA-4E41-ACF5-3BD6DE37ACE1}"/>
    <cellStyle name="Normal 9 2 11 3" xfId="21772" xr:uid="{90C5EB65-ED08-4861-A10C-A703A8921832}"/>
    <cellStyle name="Normal 9 2 12" xfId="9107" xr:uid="{C08C03AF-23F4-4867-8C99-F2A94F7A2AC3}"/>
    <cellStyle name="Normal 9 2 13" xfId="17555" xr:uid="{017BC141-01BF-49EF-BF15-5AB50624F421}"/>
    <cellStyle name="Normal 9 2 2" xfId="512" xr:uid="{00000000-0005-0000-0000-00006C1E0000}"/>
    <cellStyle name="Normal 9 2 2 10" xfId="4876" xr:uid="{00000000-0005-0000-0000-00006D1E0000}"/>
    <cellStyle name="Normal 9 2 2 10 2" xfId="13326" xr:uid="{A5B87DE1-A840-4E36-A881-CD09A40B7FC4}"/>
    <cellStyle name="Normal 9 2 2 10 3" xfId="21773" xr:uid="{15BB3270-392E-49F9-AB63-1C876C96DD63}"/>
    <cellStyle name="Normal 9 2 2 11" xfId="9108" xr:uid="{D88E5E34-9D00-4D3A-AC1D-3F52B5957A5B}"/>
    <cellStyle name="Normal 9 2 2 12" xfId="17556" xr:uid="{18E34F09-1266-4BDA-A832-A3113DCC6356}"/>
    <cellStyle name="Normal 9 2 2 2" xfId="513" xr:uid="{00000000-0005-0000-0000-00006E1E0000}"/>
    <cellStyle name="Normal 9 2 2 2 10" xfId="9109" xr:uid="{A8AED844-5380-4939-B404-36DA65840007}"/>
    <cellStyle name="Normal 9 2 2 2 11" xfId="17557" xr:uid="{BAD9BCAF-58E4-421C-B3E1-94D60C7A1AA9}"/>
    <cellStyle name="Normal 9 2 2 2 2" xfId="514" xr:uid="{00000000-0005-0000-0000-00006F1E0000}"/>
    <cellStyle name="Normal 9 2 2 2 2 10" xfId="17558" xr:uid="{646E3112-CFF8-40BB-9A38-E116CAD7569C}"/>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213EEE6C-B55B-40B3-9317-5201F1FDC0D8}"/>
    <cellStyle name="Normal 9 2 2 2 2 2 2 2 2 3" xfId="24334" xr:uid="{17812E42-525D-490E-B530-CDF069DEE5FD}"/>
    <cellStyle name="Normal 9 2 2 2 2 2 2 2 3" xfId="11669" xr:uid="{EA38598F-0D14-4CF8-99EC-B4F1F62C667C}"/>
    <cellStyle name="Normal 9 2 2 2 2 2 2 2 4" xfId="20117" xr:uid="{2E74E9BA-F739-44ED-A6DE-C4AAADE9D2F5}"/>
    <cellStyle name="Normal 9 2 2 2 2 2 2 3" xfId="5292" xr:uid="{00000000-0005-0000-0000-0000741E0000}"/>
    <cellStyle name="Normal 9 2 2 2 2 2 2 3 2" xfId="13742" xr:uid="{B12608BF-CBE0-426D-911E-42E028FB075C}"/>
    <cellStyle name="Normal 9 2 2 2 2 2 2 3 3" xfId="22189" xr:uid="{5B31895A-F11F-4692-9CF5-D38BF59A5300}"/>
    <cellStyle name="Normal 9 2 2 2 2 2 2 4" xfId="9524" xr:uid="{D51BE363-DE83-4CB1-8794-F0FDD41C2DA5}"/>
    <cellStyle name="Normal 9 2 2 2 2 2 2 5" xfId="17972" xr:uid="{E9799F21-9227-4A25-ABC5-FE4C7B930239}"/>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DA4387C-4525-41C4-8880-D425B737EF0D}"/>
    <cellStyle name="Normal 9 2 2 2 2 2 3 2 2 3" xfId="24747" xr:uid="{705DC1F1-C249-43C0-B4F7-5DC9ED9BF3D8}"/>
    <cellStyle name="Normal 9 2 2 2 2 2 3 2 3" xfId="12082" xr:uid="{D1C92836-756B-4BAF-B3F6-FD713C257884}"/>
    <cellStyle name="Normal 9 2 2 2 2 2 3 2 4" xfId="20530" xr:uid="{CFD59059-CF92-4C93-B12F-03FE3F31D74F}"/>
    <cellStyle name="Normal 9 2 2 2 2 2 3 3" xfId="5705" xr:uid="{00000000-0005-0000-0000-0000781E0000}"/>
    <cellStyle name="Normal 9 2 2 2 2 2 3 3 2" xfId="14155" xr:uid="{834C7E13-5738-4576-8E24-EC33A7C30C1F}"/>
    <cellStyle name="Normal 9 2 2 2 2 2 3 3 3" xfId="22602" xr:uid="{807B3988-13F1-4C71-89FF-BFA7C8E717E2}"/>
    <cellStyle name="Normal 9 2 2 2 2 2 3 4" xfId="9937" xr:uid="{16FF96C5-2D62-4FDA-957B-7E8397047B2F}"/>
    <cellStyle name="Normal 9 2 2 2 2 2 3 5" xfId="18385" xr:uid="{CB9FA515-ADD6-4933-9523-C0DC79EEC10C}"/>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48DD864F-8866-49B4-B70D-890BD225887B}"/>
    <cellStyle name="Normal 9 2 2 2 2 2 4 2 2 3" xfId="25160" xr:uid="{FF3172D9-8D4F-4AAF-8780-DA0E215C47D7}"/>
    <cellStyle name="Normal 9 2 2 2 2 2 4 2 3" xfId="12495" xr:uid="{AA6A98E3-7F88-4864-A542-2A20892C5CA8}"/>
    <cellStyle name="Normal 9 2 2 2 2 2 4 2 4" xfId="20943" xr:uid="{A2CD2401-ED5C-407D-9A02-41750EA86DE5}"/>
    <cellStyle name="Normal 9 2 2 2 2 2 4 3" xfId="6118" xr:uid="{00000000-0005-0000-0000-00007C1E0000}"/>
    <cellStyle name="Normal 9 2 2 2 2 2 4 3 2" xfId="14568" xr:uid="{84009BC0-F961-416A-806C-9B09CA8C38EE}"/>
    <cellStyle name="Normal 9 2 2 2 2 2 4 3 3" xfId="23015" xr:uid="{38E16CEB-F75E-4DC3-8E97-189759C54317}"/>
    <cellStyle name="Normal 9 2 2 2 2 2 4 4" xfId="10350" xr:uid="{5AD0B33B-8AC3-43E2-A5A1-EB1446028FB0}"/>
    <cellStyle name="Normal 9 2 2 2 2 2 4 5" xfId="18798" xr:uid="{1DBA433A-D2C3-4E3C-904B-23DC1FB360B2}"/>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F3C5B6AE-3F52-440C-9104-AAB418CBF169}"/>
    <cellStyle name="Normal 9 2 2 2 2 2 5 2 2 3" xfId="25573" xr:uid="{BF44E406-28ED-49EA-8B99-D632BFA7A1A1}"/>
    <cellStyle name="Normal 9 2 2 2 2 2 5 2 3" xfId="12908" xr:uid="{2EC999CC-D945-4FE2-B16A-35C4326A24AF}"/>
    <cellStyle name="Normal 9 2 2 2 2 2 5 2 4" xfId="21356" xr:uid="{87E43592-9DA5-49EB-AFCD-0C79EDB78A14}"/>
    <cellStyle name="Normal 9 2 2 2 2 2 5 3" xfId="6531" xr:uid="{00000000-0005-0000-0000-0000801E0000}"/>
    <cellStyle name="Normal 9 2 2 2 2 2 5 3 2" xfId="14981" xr:uid="{BB126D4B-16E4-4587-A39F-0C12FE276C8F}"/>
    <cellStyle name="Normal 9 2 2 2 2 2 5 3 3" xfId="23428" xr:uid="{D5973AFB-263A-41EF-9F95-B9B25068D278}"/>
    <cellStyle name="Normal 9 2 2 2 2 2 5 4" xfId="10763" xr:uid="{707AC597-83BD-4131-A669-D19C20D0965F}"/>
    <cellStyle name="Normal 9 2 2 2 2 2 5 5" xfId="19211" xr:uid="{7CE458B4-D818-44D7-A571-D1D37426FEB8}"/>
    <cellStyle name="Normal 9 2 2 2 2 2 6" xfId="2661" xr:uid="{00000000-0005-0000-0000-0000811E0000}"/>
    <cellStyle name="Normal 9 2 2 2 2 2 6 2" xfId="6944" xr:uid="{00000000-0005-0000-0000-0000821E0000}"/>
    <cellStyle name="Normal 9 2 2 2 2 2 6 2 2" xfId="15394" xr:uid="{99BF664A-7C48-4DAC-8790-89195641E8F2}"/>
    <cellStyle name="Normal 9 2 2 2 2 2 6 2 3" xfId="23841" xr:uid="{525D55D7-A951-4CBB-BA0F-313FD4D54A15}"/>
    <cellStyle name="Normal 9 2 2 2 2 2 6 3" xfId="11176" xr:uid="{BB2BB4FD-A6F3-41CF-97F0-AE04B8EE48D9}"/>
    <cellStyle name="Normal 9 2 2 2 2 2 6 4" xfId="19624" xr:uid="{089741A5-1B1D-4F7A-A974-4CF5C49E8EC9}"/>
    <cellStyle name="Normal 9 2 2 2 2 2 7" xfId="4879" xr:uid="{00000000-0005-0000-0000-0000831E0000}"/>
    <cellStyle name="Normal 9 2 2 2 2 2 7 2" xfId="13329" xr:uid="{F6C8423D-743C-4B22-A2C4-DAA20C267570}"/>
    <cellStyle name="Normal 9 2 2 2 2 2 7 3" xfId="21776" xr:uid="{40648DA0-E574-49E4-865D-51A934E4645A}"/>
    <cellStyle name="Normal 9 2 2 2 2 2 8" xfId="9111" xr:uid="{32C75F16-C015-496A-B846-AB417244AC02}"/>
    <cellStyle name="Normal 9 2 2 2 2 2 9" xfId="17559" xr:uid="{10B4AC82-C562-4B90-97B9-1C949FEDF68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FB707455-262F-4868-9D88-04D6807377AC}"/>
    <cellStyle name="Normal 9 2 2 2 2 3 2 2 3" xfId="24333" xr:uid="{292D22CD-35D6-4D62-ABEF-EA7A193C2082}"/>
    <cellStyle name="Normal 9 2 2 2 2 3 2 3" xfId="11668" xr:uid="{2190FC16-38AB-45BB-AC7E-57BFD7E2E64E}"/>
    <cellStyle name="Normal 9 2 2 2 2 3 2 4" xfId="20116" xr:uid="{535BBC9F-B34C-426E-95A9-1DC12BE02B1B}"/>
    <cellStyle name="Normal 9 2 2 2 2 3 3" xfId="5291" xr:uid="{00000000-0005-0000-0000-0000871E0000}"/>
    <cellStyle name="Normal 9 2 2 2 2 3 3 2" xfId="13741" xr:uid="{52C4A836-2AD7-45E2-998C-091FB95DC8B9}"/>
    <cellStyle name="Normal 9 2 2 2 2 3 3 3" xfId="22188" xr:uid="{3C5AABBB-9041-4A2A-8444-E890D7B955BD}"/>
    <cellStyle name="Normal 9 2 2 2 2 3 4" xfId="9523" xr:uid="{F161E72C-DC43-4670-AB93-48E040A96F89}"/>
    <cellStyle name="Normal 9 2 2 2 2 3 5" xfId="17971" xr:uid="{FC59FBCE-1C99-43F4-9516-EF6DEF171D65}"/>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96E26C3C-2BA7-44EA-8342-44EF25898317}"/>
    <cellStyle name="Normal 9 2 2 2 2 4 2 2 3" xfId="24746" xr:uid="{2706E458-AF00-4379-B530-32F88F4DEEBC}"/>
    <cellStyle name="Normal 9 2 2 2 2 4 2 3" xfId="12081" xr:uid="{3C6624B9-CD5E-43AB-89F6-B7DAB4B37CC5}"/>
    <cellStyle name="Normal 9 2 2 2 2 4 2 4" xfId="20529" xr:uid="{02CA98A1-CF34-4A07-84F7-8FC996077444}"/>
    <cellStyle name="Normal 9 2 2 2 2 4 3" xfId="5704" xr:uid="{00000000-0005-0000-0000-00008B1E0000}"/>
    <cellStyle name="Normal 9 2 2 2 2 4 3 2" xfId="14154" xr:uid="{EAFF1366-972F-4CCA-98EE-496D54BEE71D}"/>
    <cellStyle name="Normal 9 2 2 2 2 4 3 3" xfId="22601" xr:uid="{AF969B09-F880-4BA9-BCC3-D43756F4DA79}"/>
    <cellStyle name="Normal 9 2 2 2 2 4 4" xfId="9936" xr:uid="{1CCE2D4E-F570-43A7-8020-F9F10221F407}"/>
    <cellStyle name="Normal 9 2 2 2 2 4 5" xfId="18384" xr:uid="{9FCFD797-2705-4776-9F56-3E09C251D1BE}"/>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CBC98B77-0D5F-4C35-B4E2-2397E76DEC32}"/>
    <cellStyle name="Normal 9 2 2 2 2 5 2 2 3" xfId="25159" xr:uid="{6B29B4E7-7EA1-4207-8613-55808F81C22F}"/>
    <cellStyle name="Normal 9 2 2 2 2 5 2 3" xfId="12494" xr:uid="{34137D3C-27C3-42FD-8B7C-EE91CECC8059}"/>
    <cellStyle name="Normal 9 2 2 2 2 5 2 4" xfId="20942" xr:uid="{97DFEA21-BADA-4A47-9B9F-AAA2108C74EC}"/>
    <cellStyle name="Normal 9 2 2 2 2 5 3" xfId="6117" xr:uid="{00000000-0005-0000-0000-00008F1E0000}"/>
    <cellStyle name="Normal 9 2 2 2 2 5 3 2" xfId="14567" xr:uid="{1F90E53A-C78D-4361-90EB-C1D6F0F06D8C}"/>
    <cellStyle name="Normal 9 2 2 2 2 5 3 3" xfId="23014" xr:uid="{A4BBB21F-CF05-40AE-A6BB-0B5B48B18F5A}"/>
    <cellStyle name="Normal 9 2 2 2 2 5 4" xfId="10349" xr:uid="{AC28E406-6C0E-4900-A9AD-61CDB73087FE}"/>
    <cellStyle name="Normal 9 2 2 2 2 5 5" xfId="18797" xr:uid="{A2293BD1-2392-4A08-8CF1-1C63922E1AE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DDE657C8-28B3-463B-BA2D-4EC1686EA15E}"/>
    <cellStyle name="Normal 9 2 2 2 2 6 2 2 3" xfId="25572" xr:uid="{D10042E0-98AE-42D3-9BE5-DD9379F3A156}"/>
    <cellStyle name="Normal 9 2 2 2 2 6 2 3" xfId="12907" xr:uid="{A0B71C26-481E-4E43-8196-99A35982EA70}"/>
    <cellStyle name="Normal 9 2 2 2 2 6 2 4" xfId="21355" xr:uid="{F74CD04F-BB34-41B0-89BD-3471B569DBA8}"/>
    <cellStyle name="Normal 9 2 2 2 2 6 3" xfId="6530" xr:uid="{00000000-0005-0000-0000-0000931E0000}"/>
    <cellStyle name="Normal 9 2 2 2 2 6 3 2" xfId="14980" xr:uid="{A2799B45-F4D3-46F0-AB19-0143F23330CB}"/>
    <cellStyle name="Normal 9 2 2 2 2 6 3 3" xfId="23427" xr:uid="{D735ADE3-E99D-43E1-8E5A-14538CD5795D}"/>
    <cellStyle name="Normal 9 2 2 2 2 6 4" xfId="10762" xr:uid="{274695BA-6980-4AEA-BDD3-DF588E060CBC}"/>
    <cellStyle name="Normal 9 2 2 2 2 6 5" xfId="19210" xr:uid="{B5D9DC60-CD83-46D1-B32E-4FC4D2A670E5}"/>
    <cellStyle name="Normal 9 2 2 2 2 7" xfId="2660" xr:uid="{00000000-0005-0000-0000-0000941E0000}"/>
    <cellStyle name="Normal 9 2 2 2 2 7 2" xfId="6943" xr:uid="{00000000-0005-0000-0000-0000951E0000}"/>
    <cellStyle name="Normal 9 2 2 2 2 7 2 2" xfId="15393" xr:uid="{691B7B88-AB64-4EBF-9DF7-35519A5A18D4}"/>
    <cellStyle name="Normal 9 2 2 2 2 7 2 3" xfId="23840" xr:uid="{66C8AA0E-DC43-4648-89F8-8E4229AA45A5}"/>
    <cellStyle name="Normal 9 2 2 2 2 7 3" xfId="11175" xr:uid="{36F37A30-F3E4-48B5-9C5D-4A1C1BD7E4A0}"/>
    <cellStyle name="Normal 9 2 2 2 2 7 4" xfId="19623" xr:uid="{7868F37E-6138-4C1E-B72F-0D159C2057BD}"/>
    <cellStyle name="Normal 9 2 2 2 2 8" xfId="4878" xr:uid="{00000000-0005-0000-0000-0000961E0000}"/>
    <cellStyle name="Normal 9 2 2 2 2 8 2" xfId="13328" xr:uid="{09A97082-C16E-42EA-A86F-013F335350AE}"/>
    <cellStyle name="Normal 9 2 2 2 2 8 3" xfId="21775" xr:uid="{BD252358-DD34-4681-96DE-33C4FC73B979}"/>
    <cellStyle name="Normal 9 2 2 2 2 9" xfId="9110" xr:uid="{E74768A4-C8F4-4EF4-BE73-353ECF31FA0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9F820E2-628C-4C77-9998-51354CD1AF60}"/>
    <cellStyle name="Normal 9 2 2 2 3 2 2 2 3" xfId="24335" xr:uid="{FAB57104-5AEF-4EEA-A20C-345669EFDA05}"/>
    <cellStyle name="Normal 9 2 2 2 3 2 2 3" xfId="11670" xr:uid="{69DFF4BF-BC40-4977-B875-1EA4E183613F}"/>
    <cellStyle name="Normal 9 2 2 2 3 2 2 4" xfId="20118" xr:uid="{D9F0E808-0F7B-49DA-9E11-C91BDDBD3E68}"/>
    <cellStyle name="Normal 9 2 2 2 3 2 3" xfId="5293" xr:uid="{00000000-0005-0000-0000-00009B1E0000}"/>
    <cellStyle name="Normal 9 2 2 2 3 2 3 2" xfId="13743" xr:uid="{CABA2AEE-334E-428D-914C-0FC2F70302A0}"/>
    <cellStyle name="Normal 9 2 2 2 3 2 3 3" xfId="22190" xr:uid="{D6C70CDE-1D24-4DD1-A4A8-F9941D334151}"/>
    <cellStyle name="Normal 9 2 2 2 3 2 4" xfId="9525" xr:uid="{DF2364E0-BE36-4152-AB0C-0C55B6066679}"/>
    <cellStyle name="Normal 9 2 2 2 3 2 5" xfId="17973" xr:uid="{C796F7A3-12A9-4401-8210-59B833CEE7D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366D2574-4E0B-4A75-AEBE-5249587A45DF}"/>
    <cellStyle name="Normal 9 2 2 2 3 3 2 2 3" xfId="24748" xr:uid="{B834FC98-98AA-4E28-A8D3-A79089FA62B1}"/>
    <cellStyle name="Normal 9 2 2 2 3 3 2 3" xfId="12083" xr:uid="{D11DD9AE-F2A9-45FD-BD3E-9DE34EB264A4}"/>
    <cellStyle name="Normal 9 2 2 2 3 3 2 4" xfId="20531" xr:uid="{4234E9AA-0459-4924-8CF3-2A3503D2E00A}"/>
    <cellStyle name="Normal 9 2 2 2 3 3 3" xfId="5706" xr:uid="{00000000-0005-0000-0000-00009F1E0000}"/>
    <cellStyle name="Normal 9 2 2 2 3 3 3 2" xfId="14156" xr:uid="{E04FB11F-CAC8-4212-BF53-918DA7C09FBA}"/>
    <cellStyle name="Normal 9 2 2 2 3 3 3 3" xfId="22603" xr:uid="{A721ECD1-E122-43DB-B4CA-FA078404BB9C}"/>
    <cellStyle name="Normal 9 2 2 2 3 3 4" xfId="9938" xr:uid="{C996FFF8-3A77-44B9-9326-8AAA0FD69E73}"/>
    <cellStyle name="Normal 9 2 2 2 3 3 5" xfId="18386" xr:uid="{7A37859D-BBE1-4736-B29D-49C8C3666123}"/>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8D53E343-4DE3-4DE3-9F89-157D0864989C}"/>
    <cellStyle name="Normal 9 2 2 2 3 4 2 2 3" xfId="25161" xr:uid="{98F206F3-63E8-470E-A381-7EBD6E514F31}"/>
    <cellStyle name="Normal 9 2 2 2 3 4 2 3" xfId="12496" xr:uid="{08C26BE0-ADD0-45D7-9542-63A666BB9626}"/>
    <cellStyle name="Normal 9 2 2 2 3 4 2 4" xfId="20944" xr:uid="{0CE82AF2-2DF4-4251-8386-3CF33FF2EC97}"/>
    <cellStyle name="Normal 9 2 2 2 3 4 3" xfId="6119" xr:uid="{00000000-0005-0000-0000-0000A31E0000}"/>
    <cellStyle name="Normal 9 2 2 2 3 4 3 2" xfId="14569" xr:uid="{3234825C-C887-4AA4-8687-471FEC3D2ED2}"/>
    <cellStyle name="Normal 9 2 2 2 3 4 3 3" xfId="23016" xr:uid="{A19573DA-001B-4463-AA30-F0045188CF5D}"/>
    <cellStyle name="Normal 9 2 2 2 3 4 4" xfId="10351" xr:uid="{08868958-EDC6-486E-B008-9BDC561889AF}"/>
    <cellStyle name="Normal 9 2 2 2 3 4 5" xfId="18799" xr:uid="{2A28A739-D6E2-4BCE-B33D-82D4351A8B86}"/>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FBB1DD19-B829-4D73-B362-FFF13FF7EF50}"/>
    <cellStyle name="Normal 9 2 2 2 3 5 2 2 3" xfId="25574" xr:uid="{2E4B7400-7A17-4CB4-9E12-F2E85900DDC8}"/>
    <cellStyle name="Normal 9 2 2 2 3 5 2 3" xfId="12909" xr:uid="{67E44263-5AED-4920-B0FE-E806982CEB1B}"/>
    <cellStyle name="Normal 9 2 2 2 3 5 2 4" xfId="21357" xr:uid="{D062A91D-2F80-4C52-9DA9-B4F86EA588A2}"/>
    <cellStyle name="Normal 9 2 2 2 3 5 3" xfId="6532" xr:uid="{00000000-0005-0000-0000-0000A71E0000}"/>
    <cellStyle name="Normal 9 2 2 2 3 5 3 2" xfId="14982" xr:uid="{149C8606-751D-4790-8479-3214E7D31DB9}"/>
    <cellStyle name="Normal 9 2 2 2 3 5 3 3" xfId="23429" xr:uid="{6D379357-DA89-42F2-AE4B-520EAEB6F6DF}"/>
    <cellStyle name="Normal 9 2 2 2 3 5 4" xfId="10764" xr:uid="{A706A9CC-85C4-4C79-BCF9-497F57E6693C}"/>
    <cellStyle name="Normal 9 2 2 2 3 5 5" xfId="19212" xr:uid="{A134864B-D0D1-4CB1-8E09-2EAE96C8D8D5}"/>
    <cellStyle name="Normal 9 2 2 2 3 6" xfId="2662" xr:uid="{00000000-0005-0000-0000-0000A81E0000}"/>
    <cellStyle name="Normal 9 2 2 2 3 6 2" xfId="6945" xr:uid="{00000000-0005-0000-0000-0000A91E0000}"/>
    <cellStyle name="Normal 9 2 2 2 3 6 2 2" xfId="15395" xr:uid="{6E789F1F-8261-45DA-A20A-DF1E9279643B}"/>
    <cellStyle name="Normal 9 2 2 2 3 6 2 3" xfId="23842" xr:uid="{076579F8-E266-4F8D-9FA0-28792650DBF3}"/>
    <cellStyle name="Normal 9 2 2 2 3 6 3" xfId="11177" xr:uid="{AA8647BC-6274-4147-9A98-D3788A58F56C}"/>
    <cellStyle name="Normal 9 2 2 2 3 6 4" xfId="19625" xr:uid="{4BF071BA-0EA5-4591-B983-3B9CF9B08F97}"/>
    <cellStyle name="Normal 9 2 2 2 3 7" xfId="4880" xr:uid="{00000000-0005-0000-0000-0000AA1E0000}"/>
    <cellStyle name="Normal 9 2 2 2 3 7 2" xfId="13330" xr:uid="{CA1E7C8A-7F0B-4B8E-8D06-B3C10F6C3110}"/>
    <cellStyle name="Normal 9 2 2 2 3 7 3" xfId="21777" xr:uid="{8ADCEFFE-F65E-4C28-9D32-9C2A4B1467CF}"/>
    <cellStyle name="Normal 9 2 2 2 3 8" xfId="9112" xr:uid="{F4CBB2DD-54CB-4253-884B-724C1BB39DDE}"/>
    <cellStyle name="Normal 9 2 2 2 3 9" xfId="17560" xr:uid="{7C83D9C6-3FE0-48EC-86A9-49724CC35104}"/>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87664693-0D50-49F5-9FDA-9722C93E2F7C}"/>
    <cellStyle name="Normal 9 2 2 2 4 2 2 3" xfId="24332" xr:uid="{26D1BAF9-A9EE-4FBA-AFC5-0FD70D0DAC32}"/>
    <cellStyle name="Normal 9 2 2 2 4 2 3" xfId="11667" xr:uid="{F69B69E5-0B30-4EF7-BEFB-F8796CB183A8}"/>
    <cellStyle name="Normal 9 2 2 2 4 2 4" xfId="20115" xr:uid="{D3CB0228-C796-43B1-B1AB-81DCA0D16F7D}"/>
    <cellStyle name="Normal 9 2 2 2 4 3" xfId="5290" xr:uid="{00000000-0005-0000-0000-0000AE1E0000}"/>
    <cellStyle name="Normal 9 2 2 2 4 3 2" xfId="13740" xr:uid="{5CB72DD7-BF70-4F20-A66E-BDE8AC974CBB}"/>
    <cellStyle name="Normal 9 2 2 2 4 3 3" xfId="22187" xr:uid="{7FEA78FB-DCB4-4827-9A85-C3424E59974C}"/>
    <cellStyle name="Normal 9 2 2 2 4 4" xfId="9522" xr:uid="{4F138A9B-2CF6-4EF2-97FF-8DF292687DE5}"/>
    <cellStyle name="Normal 9 2 2 2 4 5" xfId="17970" xr:uid="{D97FCB6C-9755-4EF4-8F39-090F6B31CC44}"/>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1299136A-8299-4A0D-A1C9-982A545D5F8E}"/>
    <cellStyle name="Normal 9 2 2 2 5 2 2 3" xfId="24745" xr:uid="{49DDF49C-67FD-4935-BFA4-400CBC7CC9D9}"/>
    <cellStyle name="Normal 9 2 2 2 5 2 3" xfId="12080" xr:uid="{0E033227-7EB5-4EC5-9113-63DA5815ECA1}"/>
    <cellStyle name="Normal 9 2 2 2 5 2 4" xfId="20528" xr:uid="{9F82332E-7EB1-4B50-AD9A-E47D2FF0C8B2}"/>
    <cellStyle name="Normal 9 2 2 2 5 3" xfId="5703" xr:uid="{00000000-0005-0000-0000-0000B21E0000}"/>
    <cellStyle name="Normal 9 2 2 2 5 3 2" xfId="14153" xr:uid="{227E46C7-DD76-4DEB-A8F1-F4DD9ED1421A}"/>
    <cellStyle name="Normal 9 2 2 2 5 3 3" xfId="22600" xr:uid="{86C47CAB-30B1-48D6-A8C5-398C683B93B3}"/>
    <cellStyle name="Normal 9 2 2 2 5 4" xfId="9935" xr:uid="{8D5D620E-B0A1-4A57-A674-4879CF27C4DD}"/>
    <cellStyle name="Normal 9 2 2 2 5 5" xfId="18383" xr:uid="{920F48BB-2E52-4965-AEAC-36456C7E6F7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85A66C45-D3D4-4A2C-968E-60C862FC6047}"/>
    <cellStyle name="Normal 9 2 2 2 6 2 2 3" xfId="25158" xr:uid="{102B0D5F-9AD3-47A1-91A0-BD29B7213457}"/>
    <cellStyle name="Normal 9 2 2 2 6 2 3" xfId="12493" xr:uid="{43BA979F-88EA-4802-9B52-FEE21FEFDE1B}"/>
    <cellStyle name="Normal 9 2 2 2 6 2 4" xfId="20941" xr:uid="{46514840-6B72-44F0-9127-BE8FF0F01575}"/>
    <cellStyle name="Normal 9 2 2 2 6 3" xfId="6116" xr:uid="{00000000-0005-0000-0000-0000B61E0000}"/>
    <cellStyle name="Normal 9 2 2 2 6 3 2" xfId="14566" xr:uid="{C56F4590-6EC4-4A45-A571-70292B026848}"/>
    <cellStyle name="Normal 9 2 2 2 6 3 3" xfId="23013" xr:uid="{C4C1B91D-71CF-44F4-B443-6A22DD8C3519}"/>
    <cellStyle name="Normal 9 2 2 2 6 4" xfId="10348" xr:uid="{160C05C3-4B8A-4CD5-B2DA-0E06A9EC4E43}"/>
    <cellStyle name="Normal 9 2 2 2 6 5" xfId="18796" xr:uid="{A2D5DE46-A5B2-46D4-8367-1813B7BF8B6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7EA6153F-ACEB-40CA-BE3D-045A079E38C1}"/>
    <cellStyle name="Normal 9 2 2 2 7 2 2 3" xfId="25571" xr:uid="{1DE4BE53-2B97-4ED9-8154-D378720E30B8}"/>
    <cellStyle name="Normal 9 2 2 2 7 2 3" xfId="12906" xr:uid="{6E824CB6-F363-40BD-A1B0-BDA129CDCDF8}"/>
    <cellStyle name="Normal 9 2 2 2 7 2 4" xfId="21354" xr:uid="{D14C8AFA-2E5E-4523-BE70-F8A4FD9058F7}"/>
    <cellStyle name="Normal 9 2 2 2 7 3" xfId="6529" xr:uid="{00000000-0005-0000-0000-0000BA1E0000}"/>
    <cellStyle name="Normal 9 2 2 2 7 3 2" xfId="14979" xr:uid="{A0644C39-FEA8-4C2D-B6F5-2956667F8972}"/>
    <cellStyle name="Normal 9 2 2 2 7 3 3" xfId="23426" xr:uid="{4B8AEB18-6CA9-431D-AB6F-ABB40D4BD7B8}"/>
    <cellStyle name="Normal 9 2 2 2 7 4" xfId="10761" xr:uid="{0D066685-83E4-4830-B56D-571A44FC1C1C}"/>
    <cellStyle name="Normal 9 2 2 2 7 5" xfId="19209" xr:uid="{7FC8EB52-97CA-495C-87D9-E552F54BAB9E}"/>
    <cellStyle name="Normal 9 2 2 2 8" xfId="2659" xr:uid="{00000000-0005-0000-0000-0000BB1E0000}"/>
    <cellStyle name="Normal 9 2 2 2 8 2" xfId="6942" xr:uid="{00000000-0005-0000-0000-0000BC1E0000}"/>
    <cellStyle name="Normal 9 2 2 2 8 2 2" xfId="15392" xr:uid="{3136E6D9-74AD-4D66-A287-A3ED8E12B5CB}"/>
    <cellStyle name="Normal 9 2 2 2 8 2 3" xfId="23839" xr:uid="{67192CB6-A617-4C58-BB9A-88CCB91FB299}"/>
    <cellStyle name="Normal 9 2 2 2 8 3" xfId="11174" xr:uid="{7B2B6345-C2D2-4783-ACA7-ACCD5DA8D3BD}"/>
    <cellStyle name="Normal 9 2 2 2 8 4" xfId="19622" xr:uid="{A40F868A-81DD-4358-BA5C-EF6149FF7AED}"/>
    <cellStyle name="Normal 9 2 2 2 9" xfId="4877" xr:uid="{00000000-0005-0000-0000-0000BD1E0000}"/>
    <cellStyle name="Normal 9 2 2 2 9 2" xfId="13327" xr:uid="{B4531F6F-C518-42EC-91D0-727F1891C311}"/>
    <cellStyle name="Normal 9 2 2 2 9 3" xfId="21774" xr:uid="{3E872D8D-5F53-4876-80E2-85FCE7DCC003}"/>
    <cellStyle name="Normal 9 2 2 3" xfId="517" xr:uid="{00000000-0005-0000-0000-0000BE1E0000}"/>
    <cellStyle name="Normal 9 2 2 3 10" xfId="17561" xr:uid="{7E5AAEA3-CE3C-42CE-BC98-65F110734464}"/>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C7EEE221-5185-483B-858D-28C3C64D98A7}"/>
    <cellStyle name="Normal 9 2 2 3 2 2 2 2 3" xfId="24337" xr:uid="{1C11D888-EBC2-46A0-BB35-593E4A6A70AC}"/>
    <cellStyle name="Normal 9 2 2 3 2 2 2 3" xfId="11672" xr:uid="{64DFA5BB-91A2-4578-B7F7-CAD9432FFBB0}"/>
    <cellStyle name="Normal 9 2 2 3 2 2 2 4" xfId="20120" xr:uid="{01297AA3-EB8A-40E8-9661-83BD18C1933F}"/>
    <cellStyle name="Normal 9 2 2 3 2 2 3" xfId="5295" xr:uid="{00000000-0005-0000-0000-0000C31E0000}"/>
    <cellStyle name="Normal 9 2 2 3 2 2 3 2" xfId="13745" xr:uid="{A816FDF0-6271-41DD-9969-89FD3CEA7FF4}"/>
    <cellStyle name="Normal 9 2 2 3 2 2 3 3" xfId="22192" xr:uid="{2F817401-9996-4B61-A097-11ACA5617882}"/>
    <cellStyle name="Normal 9 2 2 3 2 2 4" xfId="9527" xr:uid="{D36490FB-BF9E-4053-8705-6BBCFCE11E57}"/>
    <cellStyle name="Normal 9 2 2 3 2 2 5" xfId="17975" xr:uid="{A514B632-989F-46AF-B4D4-EBC2AEDC27A5}"/>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225DF901-A589-49CD-86C1-A89092AF2715}"/>
    <cellStyle name="Normal 9 2 2 3 2 3 2 2 3" xfId="24750" xr:uid="{5D3369AB-E443-4496-861A-CD08678609EB}"/>
    <cellStyle name="Normal 9 2 2 3 2 3 2 3" xfId="12085" xr:uid="{801BB912-464E-4903-B8A2-2FA7B6A18295}"/>
    <cellStyle name="Normal 9 2 2 3 2 3 2 4" xfId="20533" xr:uid="{90ABDA0E-C37D-45F5-BF69-5241B6C536C5}"/>
    <cellStyle name="Normal 9 2 2 3 2 3 3" xfId="5708" xr:uid="{00000000-0005-0000-0000-0000C71E0000}"/>
    <cellStyle name="Normal 9 2 2 3 2 3 3 2" xfId="14158" xr:uid="{3F6DD53D-7FC2-419D-BD18-DD90833F7011}"/>
    <cellStyle name="Normal 9 2 2 3 2 3 3 3" xfId="22605" xr:uid="{6D699807-CA17-46B1-85C9-A1497F4A08B4}"/>
    <cellStyle name="Normal 9 2 2 3 2 3 4" xfId="9940" xr:uid="{C3CF0FA2-A17C-4657-AE55-698378E96CBE}"/>
    <cellStyle name="Normal 9 2 2 3 2 3 5" xfId="18388" xr:uid="{B835A4B0-F624-4D90-8010-F10DDEB008BE}"/>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6901F312-083A-48E9-919D-D9B45C6BE2C2}"/>
    <cellStyle name="Normal 9 2 2 3 2 4 2 2 3" xfId="25163" xr:uid="{677D3D38-489F-40BC-BDC5-DA22CBCC8E43}"/>
    <cellStyle name="Normal 9 2 2 3 2 4 2 3" xfId="12498" xr:uid="{9D51CDC0-4F3F-4CA4-AA35-575D0B389747}"/>
    <cellStyle name="Normal 9 2 2 3 2 4 2 4" xfId="20946" xr:uid="{F8CC5706-8B22-4AFA-B1C3-1BA01CDBE243}"/>
    <cellStyle name="Normal 9 2 2 3 2 4 3" xfId="6121" xr:uid="{00000000-0005-0000-0000-0000CB1E0000}"/>
    <cellStyle name="Normal 9 2 2 3 2 4 3 2" xfId="14571" xr:uid="{178BCB9B-CF66-4445-9D4C-82F0110BCAFF}"/>
    <cellStyle name="Normal 9 2 2 3 2 4 3 3" xfId="23018" xr:uid="{C87AAE85-3AE4-4F80-B5CD-AC0CDE64FD5E}"/>
    <cellStyle name="Normal 9 2 2 3 2 4 4" xfId="10353" xr:uid="{6C2A9A7A-1E84-4CD7-B77C-0AC0FFBFE5F0}"/>
    <cellStyle name="Normal 9 2 2 3 2 4 5" xfId="18801" xr:uid="{FC89BA32-8ADC-47CC-A816-427461BEF1A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461C1753-A862-444C-91A2-ECAE35D3E186}"/>
    <cellStyle name="Normal 9 2 2 3 2 5 2 2 3" xfId="25576" xr:uid="{78E915D0-540F-4B9D-992E-31B84D2CE297}"/>
    <cellStyle name="Normal 9 2 2 3 2 5 2 3" xfId="12911" xr:uid="{DA1A028B-30D1-4F69-B13A-CDD49F0FB8C0}"/>
    <cellStyle name="Normal 9 2 2 3 2 5 2 4" xfId="21359" xr:uid="{C716AA15-D592-4552-B943-369436FF8902}"/>
    <cellStyle name="Normal 9 2 2 3 2 5 3" xfId="6534" xr:uid="{00000000-0005-0000-0000-0000CF1E0000}"/>
    <cellStyle name="Normal 9 2 2 3 2 5 3 2" xfId="14984" xr:uid="{DD4BBE26-EF1F-4A4F-A03B-BA809538C9ED}"/>
    <cellStyle name="Normal 9 2 2 3 2 5 3 3" xfId="23431" xr:uid="{1C083CD8-63C3-4056-8262-6BEC3C211624}"/>
    <cellStyle name="Normal 9 2 2 3 2 5 4" xfId="10766" xr:uid="{DEE9C70A-DD0C-452F-AA04-B88A01DAB01C}"/>
    <cellStyle name="Normal 9 2 2 3 2 5 5" xfId="19214" xr:uid="{92DE1748-FAB5-404C-A93B-2769A25CC9EE}"/>
    <cellStyle name="Normal 9 2 2 3 2 6" xfId="2664" xr:uid="{00000000-0005-0000-0000-0000D01E0000}"/>
    <cellStyle name="Normal 9 2 2 3 2 6 2" xfId="6947" xr:uid="{00000000-0005-0000-0000-0000D11E0000}"/>
    <cellStyle name="Normal 9 2 2 3 2 6 2 2" xfId="15397" xr:uid="{8EF9B4AF-8942-4AF3-9E1D-E8E3DF9FFF70}"/>
    <cellStyle name="Normal 9 2 2 3 2 6 2 3" xfId="23844" xr:uid="{485519B3-FC2A-4D0B-962A-571A058D099C}"/>
    <cellStyle name="Normal 9 2 2 3 2 6 3" xfId="11179" xr:uid="{9D8272AD-1325-4CCD-9D5B-E3EE6F2AC52E}"/>
    <cellStyle name="Normal 9 2 2 3 2 6 4" xfId="19627" xr:uid="{1936BB71-25CE-45A5-8029-3A283D061385}"/>
    <cellStyle name="Normal 9 2 2 3 2 7" xfId="4882" xr:uid="{00000000-0005-0000-0000-0000D21E0000}"/>
    <cellStyle name="Normal 9 2 2 3 2 7 2" xfId="13332" xr:uid="{46673F7A-C368-4BC3-9BA5-99AD57031A5E}"/>
    <cellStyle name="Normal 9 2 2 3 2 7 3" xfId="21779" xr:uid="{4AE03A34-28A3-4719-9ECB-14BB6AE5C80A}"/>
    <cellStyle name="Normal 9 2 2 3 2 8" xfId="9114" xr:uid="{B40E6E8D-7E15-4A19-A5A0-C6BC28E93DF5}"/>
    <cellStyle name="Normal 9 2 2 3 2 9" xfId="17562" xr:uid="{7A91BEAB-8714-4F78-B1CD-73FE876263A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5ED522D6-0C88-4D92-9D40-179C59DA0604}"/>
    <cellStyle name="Normal 9 2 2 3 3 2 2 3" xfId="24336" xr:uid="{3A18B8D6-5E9E-4F0E-9689-CD49714C0FDA}"/>
    <cellStyle name="Normal 9 2 2 3 3 2 3" xfId="11671" xr:uid="{EBF819E5-C8C4-4D4B-BE2C-18DA1AC792D8}"/>
    <cellStyle name="Normal 9 2 2 3 3 2 4" xfId="20119" xr:uid="{EE7A86B3-D0F4-47AD-AE1D-DE345B16D200}"/>
    <cellStyle name="Normal 9 2 2 3 3 3" xfId="5294" xr:uid="{00000000-0005-0000-0000-0000D61E0000}"/>
    <cellStyle name="Normal 9 2 2 3 3 3 2" xfId="13744" xr:uid="{7A4ABA03-B459-43FA-BBC0-DEF9F67F72F1}"/>
    <cellStyle name="Normal 9 2 2 3 3 3 3" xfId="22191" xr:uid="{E5B9357C-7C7E-4E9B-AC0F-7BE3E412C05B}"/>
    <cellStyle name="Normal 9 2 2 3 3 4" xfId="9526" xr:uid="{9CC54552-5D8C-4940-99EB-CF7D8089E41B}"/>
    <cellStyle name="Normal 9 2 2 3 3 5" xfId="17974" xr:uid="{576F7159-1DB2-401F-8B7E-3F3EBE7490C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8FCAA7F3-6C66-49F4-8019-20FDB65BF0DF}"/>
    <cellStyle name="Normal 9 2 2 3 4 2 2 3" xfId="24749" xr:uid="{90A20647-87C8-49AD-BFF0-440DB915F4B6}"/>
    <cellStyle name="Normal 9 2 2 3 4 2 3" xfId="12084" xr:uid="{C4B29BF3-4EE8-4E43-8D50-7D7DDF6FEB79}"/>
    <cellStyle name="Normal 9 2 2 3 4 2 4" xfId="20532" xr:uid="{9C67336C-ED6E-4B46-BFD9-B28DC90D2CD3}"/>
    <cellStyle name="Normal 9 2 2 3 4 3" xfId="5707" xr:uid="{00000000-0005-0000-0000-0000DA1E0000}"/>
    <cellStyle name="Normal 9 2 2 3 4 3 2" xfId="14157" xr:uid="{C24A1CA5-2EF3-4F09-8366-3D6F8EF20682}"/>
    <cellStyle name="Normal 9 2 2 3 4 3 3" xfId="22604" xr:uid="{A1D05541-7333-4613-B12E-01CC4F0AC0D8}"/>
    <cellStyle name="Normal 9 2 2 3 4 4" xfId="9939" xr:uid="{7A3B5C32-8D49-4AFF-AC69-5D7D2FD55A22}"/>
    <cellStyle name="Normal 9 2 2 3 4 5" xfId="18387" xr:uid="{33BFB58E-4B85-4056-91DE-9AC762F7F48D}"/>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4265038F-06E4-4BB0-A7D5-5527CCE332CB}"/>
    <cellStyle name="Normal 9 2 2 3 5 2 2 3" xfId="25162" xr:uid="{39AB42BC-4337-42D8-813A-7223E58CDE54}"/>
    <cellStyle name="Normal 9 2 2 3 5 2 3" xfId="12497" xr:uid="{9645C6DF-1D15-4E68-84D3-23B6B24B63E1}"/>
    <cellStyle name="Normal 9 2 2 3 5 2 4" xfId="20945" xr:uid="{894F943B-F997-463B-B07D-4C390248C7C1}"/>
    <cellStyle name="Normal 9 2 2 3 5 3" xfId="6120" xr:uid="{00000000-0005-0000-0000-0000DE1E0000}"/>
    <cellStyle name="Normal 9 2 2 3 5 3 2" xfId="14570" xr:uid="{43DDE0F4-E2A7-4020-ACCA-29FD8C05F4D7}"/>
    <cellStyle name="Normal 9 2 2 3 5 3 3" xfId="23017" xr:uid="{96399FCC-BB5E-4EF3-BFF5-DFD57436765C}"/>
    <cellStyle name="Normal 9 2 2 3 5 4" xfId="10352" xr:uid="{749691D5-5885-4A85-A6B7-559B489509B9}"/>
    <cellStyle name="Normal 9 2 2 3 5 5" xfId="18800" xr:uid="{6F4B8D38-2566-4C83-8683-0E908CF980E9}"/>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3D95B6A8-F1E0-4206-AF3C-5D2A52D7B34C}"/>
    <cellStyle name="Normal 9 2 2 3 6 2 2 3" xfId="25575" xr:uid="{DC59EB61-77BA-472F-BA83-D41D4C77305B}"/>
    <cellStyle name="Normal 9 2 2 3 6 2 3" xfId="12910" xr:uid="{DA44B6C6-D03E-430F-B411-0D90EB879903}"/>
    <cellStyle name="Normal 9 2 2 3 6 2 4" xfId="21358" xr:uid="{6AC481A7-459C-4C72-966A-5F27509655B2}"/>
    <cellStyle name="Normal 9 2 2 3 6 3" xfId="6533" xr:uid="{00000000-0005-0000-0000-0000E21E0000}"/>
    <cellStyle name="Normal 9 2 2 3 6 3 2" xfId="14983" xr:uid="{557C4234-4BED-41D8-B761-8595C52F1AE2}"/>
    <cellStyle name="Normal 9 2 2 3 6 3 3" xfId="23430" xr:uid="{CC910716-C3F3-42B3-8475-77BF33EA0EF8}"/>
    <cellStyle name="Normal 9 2 2 3 6 4" xfId="10765" xr:uid="{9683DDF2-C843-4D94-8A04-1F716DBF4EC4}"/>
    <cellStyle name="Normal 9 2 2 3 6 5" xfId="19213" xr:uid="{9DFCA6B5-9987-4D81-8861-6F8E36C3A326}"/>
    <cellStyle name="Normal 9 2 2 3 7" xfId="2663" xr:uid="{00000000-0005-0000-0000-0000E31E0000}"/>
    <cellStyle name="Normal 9 2 2 3 7 2" xfId="6946" xr:uid="{00000000-0005-0000-0000-0000E41E0000}"/>
    <cellStyle name="Normal 9 2 2 3 7 2 2" xfId="15396" xr:uid="{146694E0-155F-4DC4-A4F2-5E55E46475EA}"/>
    <cellStyle name="Normal 9 2 2 3 7 2 3" xfId="23843" xr:uid="{685C1596-AAD5-4FEB-9E67-42C5E8A6F797}"/>
    <cellStyle name="Normal 9 2 2 3 7 3" xfId="11178" xr:uid="{4FED8AEF-A368-41AB-A372-9FA943787EB7}"/>
    <cellStyle name="Normal 9 2 2 3 7 4" xfId="19626" xr:uid="{87386747-8A1A-4D6D-9ED5-7794D05689EA}"/>
    <cellStyle name="Normal 9 2 2 3 8" xfId="4881" xr:uid="{00000000-0005-0000-0000-0000E51E0000}"/>
    <cellStyle name="Normal 9 2 2 3 8 2" xfId="13331" xr:uid="{637F5E11-9E34-4B02-A251-982B6B4899D3}"/>
    <cellStyle name="Normal 9 2 2 3 8 3" xfId="21778" xr:uid="{4B969D0C-3980-491A-8ADB-560A6181B82B}"/>
    <cellStyle name="Normal 9 2 2 3 9" xfId="9113" xr:uid="{4931C7F9-3F5C-4BEE-BDCE-CF3E39F355C7}"/>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3940B992-BAD6-429F-B0E8-231A2CA7FD38}"/>
    <cellStyle name="Normal 9 2 2 4 2 2 2 3" xfId="24338" xr:uid="{7B8DCA0E-D480-4A25-89CD-BEA74DDBD56F}"/>
    <cellStyle name="Normal 9 2 2 4 2 2 3" xfId="11673" xr:uid="{C619437B-AD05-4DAF-949D-9817530F9CD9}"/>
    <cellStyle name="Normal 9 2 2 4 2 2 4" xfId="20121" xr:uid="{1ECD6767-8DDD-4329-B082-7651B0AE47DE}"/>
    <cellStyle name="Normal 9 2 2 4 2 3" xfId="5296" xr:uid="{00000000-0005-0000-0000-0000EA1E0000}"/>
    <cellStyle name="Normal 9 2 2 4 2 3 2" xfId="13746" xr:uid="{60B675E9-1175-42C5-924B-4EC3FB4571F1}"/>
    <cellStyle name="Normal 9 2 2 4 2 3 3" xfId="22193" xr:uid="{B47AE49F-06DF-4304-B0FC-3C20BA094966}"/>
    <cellStyle name="Normal 9 2 2 4 2 4" xfId="9528" xr:uid="{54777A0B-655B-4732-8881-86BEE60449BB}"/>
    <cellStyle name="Normal 9 2 2 4 2 5" xfId="17976" xr:uid="{5A8FDA44-D6A1-440B-B32B-14C55FFF13BB}"/>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F5B19C61-F743-4C65-86EF-0E80378180AB}"/>
    <cellStyle name="Normal 9 2 2 4 3 2 2 3" xfId="24751" xr:uid="{47268134-9FD2-4EA0-8D64-8B7CFAE61A90}"/>
    <cellStyle name="Normal 9 2 2 4 3 2 3" xfId="12086" xr:uid="{BC476485-9BE4-44BC-86AC-8963D77E7DBD}"/>
    <cellStyle name="Normal 9 2 2 4 3 2 4" xfId="20534" xr:uid="{83B5CB04-D2C8-42CA-96E9-D3724CD1A6F1}"/>
    <cellStyle name="Normal 9 2 2 4 3 3" xfId="5709" xr:uid="{00000000-0005-0000-0000-0000EE1E0000}"/>
    <cellStyle name="Normal 9 2 2 4 3 3 2" xfId="14159" xr:uid="{188BD680-876C-4350-A988-297AB8C368FC}"/>
    <cellStyle name="Normal 9 2 2 4 3 3 3" xfId="22606" xr:uid="{4595D488-6475-4483-9402-C601FB1A37FA}"/>
    <cellStyle name="Normal 9 2 2 4 3 4" xfId="9941" xr:uid="{00B31D2A-D2F2-48AE-930C-4957BD229335}"/>
    <cellStyle name="Normal 9 2 2 4 3 5" xfId="18389" xr:uid="{5B7D0C05-459C-4C3A-B201-087BB0FAA8E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C967DFB8-669E-4240-AEE6-84F6C0325441}"/>
    <cellStyle name="Normal 9 2 2 4 4 2 2 3" xfId="25164" xr:uid="{2ECBEDC9-4B9A-436B-9DE9-C996FCBE207D}"/>
    <cellStyle name="Normal 9 2 2 4 4 2 3" xfId="12499" xr:uid="{C6D013BE-CCAA-4186-B1C4-E1820DAF8165}"/>
    <cellStyle name="Normal 9 2 2 4 4 2 4" xfId="20947" xr:uid="{1228D182-5933-4D27-A853-D8359B0B54BE}"/>
    <cellStyle name="Normal 9 2 2 4 4 3" xfId="6122" xr:uid="{00000000-0005-0000-0000-0000F21E0000}"/>
    <cellStyle name="Normal 9 2 2 4 4 3 2" xfId="14572" xr:uid="{08B0DE87-EB2F-4891-931C-F97B19591764}"/>
    <cellStyle name="Normal 9 2 2 4 4 3 3" xfId="23019" xr:uid="{25EAFA63-215E-4D75-8FE2-A70E184C67DA}"/>
    <cellStyle name="Normal 9 2 2 4 4 4" xfId="10354" xr:uid="{3DF58550-4C7B-42E1-B7F4-86A3987270B3}"/>
    <cellStyle name="Normal 9 2 2 4 4 5" xfId="18802" xr:uid="{E6A7757E-3600-4BBF-B75E-BB5C8B9FF1B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8B1DA791-695E-4D28-8A99-4DC64A22AE3E}"/>
    <cellStyle name="Normal 9 2 2 4 5 2 2 3" xfId="25577" xr:uid="{4DD8F0F6-4AAD-42D6-AA78-6668F88463E3}"/>
    <cellStyle name="Normal 9 2 2 4 5 2 3" xfId="12912" xr:uid="{1EC436A8-F1F2-4ABF-A7A6-29F598DCFDD6}"/>
    <cellStyle name="Normal 9 2 2 4 5 2 4" xfId="21360" xr:uid="{00545A79-0997-4FDD-8C4B-4EAB06D0BF9F}"/>
    <cellStyle name="Normal 9 2 2 4 5 3" xfId="6535" xr:uid="{00000000-0005-0000-0000-0000F61E0000}"/>
    <cellStyle name="Normal 9 2 2 4 5 3 2" xfId="14985" xr:uid="{0E85CB7D-4694-4FFD-B9DF-5FD5B56418DD}"/>
    <cellStyle name="Normal 9 2 2 4 5 3 3" xfId="23432" xr:uid="{CF07F126-22F4-4A47-9AC3-BBDBA64387D3}"/>
    <cellStyle name="Normal 9 2 2 4 5 4" xfId="10767" xr:uid="{48146C8F-BCA6-4884-B259-6E6DEA2EDE5B}"/>
    <cellStyle name="Normal 9 2 2 4 5 5" xfId="19215" xr:uid="{DE536C2E-1C27-4C3C-AE32-F9047DFA208C}"/>
    <cellStyle name="Normal 9 2 2 4 6" xfId="2665" xr:uid="{00000000-0005-0000-0000-0000F71E0000}"/>
    <cellStyle name="Normal 9 2 2 4 6 2" xfId="6948" xr:uid="{00000000-0005-0000-0000-0000F81E0000}"/>
    <cellStyle name="Normal 9 2 2 4 6 2 2" xfId="15398" xr:uid="{711D39DD-EAE9-4FEE-A453-66EEB20A5801}"/>
    <cellStyle name="Normal 9 2 2 4 6 2 3" xfId="23845" xr:uid="{C4DC1D92-D082-475A-BD7D-20056859BD4E}"/>
    <cellStyle name="Normal 9 2 2 4 6 3" xfId="11180" xr:uid="{9C194EB4-C58B-4822-A430-D6CE5FD44493}"/>
    <cellStyle name="Normal 9 2 2 4 6 4" xfId="19628" xr:uid="{3677175D-2C28-45E4-B55E-EB9D04C10D65}"/>
    <cellStyle name="Normal 9 2 2 4 7" xfId="4883" xr:uid="{00000000-0005-0000-0000-0000F91E0000}"/>
    <cellStyle name="Normal 9 2 2 4 7 2" xfId="13333" xr:uid="{F0DB6404-37DB-401A-B10E-B8200069A39A}"/>
    <cellStyle name="Normal 9 2 2 4 7 3" xfId="21780" xr:uid="{D04E6AF3-A8DA-4F7E-ACEA-98587F394476}"/>
    <cellStyle name="Normal 9 2 2 4 8" xfId="9115" xr:uid="{1F253F35-A01A-4E91-9C2E-983462AFC0CA}"/>
    <cellStyle name="Normal 9 2 2 4 9" xfId="17563" xr:uid="{369D8D70-FF9C-4DF2-A48E-18E3437CC289}"/>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4180E74B-2B6B-4A13-975E-F6B4D6C10E05}"/>
    <cellStyle name="Normal 9 2 2 5 2 2 3" xfId="24331" xr:uid="{5325DA72-2FAB-47D7-80A3-0236BEF178F6}"/>
    <cellStyle name="Normal 9 2 2 5 2 3" xfId="11666" xr:uid="{7BF47456-280B-4A40-844D-C780D31DDE28}"/>
    <cellStyle name="Normal 9 2 2 5 2 4" xfId="20114" xr:uid="{8A445BD4-01A1-48AB-B546-214476241252}"/>
    <cellStyle name="Normal 9 2 2 5 3" xfId="5289" xr:uid="{00000000-0005-0000-0000-0000FD1E0000}"/>
    <cellStyle name="Normal 9 2 2 5 3 2" xfId="13739" xr:uid="{5A0CC3F0-7F62-497B-A29E-2771B81B5571}"/>
    <cellStyle name="Normal 9 2 2 5 3 3" xfId="22186" xr:uid="{860727CC-8E42-42BD-B6D3-C5DB646004AD}"/>
    <cellStyle name="Normal 9 2 2 5 4" xfId="9521" xr:uid="{9F05FAB5-2060-4D9B-AF99-DEEE8A5AAED4}"/>
    <cellStyle name="Normal 9 2 2 5 5" xfId="17969" xr:uid="{7F1B9219-B10E-4A50-AC1C-B7C72CA9FFAC}"/>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65733C71-3EA2-45B4-A04D-A3E1105582D7}"/>
    <cellStyle name="Normal 9 2 2 6 2 2 3" xfId="24744" xr:uid="{A6743970-F8FF-47F5-A8DE-6FA4BF85389A}"/>
    <cellStyle name="Normal 9 2 2 6 2 3" xfId="12079" xr:uid="{9AE9C4F0-E349-4BA1-A5FC-32E967B6C2C7}"/>
    <cellStyle name="Normal 9 2 2 6 2 4" xfId="20527" xr:uid="{99F8F815-B9FE-41CD-9487-B22EC2527857}"/>
    <cellStyle name="Normal 9 2 2 6 3" xfId="5702" xr:uid="{00000000-0005-0000-0000-0000011F0000}"/>
    <cellStyle name="Normal 9 2 2 6 3 2" xfId="14152" xr:uid="{73D73ABD-7911-4C89-A728-8BEA0C19F766}"/>
    <cellStyle name="Normal 9 2 2 6 3 3" xfId="22599" xr:uid="{99CB5567-AB44-47D7-8FF4-12F8E4B9B058}"/>
    <cellStyle name="Normal 9 2 2 6 4" xfId="9934" xr:uid="{D0282ADE-7952-4609-B8B6-AA9C6BBA8157}"/>
    <cellStyle name="Normal 9 2 2 6 5" xfId="18382" xr:uid="{FD4565B3-7B1B-4B87-B82B-0E256D68B6AA}"/>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D0C64929-BAE3-4687-8850-37601E09AC3B}"/>
    <cellStyle name="Normal 9 2 2 7 2 2 3" xfId="25157" xr:uid="{83DCD26F-9B9C-4D93-A885-A5BBA6AB0EC3}"/>
    <cellStyle name="Normal 9 2 2 7 2 3" xfId="12492" xr:uid="{75FC933A-385F-45D6-AE78-0148D3EF6BAE}"/>
    <cellStyle name="Normal 9 2 2 7 2 4" xfId="20940" xr:uid="{5CDCFF5F-91ED-4F3F-B613-12622B66E9C9}"/>
    <cellStyle name="Normal 9 2 2 7 3" xfId="6115" xr:uid="{00000000-0005-0000-0000-0000051F0000}"/>
    <cellStyle name="Normal 9 2 2 7 3 2" xfId="14565" xr:uid="{D0E77B02-452F-4BA0-B464-D98FEAFF922C}"/>
    <cellStyle name="Normal 9 2 2 7 3 3" xfId="23012" xr:uid="{3154C6F9-9E7E-4B14-9493-71F23F979EB3}"/>
    <cellStyle name="Normal 9 2 2 7 4" xfId="10347" xr:uid="{CF248C5F-E4B7-4D63-8239-C752B298B4F8}"/>
    <cellStyle name="Normal 9 2 2 7 5" xfId="18795" xr:uid="{6B3C343C-CE5F-4B43-9B12-F67C2EED4FB9}"/>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46C7D344-926E-4B1F-8D67-76BFDEF1C2C7}"/>
    <cellStyle name="Normal 9 2 2 8 2 2 3" xfId="25570" xr:uid="{9EFBB877-13FF-411C-B3C0-72CCE2C9BB44}"/>
    <cellStyle name="Normal 9 2 2 8 2 3" xfId="12905" xr:uid="{091F4426-8F8B-4848-8470-B35E0CD5C003}"/>
    <cellStyle name="Normal 9 2 2 8 2 4" xfId="21353" xr:uid="{62E72B4F-8423-411A-88EC-53183F743C38}"/>
    <cellStyle name="Normal 9 2 2 8 3" xfId="6528" xr:uid="{00000000-0005-0000-0000-0000091F0000}"/>
    <cellStyle name="Normal 9 2 2 8 3 2" xfId="14978" xr:uid="{0A450953-AEEA-4A02-8E5D-46C2E69C4F90}"/>
    <cellStyle name="Normal 9 2 2 8 3 3" xfId="23425" xr:uid="{02C773A3-4375-4AE5-B2AB-178E9CF1E981}"/>
    <cellStyle name="Normal 9 2 2 8 4" xfId="10760" xr:uid="{811602B2-5DE6-4E5E-A080-E153A50C08B4}"/>
    <cellStyle name="Normal 9 2 2 8 5" xfId="19208" xr:uid="{FE9CAF8A-527F-48CD-B945-54B0F4511E4D}"/>
    <cellStyle name="Normal 9 2 2 9" xfId="2658" xr:uid="{00000000-0005-0000-0000-00000A1F0000}"/>
    <cellStyle name="Normal 9 2 2 9 2" xfId="6941" xr:uid="{00000000-0005-0000-0000-00000B1F0000}"/>
    <cellStyle name="Normal 9 2 2 9 2 2" xfId="15391" xr:uid="{E6CB5068-DCE7-4EAA-B688-A61E8A0B4F17}"/>
    <cellStyle name="Normal 9 2 2 9 2 3" xfId="23838" xr:uid="{C1FDD6EE-6304-4A54-85D6-4ADC4E6EBEC0}"/>
    <cellStyle name="Normal 9 2 2 9 3" xfId="11173" xr:uid="{B3D98971-9373-42C1-AE0A-C5CE97BC846B}"/>
    <cellStyle name="Normal 9 2 2 9 4" xfId="19621" xr:uid="{FD6B23CD-80DF-4715-967E-0EBF6F92E21D}"/>
    <cellStyle name="Normal 9 2 3" xfId="520" xr:uid="{00000000-0005-0000-0000-00000C1F0000}"/>
    <cellStyle name="Normal 9 2 3 10" xfId="9116" xr:uid="{AD1C3DC7-73E7-45BC-AFB4-81710A3FBD7F}"/>
    <cellStyle name="Normal 9 2 3 11" xfId="17564" xr:uid="{265530C0-4CED-4340-B7D5-524651A6BDE3}"/>
    <cellStyle name="Normal 9 2 3 2" xfId="521" xr:uid="{00000000-0005-0000-0000-00000D1F0000}"/>
    <cellStyle name="Normal 9 2 3 2 10" xfId="17565" xr:uid="{DF9984DB-3E49-4985-BABA-AC42A0F2B1BB}"/>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F48D9624-9CE0-4506-9CF9-31AC8EE08A2C}"/>
    <cellStyle name="Normal 9 2 3 2 2 2 2 2 3" xfId="24341" xr:uid="{8C84FB03-FED1-41C4-B475-51025414F145}"/>
    <cellStyle name="Normal 9 2 3 2 2 2 2 3" xfId="11676" xr:uid="{630BE6C7-CE12-47B5-BBEF-192ADAE71002}"/>
    <cellStyle name="Normal 9 2 3 2 2 2 2 4" xfId="20124" xr:uid="{C8C9E2ED-7B08-4FA3-82A0-936F8C59F4B3}"/>
    <cellStyle name="Normal 9 2 3 2 2 2 3" xfId="5299" xr:uid="{00000000-0005-0000-0000-0000121F0000}"/>
    <cellStyle name="Normal 9 2 3 2 2 2 3 2" xfId="13749" xr:uid="{C6BFEA92-732A-40E9-81DC-3F32B2249D10}"/>
    <cellStyle name="Normal 9 2 3 2 2 2 3 3" xfId="22196" xr:uid="{A2C97387-610D-408A-B2D4-E5C30441AC58}"/>
    <cellStyle name="Normal 9 2 3 2 2 2 4" xfId="9531" xr:uid="{E3AAC333-CFF6-4934-BE05-DE4EA2974C69}"/>
    <cellStyle name="Normal 9 2 3 2 2 2 5" xfId="17979" xr:uid="{60F3C0A4-8DD5-4528-8D4C-1056FDF4D506}"/>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D53814D7-7145-496E-A6E0-63AECBA7E4F8}"/>
    <cellStyle name="Normal 9 2 3 2 2 3 2 2 3" xfId="24754" xr:uid="{1D9E9577-BB8F-4F06-8E84-3C1D77682C86}"/>
    <cellStyle name="Normal 9 2 3 2 2 3 2 3" xfId="12089" xr:uid="{613C8492-0D25-4CA0-A3A1-CE897F075282}"/>
    <cellStyle name="Normal 9 2 3 2 2 3 2 4" xfId="20537" xr:uid="{56A58355-B03F-4541-829A-9DC06C1739D3}"/>
    <cellStyle name="Normal 9 2 3 2 2 3 3" xfId="5712" xr:uid="{00000000-0005-0000-0000-0000161F0000}"/>
    <cellStyle name="Normal 9 2 3 2 2 3 3 2" xfId="14162" xr:uid="{51265AD8-1D45-4286-AA5B-A47C36E8B91D}"/>
    <cellStyle name="Normal 9 2 3 2 2 3 3 3" xfId="22609" xr:uid="{022C50C9-7937-4D1F-B6ED-A5A847D0D0A4}"/>
    <cellStyle name="Normal 9 2 3 2 2 3 4" xfId="9944" xr:uid="{3868D332-4456-45B1-B71F-416F610598CA}"/>
    <cellStyle name="Normal 9 2 3 2 2 3 5" xfId="18392" xr:uid="{C2879AC1-56DB-48D7-970B-278E22DDC8A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DC120770-FA75-4255-9D8C-8249910F1364}"/>
    <cellStyle name="Normal 9 2 3 2 2 4 2 2 3" xfId="25167" xr:uid="{3BC173EA-84B8-4048-8F80-09360961D666}"/>
    <cellStyle name="Normal 9 2 3 2 2 4 2 3" xfId="12502" xr:uid="{F9E0D56D-8EDC-45B2-858A-3130EE16B0F6}"/>
    <cellStyle name="Normal 9 2 3 2 2 4 2 4" xfId="20950" xr:uid="{F5F24D8B-29B1-475D-A2E6-903C3524AD53}"/>
    <cellStyle name="Normal 9 2 3 2 2 4 3" xfId="6125" xr:uid="{00000000-0005-0000-0000-00001A1F0000}"/>
    <cellStyle name="Normal 9 2 3 2 2 4 3 2" xfId="14575" xr:uid="{ACFA4974-78C7-4FAC-9547-856694F75A7A}"/>
    <cellStyle name="Normal 9 2 3 2 2 4 3 3" xfId="23022" xr:uid="{E02416E7-1F7A-47CC-9EE9-410E377F982D}"/>
    <cellStyle name="Normal 9 2 3 2 2 4 4" xfId="10357" xr:uid="{1908ED49-E79F-4F00-A58A-9EA145AEFFD1}"/>
    <cellStyle name="Normal 9 2 3 2 2 4 5" xfId="18805" xr:uid="{27C90A16-9588-4D21-8E5E-1ECEEF6A792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6FC76CBC-FD7B-4855-AA5D-C7CAA7CD3E97}"/>
    <cellStyle name="Normal 9 2 3 2 2 5 2 2 3" xfId="25580" xr:uid="{EC9E7F08-0F93-4B81-807A-F2ECDE890C22}"/>
    <cellStyle name="Normal 9 2 3 2 2 5 2 3" xfId="12915" xr:uid="{BA229E4D-7ED6-4A09-B98B-B9138839AA8C}"/>
    <cellStyle name="Normal 9 2 3 2 2 5 2 4" xfId="21363" xr:uid="{D6F5598C-3BDE-4813-A9F9-F7A6EE9AC37B}"/>
    <cellStyle name="Normal 9 2 3 2 2 5 3" xfId="6538" xr:uid="{00000000-0005-0000-0000-00001E1F0000}"/>
    <cellStyle name="Normal 9 2 3 2 2 5 3 2" xfId="14988" xr:uid="{B7ECC3CD-53B3-4999-A20F-CA9EB69FC0F2}"/>
    <cellStyle name="Normal 9 2 3 2 2 5 3 3" xfId="23435" xr:uid="{27C181E8-D017-436D-9302-A4DC2A2F6A70}"/>
    <cellStyle name="Normal 9 2 3 2 2 5 4" xfId="10770" xr:uid="{392C1393-4E56-4FEF-AA76-DC0AE0A44619}"/>
    <cellStyle name="Normal 9 2 3 2 2 5 5" xfId="19218" xr:uid="{E2E3176D-3D35-461C-BCB9-887BFE7D7AC4}"/>
    <cellStyle name="Normal 9 2 3 2 2 6" xfId="2668" xr:uid="{00000000-0005-0000-0000-00001F1F0000}"/>
    <cellStyle name="Normal 9 2 3 2 2 6 2" xfId="6951" xr:uid="{00000000-0005-0000-0000-0000201F0000}"/>
    <cellStyle name="Normal 9 2 3 2 2 6 2 2" xfId="15401" xr:uid="{FDE63014-38E9-46AD-957A-D67DEE72ED6E}"/>
    <cellStyle name="Normal 9 2 3 2 2 6 2 3" xfId="23848" xr:uid="{866E5585-C5D9-4E6F-B873-A4E74442D95B}"/>
    <cellStyle name="Normal 9 2 3 2 2 6 3" xfId="11183" xr:uid="{A5339E98-A046-41A5-A702-C3B5D3A735F0}"/>
    <cellStyle name="Normal 9 2 3 2 2 6 4" xfId="19631" xr:uid="{C23E5330-3772-4CCF-BC1E-B40289DD6E4F}"/>
    <cellStyle name="Normal 9 2 3 2 2 7" xfId="4886" xr:uid="{00000000-0005-0000-0000-0000211F0000}"/>
    <cellStyle name="Normal 9 2 3 2 2 7 2" xfId="13336" xr:uid="{6C969008-97A3-4BA0-AB20-4B15DB2C8B40}"/>
    <cellStyle name="Normal 9 2 3 2 2 7 3" xfId="21783" xr:uid="{BB0E69D0-4CFE-4F9C-9A5E-07DD4200B10E}"/>
    <cellStyle name="Normal 9 2 3 2 2 8" xfId="9118" xr:uid="{2E76446A-26FC-418D-B503-899618F931F4}"/>
    <cellStyle name="Normal 9 2 3 2 2 9" xfId="17566" xr:uid="{29F52897-C992-4764-BEDB-8EEC4F00072E}"/>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BC0632F6-27A4-438C-96E3-CE03D30320B0}"/>
    <cellStyle name="Normal 9 2 3 2 3 2 2 3" xfId="24340" xr:uid="{C387B767-CFDB-4BA6-A089-A1DDA703C078}"/>
    <cellStyle name="Normal 9 2 3 2 3 2 3" xfId="11675" xr:uid="{D4BAC236-9572-447A-9E34-66F7B51BDAB5}"/>
    <cellStyle name="Normal 9 2 3 2 3 2 4" xfId="20123" xr:uid="{BF8F9F5A-5887-4BAD-A4ED-29FDAC17EF90}"/>
    <cellStyle name="Normal 9 2 3 2 3 3" xfId="5298" xr:uid="{00000000-0005-0000-0000-0000251F0000}"/>
    <cellStyle name="Normal 9 2 3 2 3 3 2" xfId="13748" xr:uid="{57606CF7-5164-4E7C-BD40-77282F57E21F}"/>
    <cellStyle name="Normal 9 2 3 2 3 3 3" xfId="22195" xr:uid="{6BD222D0-DECC-481C-AFE0-EE9C913ECA72}"/>
    <cellStyle name="Normal 9 2 3 2 3 4" xfId="9530" xr:uid="{E5417918-95F2-4BD2-A834-8D752C6BC4FF}"/>
    <cellStyle name="Normal 9 2 3 2 3 5" xfId="17978" xr:uid="{4DF1F4E4-7FEA-40CE-ADA9-645ED2C2C49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321A9D20-5469-4626-B246-9AB2BE9EA6A6}"/>
    <cellStyle name="Normal 9 2 3 2 4 2 2 3" xfId="24753" xr:uid="{CFB6F31E-DFB7-437C-9520-5CC614862B3C}"/>
    <cellStyle name="Normal 9 2 3 2 4 2 3" xfId="12088" xr:uid="{01145C31-BBB5-4B04-AC37-087AA3B8D801}"/>
    <cellStyle name="Normal 9 2 3 2 4 2 4" xfId="20536" xr:uid="{4C9AB96D-2256-48C9-BB55-68B47D92C0D5}"/>
    <cellStyle name="Normal 9 2 3 2 4 3" xfId="5711" xr:uid="{00000000-0005-0000-0000-0000291F0000}"/>
    <cellStyle name="Normal 9 2 3 2 4 3 2" xfId="14161" xr:uid="{C4F50415-CBF9-4422-81FC-4B6768555782}"/>
    <cellStyle name="Normal 9 2 3 2 4 3 3" xfId="22608" xr:uid="{9AF1BCC8-5CE6-4924-8411-169C1E40DA07}"/>
    <cellStyle name="Normal 9 2 3 2 4 4" xfId="9943" xr:uid="{A7D32C0B-4B34-47BF-8A4D-0B60F1B2365C}"/>
    <cellStyle name="Normal 9 2 3 2 4 5" xfId="18391" xr:uid="{15C9720E-C437-4F5B-9440-4DBEE1B66789}"/>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92354144-A70F-442A-93EB-BCC0FC333224}"/>
    <cellStyle name="Normal 9 2 3 2 5 2 2 3" xfId="25166" xr:uid="{64378BDD-664B-4E43-B9D5-0B3B12601AD9}"/>
    <cellStyle name="Normal 9 2 3 2 5 2 3" xfId="12501" xr:uid="{5426821E-8EC5-4FA6-B2D7-760B62D89476}"/>
    <cellStyle name="Normal 9 2 3 2 5 2 4" xfId="20949" xr:uid="{DC9A1239-2FA3-4683-8B2F-C2EC66605255}"/>
    <cellStyle name="Normal 9 2 3 2 5 3" xfId="6124" xr:uid="{00000000-0005-0000-0000-00002D1F0000}"/>
    <cellStyle name="Normal 9 2 3 2 5 3 2" xfId="14574" xr:uid="{E331049E-BA55-469E-915A-A8417D614C2E}"/>
    <cellStyle name="Normal 9 2 3 2 5 3 3" xfId="23021" xr:uid="{C29B8FFB-F881-4A1D-B737-04B62DE7B55E}"/>
    <cellStyle name="Normal 9 2 3 2 5 4" xfId="10356" xr:uid="{33535A44-33BA-4B92-8BCD-9AF208335E2A}"/>
    <cellStyle name="Normal 9 2 3 2 5 5" xfId="18804" xr:uid="{C5405696-2489-4C0C-B543-92E9BB65DBB3}"/>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125F882A-A224-4EC3-9D27-E5D56B853A17}"/>
    <cellStyle name="Normal 9 2 3 2 6 2 2 3" xfId="25579" xr:uid="{7F5538BA-C0A1-4230-912A-5BB06F8BA27B}"/>
    <cellStyle name="Normal 9 2 3 2 6 2 3" xfId="12914" xr:uid="{FBE1E872-548C-48C8-8E69-B8E28EE8B770}"/>
    <cellStyle name="Normal 9 2 3 2 6 2 4" xfId="21362" xr:uid="{B3DAE6F8-B273-4393-BDD8-389CA544A47A}"/>
    <cellStyle name="Normal 9 2 3 2 6 3" xfId="6537" xr:uid="{00000000-0005-0000-0000-0000311F0000}"/>
    <cellStyle name="Normal 9 2 3 2 6 3 2" xfId="14987" xr:uid="{DDD1E31B-7378-487C-8D82-3A700747F3C5}"/>
    <cellStyle name="Normal 9 2 3 2 6 3 3" xfId="23434" xr:uid="{1EE89C4E-0003-4869-8340-5ACB144EE371}"/>
    <cellStyle name="Normal 9 2 3 2 6 4" xfId="10769" xr:uid="{FDDB5DCC-5C07-4C98-B609-E6BF262605F6}"/>
    <cellStyle name="Normal 9 2 3 2 6 5" xfId="19217" xr:uid="{B5E7F266-2234-481A-8BF8-290F25BD893C}"/>
    <cellStyle name="Normal 9 2 3 2 7" xfId="2667" xr:uid="{00000000-0005-0000-0000-0000321F0000}"/>
    <cellStyle name="Normal 9 2 3 2 7 2" xfId="6950" xr:uid="{00000000-0005-0000-0000-0000331F0000}"/>
    <cellStyle name="Normal 9 2 3 2 7 2 2" xfId="15400" xr:uid="{E01B8946-6F40-4C32-A074-5C870CEBD53B}"/>
    <cellStyle name="Normal 9 2 3 2 7 2 3" xfId="23847" xr:uid="{3F4BA753-6888-494A-B486-F2CE76971AA7}"/>
    <cellStyle name="Normal 9 2 3 2 7 3" xfId="11182" xr:uid="{98A229C6-94AE-4891-A4C6-4B45027DB57E}"/>
    <cellStyle name="Normal 9 2 3 2 7 4" xfId="19630" xr:uid="{2BA964E8-5848-465F-9586-8A7AC6537BD2}"/>
    <cellStyle name="Normal 9 2 3 2 8" xfId="4885" xr:uid="{00000000-0005-0000-0000-0000341F0000}"/>
    <cellStyle name="Normal 9 2 3 2 8 2" xfId="13335" xr:uid="{DCCC32BE-2C23-443D-9481-6E39F4516698}"/>
    <cellStyle name="Normal 9 2 3 2 8 3" xfId="21782" xr:uid="{2953F8F2-6E5B-4194-A873-0FCE533E8400}"/>
    <cellStyle name="Normal 9 2 3 2 9" xfId="9117" xr:uid="{D9B00DC4-CE46-4682-9A69-9571D90AD6FB}"/>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5E5C608D-FD76-4088-B379-7649B29FC8A4}"/>
    <cellStyle name="Normal 9 2 3 3 2 2 2 3" xfId="24342" xr:uid="{9521EF21-5CCE-421B-AE9F-45F0F3FE9109}"/>
    <cellStyle name="Normal 9 2 3 3 2 2 3" xfId="11677" xr:uid="{DD13BD20-F286-4AE8-9DA4-DBC878CA3825}"/>
    <cellStyle name="Normal 9 2 3 3 2 2 4" xfId="20125" xr:uid="{3D92355B-0AAA-417A-8550-ECB093B68F0E}"/>
    <cellStyle name="Normal 9 2 3 3 2 3" xfId="5300" xr:uid="{00000000-0005-0000-0000-0000391F0000}"/>
    <cellStyle name="Normal 9 2 3 3 2 3 2" xfId="13750" xr:uid="{72C7D849-87BC-4879-ADA8-2AF874158F5B}"/>
    <cellStyle name="Normal 9 2 3 3 2 3 3" xfId="22197" xr:uid="{7751F3F7-42EF-49FB-A6C2-2F2AEA66D42C}"/>
    <cellStyle name="Normal 9 2 3 3 2 4" xfId="9532" xr:uid="{1498E2C4-6BC4-4AF6-B7B1-ED1D2A2DCEAC}"/>
    <cellStyle name="Normal 9 2 3 3 2 5" xfId="17980" xr:uid="{372A29B7-5079-471D-9765-FCC44AE1F900}"/>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28F66C8D-AFE9-4549-9589-0441F98DCCB6}"/>
    <cellStyle name="Normal 9 2 3 3 3 2 2 3" xfId="24755" xr:uid="{8A629804-587F-40F6-85FF-AEC2886D48D6}"/>
    <cellStyle name="Normal 9 2 3 3 3 2 3" xfId="12090" xr:uid="{643731C1-A04F-436D-901E-0F25B3CFB3FD}"/>
    <cellStyle name="Normal 9 2 3 3 3 2 4" xfId="20538" xr:uid="{64CB009C-0C03-465F-BDF9-925C4C715151}"/>
    <cellStyle name="Normal 9 2 3 3 3 3" xfId="5713" xr:uid="{00000000-0005-0000-0000-00003D1F0000}"/>
    <cellStyle name="Normal 9 2 3 3 3 3 2" xfId="14163" xr:uid="{A20E7866-9AD8-4F96-9F3C-1AC75FBCA1F2}"/>
    <cellStyle name="Normal 9 2 3 3 3 3 3" xfId="22610" xr:uid="{818F41E5-0AB3-4E0F-9DBA-0AFB6335DDD5}"/>
    <cellStyle name="Normal 9 2 3 3 3 4" xfId="9945" xr:uid="{5B0267F5-6B3B-467F-8BAC-DBF2AD4BD03F}"/>
    <cellStyle name="Normal 9 2 3 3 3 5" xfId="18393" xr:uid="{B0F4AE97-363E-4F05-AEB3-E39A0BEC3E1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2DBCAB15-86CB-47E9-9A27-1209BF2D604C}"/>
    <cellStyle name="Normal 9 2 3 3 4 2 2 3" xfId="25168" xr:uid="{A00E4125-E0A5-4E89-A884-5D2291506519}"/>
    <cellStyle name="Normal 9 2 3 3 4 2 3" xfId="12503" xr:uid="{9B834651-9BD8-4FB9-9AA6-FCEA63E4A8F3}"/>
    <cellStyle name="Normal 9 2 3 3 4 2 4" xfId="20951" xr:uid="{60491AD0-4543-4A96-A7C3-76856A48BC8D}"/>
    <cellStyle name="Normal 9 2 3 3 4 3" xfId="6126" xr:uid="{00000000-0005-0000-0000-0000411F0000}"/>
    <cellStyle name="Normal 9 2 3 3 4 3 2" xfId="14576" xr:uid="{747DD506-CA64-4E55-97FA-C9EDFE7DDAD9}"/>
    <cellStyle name="Normal 9 2 3 3 4 3 3" xfId="23023" xr:uid="{BBEB163C-6F5A-46C6-9CFB-386981E6E7DE}"/>
    <cellStyle name="Normal 9 2 3 3 4 4" xfId="10358" xr:uid="{14956466-91EA-4581-BEB6-6E7085473207}"/>
    <cellStyle name="Normal 9 2 3 3 4 5" xfId="18806" xr:uid="{AF5496FC-F7EC-4D32-B677-59788CE46736}"/>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FD79001C-C984-402C-A3C2-399FBCFAAC00}"/>
    <cellStyle name="Normal 9 2 3 3 5 2 2 3" xfId="25581" xr:uid="{B51ED4A2-799B-470A-95C0-91E4E0A94372}"/>
    <cellStyle name="Normal 9 2 3 3 5 2 3" xfId="12916" xr:uid="{FBD8D5E4-8065-4B5F-A305-FEB4F48C6AF6}"/>
    <cellStyle name="Normal 9 2 3 3 5 2 4" xfId="21364" xr:uid="{136495FC-9398-4763-A50A-9BD7F694CD66}"/>
    <cellStyle name="Normal 9 2 3 3 5 3" xfId="6539" xr:uid="{00000000-0005-0000-0000-0000451F0000}"/>
    <cellStyle name="Normal 9 2 3 3 5 3 2" xfId="14989" xr:uid="{4C46B135-9EFE-4BA4-9FF6-D8A6C26AE212}"/>
    <cellStyle name="Normal 9 2 3 3 5 3 3" xfId="23436" xr:uid="{A8D61E2C-61A1-4D30-A767-C2B9BC5CA17F}"/>
    <cellStyle name="Normal 9 2 3 3 5 4" xfId="10771" xr:uid="{62F0C00C-770B-43D2-ACBE-E5252C14023C}"/>
    <cellStyle name="Normal 9 2 3 3 5 5" xfId="19219" xr:uid="{1357C8A9-8C29-4BF9-8388-6CB91B7105A2}"/>
    <cellStyle name="Normal 9 2 3 3 6" xfId="2669" xr:uid="{00000000-0005-0000-0000-0000461F0000}"/>
    <cellStyle name="Normal 9 2 3 3 6 2" xfId="6952" xr:uid="{00000000-0005-0000-0000-0000471F0000}"/>
    <cellStyle name="Normal 9 2 3 3 6 2 2" xfId="15402" xr:uid="{3A320977-CA22-4D7A-87BD-9CE8D59C62F7}"/>
    <cellStyle name="Normal 9 2 3 3 6 2 3" xfId="23849" xr:uid="{31F8F98F-19F6-488B-8155-45FF7F988DDF}"/>
    <cellStyle name="Normal 9 2 3 3 6 3" xfId="11184" xr:uid="{686B736C-B5AA-4BDD-B0A3-C53BC464D7F5}"/>
    <cellStyle name="Normal 9 2 3 3 6 4" xfId="19632" xr:uid="{7514E805-7C5E-47DB-AC32-6AB6748DB2CE}"/>
    <cellStyle name="Normal 9 2 3 3 7" xfId="4887" xr:uid="{00000000-0005-0000-0000-0000481F0000}"/>
    <cellStyle name="Normal 9 2 3 3 7 2" xfId="13337" xr:uid="{D75D2A74-5CEA-45BA-9FE0-9EA3C041EA28}"/>
    <cellStyle name="Normal 9 2 3 3 7 3" xfId="21784" xr:uid="{55DED4DF-8EB4-452B-B55B-D95A5912F3D7}"/>
    <cellStyle name="Normal 9 2 3 3 8" xfId="9119" xr:uid="{417AE273-D77F-4DB3-9F00-2CBEFCDA9995}"/>
    <cellStyle name="Normal 9 2 3 3 9" xfId="17567" xr:uid="{7292EDC7-9B5F-4685-8433-8FB2090D5D3B}"/>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8680ACF-34AF-4F90-B511-C3C42D658CAD}"/>
    <cellStyle name="Normal 9 2 3 4 2 2 3" xfId="24339" xr:uid="{F79BA520-E932-4DE3-80F4-F6D719863809}"/>
    <cellStyle name="Normal 9 2 3 4 2 3" xfId="11674" xr:uid="{7876689E-0C4A-4463-B53F-C0B0B7203488}"/>
    <cellStyle name="Normal 9 2 3 4 2 4" xfId="20122" xr:uid="{5C6DDBD8-F100-4AFC-A97B-FB82476BD603}"/>
    <cellStyle name="Normal 9 2 3 4 3" xfId="5297" xr:uid="{00000000-0005-0000-0000-00004C1F0000}"/>
    <cellStyle name="Normal 9 2 3 4 3 2" xfId="13747" xr:uid="{3BA7E235-4BAA-45F0-B34D-301FFFAF591D}"/>
    <cellStyle name="Normal 9 2 3 4 3 3" xfId="22194" xr:uid="{AC108E86-164F-4C91-B482-927108900804}"/>
    <cellStyle name="Normal 9 2 3 4 4" xfId="9529" xr:uid="{8A353BCD-330D-4FD8-A78C-EA59E57C9CC4}"/>
    <cellStyle name="Normal 9 2 3 4 5" xfId="17977" xr:uid="{0E6F7694-0C78-4A83-B66A-9FB138D50A42}"/>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B9410114-B09F-46EF-9C43-688DA0C1A591}"/>
    <cellStyle name="Normal 9 2 3 5 2 2 3" xfId="24752" xr:uid="{77C05F79-D41F-42A0-A5EB-1956333C980E}"/>
    <cellStyle name="Normal 9 2 3 5 2 3" xfId="12087" xr:uid="{DDBA6D91-BD46-40AC-BCB4-59A5253A6CA2}"/>
    <cellStyle name="Normal 9 2 3 5 2 4" xfId="20535" xr:uid="{CC0F7FD8-21AF-4BED-8A08-8497C6F57A0D}"/>
    <cellStyle name="Normal 9 2 3 5 3" xfId="5710" xr:uid="{00000000-0005-0000-0000-0000501F0000}"/>
    <cellStyle name="Normal 9 2 3 5 3 2" xfId="14160" xr:uid="{2EEC9B05-6A44-4D2D-BDA5-E1DDE43BB2FA}"/>
    <cellStyle name="Normal 9 2 3 5 3 3" xfId="22607" xr:uid="{7BB55BF1-1487-4924-88EE-76340D39837F}"/>
    <cellStyle name="Normal 9 2 3 5 4" xfId="9942" xr:uid="{21278B43-B685-401C-A6F7-8E8A8F08000E}"/>
    <cellStyle name="Normal 9 2 3 5 5" xfId="18390" xr:uid="{8E70439E-B721-4F05-8406-DEC1F20CE243}"/>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A4119AFA-5FA8-4187-856D-75AE93550B37}"/>
    <cellStyle name="Normal 9 2 3 6 2 2 3" xfId="25165" xr:uid="{441A3213-70A6-4014-85CA-8BE607D8E3C4}"/>
    <cellStyle name="Normal 9 2 3 6 2 3" xfId="12500" xr:uid="{859D680B-F67A-427A-AB18-615520DFC495}"/>
    <cellStyle name="Normal 9 2 3 6 2 4" xfId="20948" xr:uid="{91C192E9-4F9A-4616-ABE2-9DFF5FE944A6}"/>
    <cellStyle name="Normal 9 2 3 6 3" xfId="6123" xr:uid="{00000000-0005-0000-0000-0000541F0000}"/>
    <cellStyle name="Normal 9 2 3 6 3 2" xfId="14573" xr:uid="{58A1221F-6C59-43B1-8CA3-76FD6589331F}"/>
    <cellStyle name="Normal 9 2 3 6 3 3" xfId="23020" xr:uid="{F67CADB2-C063-4038-BEB8-3CE221C6F6B9}"/>
    <cellStyle name="Normal 9 2 3 6 4" xfId="10355" xr:uid="{ECE184AE-9AE2-4CFB-9454-C9EF944ABC88}"/>
    <cellStyle name="Normal 9 2 3 6 5" xfId="18803" xr:uid="{0E10CF2A-FBB8-45E7-AE7D-34AD160910F4}"/>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85F2C83E-EB0F-47E8-8DAC-B373C1EEDA79}"/>
    <cellStyle name="Normal 9 2 3 7 2 2 3" xfId="25578" xr:uid="{7A067CEB-BC8D-42A6-BDED-1B884529B82E}"/>
    <cellStyle name="Normal 9 2 3 7 2 3" xfId="12913" xr:uid="{2A30FD60-330F-4751-B940-F8260F3303F4}"/>
    <cellStyle name="Normal 9 2 3 7 2 4" xfId="21361" xr:uid="{839E4530-06D2-4AB4-BDD8-4A4D9D6EBB1F}"/>
    <cellStyle name="Normal 9 2 3 7 3" xfId="6536" xr:uid="{00000000-0005-0000-0000-0000581F0000}"/>
    <cellStyle name="Normal 9 2 3 7 3 2" xfId="14986" xr:uid="{2BE5D8CC-1985-4DD9-9873-ED12D730392A}"/>
    <cellStyle name="Normal 9 2 3 7 3 3" xfId="23433" xr:uid="{FD6D7299-619C-4380-86AE-3EAB0BD1F86D}"/>
    <cellStyle name="Normal 9 2 3 7 4" xfId="10768" xr:uid="{6DBA81F3-E812-4080-A835-3A22CF4D87A1}"/>
    <cellStyle name="Normal 9 2 3 7 5" xfId="19216" xr:uid="{6E99C0A5-945C-464C-8486-47E84C3DAB1B}"/>
    <cellStyle name="Normal 9 2 3 8" xfId="2666" xr:uid="{00000000-0005-0000-0000-0000591F0000}"/>
    <cellStyle name="Normal 9 2 3 8 2" xfId="6949" xr:uid="{00000000-0005-0000-0000-00005A1F0000}"/>
    <cellStyle name="Normal 9 2 3 8 2 2" xfId="15399" xr:uid="{A0A4243F-5FD5-4633-8064-0FE9A9100B43}"/>
    <cellStyle name="Normal 9 2 3 8 2 3" xfId="23846" xr:uid="{47B19756-45DD-4202-BE7E-49AB344A6E91}"/>
    <cellStyle name="Normal 9 2 3 8 3" xfId="11181" xr:uid="{88FA04E1-958A-4B8A-96EA-41491A68D24E}"/>
    <cellStyle name="Normal 9 2 3 8 4" xfId="19629" xr:uid="{9D642B56-69E2-4158-A0EF-61A4A60FF441}"/>
    <cellStyle name="Normal 9 2 3 9" xfId="4884" xr:uid="{00000000-0005-0000-0000-00005B1F0000}"/>
    <cellStyle name="Normal 9 2 3 9 2" xfId="13334" xr:uid="{3D716195-1032-4E8E-80A2-E38F202EB82D}"/>
    <cellStyle name="Normal 9 2 3 9 3" xfId="21781" xr:uid="{341BCDE5-D82C-4002-97B7-DFF692FDA8BE}"/>
    <cellStyle name="Normal 9 2 4" xfId="524" xr:uid="{00000000-0005-0000-0000-00005C1F0000}"/>
    <cellStyle name="Normal 9 2 4 10" xfId="17568" xr:uid="{00447C54-872E-4520-AF5E-616DDFD4F7DD}"/>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6E36F1F2-24D0-433B-AE1C-FA3C32FD19D4}"/>
    <cellStyle name="Normal 9 2 4 2 2 2 2 3" xfId="24344" xr:uid="{141C2219-BF98-4D78-8EE7-7F785776CDBC}"/>
    <cellStyle name="Normal 9 2 4 2 2 2 3" xfId="11679" xr:uid="{E5291AD7-13EE-4C7B-AC0F-79DE1FB19B9F}"/>
    <cellStyle name="Normal 9 2 4 2 2 2 4" xfId="20127" xr:uid="{C917714B-3698-48C4-91B7-50FC78E59543}"/>
    <cellStyle name="Normal 9 2 4 2 2 3" xfId="5302" xr:uid="{00000000-0005-0000-0000-0000611F0000}"/>
    <cellStyle name="Normal 9 2 4 2 2 3 2" xfId="13752" xr:uid="{1FDEE143-5A38-4EBF-9A9B-657E8C73A7E2}"/>
    <cellStyle name="Normal 9 2 4 2 2 3 3" xfId="22199" xr:uid="{E5163A0A-BB62-4CBE-A5CC-81C4A3908FDE}"/>
    <cellStyle name="Normal 9 2 4 2 2 4" xfId="9534" xr:uid="{F4717C74-E9FF-4F37-9047-F34B392B8441}"/>
    <cellStyle name="Normal 9 2 4 2 2 5" xfId="17982" xr:uid="{A0FF82F9-E8FA-454A-99AC-12583E818E5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E41D7B44-CA86-42C4-AEBE-FA45BD40E35F}"/>
    <cellStyle name="Normal 9 2 4 2 3 2 2 3" xfId="24757" xr:uid="{52108B71-D32C-4104-8D64-7A26D93C313F}"/>
    <cellStyle name="Normal 9 2 4 2 3 2 3" xfId="12092" xr:uid="{BC9B5AE0-0557-4FDB-B3CB-CB7E14E9BA0A}"/>
    <cellStyle name="Normal 9 2 4 2 3 2 4" xfId="20540" xr:uid="{82F4AF04-BB7D-4460-8F66-0552A08D66D3}"/>
    <cellStyle name="Normal 9 2 4 2 3 3" xfId="5715" xr:uid="{00000000-0005-0000-0000-0000651F0000}"/>
    <cellStyle name="Normal 9 2 4 2 3 3 2" xfId="14165" xr:uid="{715B1DC6-262C-4CC3-91FB-343C28114ECA}"/>
    <cellStyle name="Normal 9 2 4 2 3 3 3" xfId="22612" xr:uid="{1623A995-66CB-4D7E-985B-DC573C0BCC90}"/>
    <cellStyle name="Normal 9 2 4 2 3 4" xfId="9947" xr:uid="{2EAD9445-B678-4FE2-8CA8-BAAE7C702FC9}"/>
    <cellStyle name="Normal 9 2 4 2 3 5" xfId="18395" xr:uid="{2D021167-91BF-4FAB-9999-671CFB4C5EB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C79DF6CB-632C-4AC2-88A8-B6D236532DB2}"/>
    <cellStyle name="Normal 9 2 4 2 4 2 2 3" xfId="25170" xr:uid="{A43E5136-61D5-4160-9569-FF9BD3B5B9F2}"/>
    <cellStyle name="Normal 9 2 4 2 4 2 3" xfId="12505" xr:uid="{6C16C03A-8C9B-4732-8009-8D65E78EBD4A}"/>
    <cellStyle name="Normal 9 2 4 2 4 2 4" xfId="20953" xr:uid="{7F5CD58D-8515-4BDF-8512-D0FEF77DCAAC}"/>
    <cellStyle name="Normal 9 2 4 2 4 3" xfId="6128" xr:uid="{00000000-0005-0000-0000-0000691F0000}"/>
    <cellStyle name="Normal 9 2 4 2 4 3 2" xfId="14578" xr:uid="{A522EB09-A78F-4828-BD57-2479F703EC4D}"/>
    <cellStyle name="Normal 9 2 4 2 4 3 3" xfId="23025" xr:uid="{D87B45B8-CF3B-4375-A9BE-23A9781FB1A3}"/>
    <cellStyle name="Normal 9 2 4 2 4 4" xfId="10360" xr:uid="{CC254FFC-A032-4D00-B3AF-C06DA260367E}"/>
    <cellStyle name="Normal 9 2 4 2 4 5" xfId="18808" xr:uid="{3E76A804-7D21-47B0-9350-541417FB1E9F}"/>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40F16ABD-536E-4115-8AA8-AEEAA8FDD93B}"/>
    <cellStyle name="Normal 9 2 4 2 5 2 2 3" xfId="25583" xr:uid="{1A4FC75F-24B5-4D9B-995C-F7165F5726F7}"/>
    <cellStyle name="Normal 9 2 4 2 5 2 3" xfId="12918" xr:uid="{9C626223-093B-49C1-8368-0CBADED3CFD9}"/>
    <cellStyle name="Normal 9 2 4 2 5 2 4" xfId="21366" xr:uid="{6418C9E1-B3C2-4AAC-995A-52B446E058A6}"/>
    <cellStyle name="Normal 9 2 4 2 5 3" xfId="6541" xr:uid="{00000000-0005-0000-0000-00006D1F0000}"/>
    <cellStyle name="Normal 9 2 4 2 5 3 2" xfId="14991" xr:uid="{0534CECE-BC43-4BC5-876E-FF0F61546CCE}"/>
    <cellStyle name="Normal 9 2 4 2 5 3 3" xfId="23438" xr:uid="{AF75CA4A-B17A-40BE-9B8B-04E5A48D0094}"/>
    <cellStyle name="Normal 9 2 4 2 5 4" xfId="10773" xr:uid="{D447CE19-04DE-47CA-A305-1E5B51631BC3}"/>
    <cellStyle name="Normal 9 2 4 2 5 5" xfId="19221" xr:uid="{97BDA4C1-A5A1-4CD8-B720-0275A367ADA7}"/>
    <cellStyle name="Normal 9 2 4 2 6" xfId="2671" xr:uid="{00000000-0005-0000-0000-00006E1F0000}"/>
    <cellStyle name="Normal 9 2 4 2 6 2" xfId="6954" xr:uid="{00000000-0005-0000-0000-00006F1F0000}"/>
    <cellStyle name="Normal 9 2 4 2 6 2 2" xfId="15404" xr:uid="{4C1B21F3-75F7-474F-A0B4-D271F8654764}"/>
    <cellStyle name="Normal 9 2 4 2 6 2 3" xfId="23851" xr:uid="{734CC6BC-09F0-4561-87F8-6FD668CD86F6}"/>
    <cellStyle name="Normal 9 2 4 2 6 3" xfId="11186" xr:uid="{F9253D81-6996-411D-9DBE-E9C69EA1B0B9}"/>
    <cellStyle name="Normal 9 2 4 2 6 4" xfId="19634" xr:uid="{7448BCFA-E283-4BB5-A649-1EE770A229C4}"/>
    <cellStyle name="Normal 9 2 4 2 7" xfId="4889" xr:uid="{00000000-0005-0000-0000-0000701F0000}"/>
    <cellStyle name="Normal 9 2 4 2 7 2" xfId="13339" xr:uid="{98983F72-635B-42A9-8949-31EBE5691EF7}"/>
    <cellStyle name="Normal 9 2 4 2 7 3" xfId="21786" xr:uid="{94C81BF4-D6B1-434E-BFF9-BFF02C2AE358}"/>
    <cellStyle name="Normal 9 2 4 2 8" xfId="9121" xr:uid="{F8DB5FF9-00C9-4D67-8388-F20CF862D214}"/>
    <cellStyle name="Normal 9 2 4 2 9" xfId="17569" xr:uid="{2D91070A-487D-4E98-92C2-A71DB3E2B440}"/>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5C2B2A14-C741-4677-B72E-C454B099F25F}"/>
    <cellStyle name="Normal 9 2 4 3 2 2 3" xfId="24343" xr:uid="{09B8E0CA-1BB2-4579-BBD2-3222C870228E}"/>
    <cellStyle name="Normal 9 2 4 3 2 3" xfId="11678" xr:uid="{D1D75655-68FA-4709-84EE-8447194F2D72}"/>
    <cellStyle name="Normal 9 2 4 3 2 4" xfId="20126" xr:uid="{BF4AC270-C10F-4DF7-B23C-4277A753C4B9}"/>
    <cellStyle name="Normal 9 2 4 3 3" xfId="5301" xr:uid="{00000000-0005-0000-0000-0000741F0000}"/>
    <cellStyle name="Normal 9 2 4 3 3 2" xfId="13751" xr:uid="{E7CB6C56-346F-4465-BE16-800FE55609A3}"/>
    <cellStyle name="Normal 9 2 4 3 3 3" xfId="22198" xr:uid="{E476D212-F40A-418C-A2E0-05A13B96A98D}"/>
    <cellStyle name="Normal 9 2 4 3 4" xfId="9533" xr:uid="{4F4FAEC7-FA5D-4CE4-AD0C-A9C68E6EF3F8}"/>
    <cellStyle name="Normal 9 2 4 3 5" xfId="17981" xr:uid="{3B6CF03A-2B1A-452F-89BF-A8A6F0EAF8D4}"/>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416118BA-6DF1-433F-970C-63C3D56FFE4F}"/>
    <cellStyle name="Normal 9 2 4 4 2 2 3" xfId="24756" xr:uid="{4A875501-5502-4110-B023-96AE4A2805C9}"/>
    <cellStyle name="Normal 9 2 4 4 2 3" xfId="12091" xr:uid="{4D7FC1B0-A3BB-46C6-B0A8-75D8867DC6CC}"/>
    <cellStyle name="Normal 9 2 4 4 2 4" xfId="20539" xr:uid="{47B2078E-7242-402B-9915-B6F6DB9E8A6D}"/>
    <cellStyle name="Normal 9 2 4 4 3" xfId="5714" xr:uid="{00000000-0005-0000-0000-0000781F0000}"/>
    <cellStyle name="Normal 9 2 4 4 3 2" xfId="14164" xr:uid="{EF94DD73-64D9-4E59-A439-894A2FB1B845}"/>
    <cellStyle name="Normal 9 2 4 4 3 3" xfId="22611" xr:uid="{CD9AFC39-94E6-4DB7-8E46-8D81E17F72B5}"/>
    <cellStyle name="Normal 9 2 4 4 4" xfId="9946" xr:uid="{64270336-A081-40E5-BE11-DAB3B017EAAC}"/>
    <cellStyle name="Normal 9 2 4 4 5" xfId="18394" xr:uid="{A159ADBC-9ED2-4076-BB1F-CCD03C0E0802}"/>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82A5ABA6-88C2-4807-AC43-4D17DD47B00F}"/>
    <cellStyle name="Normal 9 2 4 5 2 2 3" xfId="25169" xr:uid="{7DCBD34E-CEBE-43EF-BF49-2CBAA4E72061}"/>
    <cellStyle name="Normal 9 2 4 5 2 3" xfId="12504" xr:uid="{EA317C1B-661C-4248-964C-6F8520213410}"/>
    <cellStyle name="Normal 9 2 4 5 2 4" xfId="20952" xr:uid="{7F5D8987-58F0-4445-8BBE-6494237B3C44}"/>
    <cellStyle name="Normal 9 2 4 5 3" xfId="6127" xr:uid="{00000000-0005-0000-0000-00007C1F0000}"/>
    <cellStyle name="Normal 9 2 4 5 3 2" xfId="14577" xr:uid="{9A139CE1-6F6F-4CA2-B1A8-D9F916BF2AC3}"/>
    <cellStyle name="Normal 9 2 4 5 3 3" xfId="23024" xr:uid="{F6C19B04-0939-40A0-AFBA-8DB4CFD6E09D}"/>
    <cellStyle name="Normal 9 2 4 5 4" xfId="10359" xr:uid="{E8237633-D039-4258-A456-AA02517A9AA7}"/>
    <cellStyle name="Normal 9 2 4 5 5" xfId="18807" xr:uid="{27F3B1A4-6015-4245-B1B3-6634BBAF15FD}"/>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4FDFF664-5587-4A81-A2DA-1EF447A83597}"/>
    <cellStyle name="Normal 9 2 4 6 2 2 3" xfId="25582" xr:uid="{70EC9942-9309-4323-9424-AD613923C79D}"/>
    <cellStyle name="Normal 9 2 4 6 2 3" xfId="12917" xr:uid="{0731EC92-8E29-422B-B40C-34DB201AFEE2}"/>
    <cellStyle name="Normal 9 2 4 6 2 4" xfId="21365" xr:uid="{39F706B4-45B5-44E5-B696-CE8BF750AA04}"/>
    <cellStyle name="Normal 9 2 4 6 3" xfId="6540" xr:uid="{00000000-0005-0000-0000-0000801F0000}"/>
    <cellStyle name="Normal 9 2 4 6 3 2" xfId="14990" xr:uid="{AF4014F4-BF66-4381-A562-5C08794F226B}"/>
    <cellStyle name="Normal 9 2 4 6 3 3" xfId="23437" xr:uid="{793BD246-07F6-462E-A18E-A5D719C065D4}"/>
    <cellStyle name="Normal 9 2 4 6 4" xfId="10772" xr:uid="{94D07DD2-AEE2-4A07-A3C0-15E99DEC8467}"/>
    <cellStyle name="Normal 9 2 4 6 5" xfId="19220" xr:uid="{493B5290-1C49-4FFA-B074-F93256646C2F}"/>
    <cellStyle name="Normal 9 2 4 7" xfId="2670" xr:uid="{00000000-0005-0000-0000-0000811F0000}"/>
    <cellStyle name="Normal 9 2 4 7 2" xfId="6953" xr:uid="{00000000-0005-0000-0000-0000821F0000}"/>
    <cellStyle name="Normal 9 2 4 7 2 2" xfId="15403" xr:uid="{833FE927-53CD-4D6A-BDAA-CBE151611850}"/>
    <cellStyle name="Normal 9 2 4 7 2 3" xfId="23850" xr:uid="{E06F54FE-12C4-4B8B-A06D-48894481C866}"/>
    <cellStyle name="Normal 9 2 4 7 3" xfId="11185" xr:uid="{2F3B6D5B-7E47-470F-9761-B4C21AB9E7EA}"/>
    <cellStyle name="Normal 9 2 4 7 4" xfId="19633" xr:uid="{C914E557-CF8A-4528-B303-78800F757CE6}"/>
    <cellStyle name="Normal 9 2 4 8" xfId="4888" xr:uid="{00000000-0005-0000-0000-0000831F0000}"/>
    <cellStyle name="Normal 9 2 4 8 2" xfId="13338" xr:uid="{0B4972D2-012F-4143-BC1F-FCC736A2BBFB}"/>
    <cellStyle name="Normal 9 2 4 8 3" xfId="21785" xr:uid="{CC6B0027-BB6D-4E70-A056-0B307866D67C}"/>
    <cellStyle name="Normal 9 2 4 9" xfId="9120" xr:uid="{3DEA8921-D9D5-4BD3-B11C-06949C2E788B}"/>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2472FC8B-44AB-4BAE-8635-23F02C002DED}"/>
    <cellStyle name="Normal 9 2 5 2 2 2 3" xfId="24345" xr:uid="{40A009A6-0442-4FC6-BC74-C4E1E3A072CF}"/>
    <cellStyle name="Normal 9 2 5 2 2 3" xfId="11680" xr:uid="{532D5D72-1F5F-40E6-99C9-197E67947E0A}"/>
    <cellStyle name="Normal 9 2 5 2 2 4" xfId="20128" xr:uid="{FC37C12E-0918-44BC-8029-578C91649CD0}"/>
    <cellStyle name="Normal 9 2 5 2 3" xfId="5303" xr:uid="{00000000-0005-0000-0000-0000881F0000}"/>
    <cellStyle name="Normal 9 2 5 2 3 2" xfId="13753" xr:uid="{AAA67C07-02B3-4A66-A02B-99154A8949C9}"/>
    <cellStyle name="Normal 9 2 5 2 3 3" xfId="22200" xr:uid="{BE531EE3-50CB-44DE-8937-DE169F00BFCB}"/>
    <cellStyle name="Normal 9 2 5 2 4" xfId="9535" xr:uid="{EF523371-B580-4101-AAA5-4623653DC3F6}"/>
    <cellStyle name="Normal 9 2 5 2 5" xfId="17983" xr:uid="{5803E0FF-9E05-407F-BF3D-6E2991DF168E}"/>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490B0AAF-4C0B-4373-A425-49DCD07081C9}"/>
    <cellStyle name="Normal 9 2 5 3 2 2 3" xfId="24758" xr:uid="{1DF588A4-80F3-4402-9387-8367B66FF2E7}"/>
    <cellStyle name="Normal 9 2 5 3 2 3" xfId="12093" xr:uid="{097FC53F-F76A-4BD3-9CCF-9192B516118A}"/>
    <cellStyle name="Normal 9 2 5 3 2 4" xfId="20541" xr:uid="{F8C9DCB6-DFB7-4C89-BB57-39B87B6953CA}"/>
    <cellStyle name="Normal 9 2 5 3 3" xfId="5716" xr:uid="{00000000-0005-0000-0000-00008C1F0000}"/>
    <cellStyle name="Normal 9 2 5 3 3 2" xfId="14166" xr:uid="{5654F620-67BB-4FB3-BB4C-10553CF9D8EE}"/>
    <cellStyle name="Normal 9 2 5 3 3 3" xfId="22613" xr:uid="{D2023D54-65F8-48B3-BB5D-83E40D8E51C8}"/>
    <cellStyle name="Normal 9 2 5 3 4" xfId="9948" xr:uid="{BC69CC30-0C27-4FEB-9D99-2DCD1A31E5FA}"/>
    <cellStyle name="Normal 9 2 5 3 5" xfId="18396" xr:uid="{19379D95-DCC4-47CD-832F-131F5CC762AA}"/>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FC82A70C-F683-476D-9FE1-18FB0BB2FB15}"/>
    <cellStyle name="Normal 9 2 5 4 2 2 3" xfId="25171" xr:uid="{BF35E41D-AD78-4646-81BD-DFD34D8E5ED4}"/>
    <cellStyle name="Normal 9 2 5 4 2 3" xfId="12506" xr:uid="{D71A4E77-BAEA-4397-8B5C-C8B45B071F08}"/>
    <cellStyle name="Normal 9 2 5 4 2 4" xfId="20954" xr:uid="{ED268BD3-D8B8-4BA6-A36A-6F30A4689E7B}"/>
    <cellStyle name="Normal 9 2 5 4 3" xfId="6129" xr:uid="{00000000-0005-0000-0000-0000901F0000}"/>
    <cellStyle name="Normal 9 2 5 4 3 2" xfId="14579" xr:uid="{FA5A73CA-3607-473A-9554-76E77CAC0A26}"/>
    <cellStyle name="Normal 9 2 5 4 3 3" xfId="23026" xr:uid="{9EE97047-F91F-4590-AD27-B7BC23D56E6A}"/>
    <cellStyle name="Normal 9 2 5 4 4" xfId="10361" xr:uid="{D4815A6A-9FB0-47AE-9434-C646D5C5C8C4}"/>
    <cellStyle name="Normal 9 2 5 4 5" xfId="18809" xr:uid="{F80C2115-C477-451B-8BD5-10CF906A2FB3}"/>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1501A159-DDB8-42CC-85E5-E9D33C0E482E}"/>
    <cellStyle name="Normal 9 2 5 5 2 2 3" xfId="25584" xr:uid="{0B231CA0-0E89-4384-8519-769C6DBAE890}"/>
    <cellStyle name="Normal 9 2 5 5 2 3" xfId="12919" xr:uid="{047C8C50-2935-4B24-814C-B36EC507B062}"/>
    <cellStyle name="Normal 9 2 5 5 2 4" xfId="21367" xr:uid="{354BD4DF-9185-40F3-9D1B-D071C95771CD}"/>
    <cellStyle name="Normal 9 2 5 5 3" xfId="6542" xr:uid="{00000000-0005-0000-0000-0000941F0000}"/>
    <cellStyle name="Normal 9 2 5 5 3 2" xfId="14992" xr:uid="{C9C2ADDA-8052-4774-BBB0-096EE5F16E9D}"/>
    <cellStyle name="Normal 9 2 5 5 3 3" xfId="23439" xr:uid="{E609D166-8B67-4E3A-B0AF-08875606DEA4}"/>
    <cellStyle name="Normal 9 2 5 5 4" xfId="10774" xr:uid="{C4A01C92-DAFE-4A47-BB0C-293AB602D12A}"/>
    <cellStyle name="Normal 9 2 5 5 5" xfId="19222" xr:uid="{00E51C3F-AF79-48C6-99E2-ECBD8756B9E3}"/>
    <cellStyle name="Normal 9 2 5 6" xfId="2672" xr:uid="{00000000-0005-0000-0000-0000951F0000}"/>
    <cellStyle name="Normal 9 2 5 6 2" xfId="6955" xr:uid="{00000000-0005-0000-0000-0000961F0000}"/>
    <cellStyle name="Normal 9 2 5 6 2 2" xfId="15405" xr:uid="{6E96A6A9-4134-4134-AF6A-38848B13427D}"/>
    <cellStyle name="Normal 9 2 5 6 2 3" xfId="23852" xr:uid="{E6F8B532-0540-4923-8D36-CC35EF976B2C}"/>
    <cellStyle name="Normal 9 2 5 6 3" xfId="11187" xr:uid="{2FABFDFE-85D9-4F88-96D1-591AC8F28DFD}"/>
    <cellStyle name="Normal 9 2 5 6 4" xfId="19635" xr:uid="{80904BFA-4E21-43D9-9537-4CA7C9C3A839}"/>
    <cellStyle name="Normal 9 2 5 7" xfId="4890" xr:uid="{00000000-0005-0000-0000-0000971F0000}"/>
    <cellStyle name="Normal 9 2 5 7 2" xfId="13340" xr:uid="{E90FDEC3-F2FF-4D95-8DF0-DC6178330DF2}"/>
    <cellStyle name="Normal 9 2 5 7 3" xfId="21787" xr:uid="{023CB0E3-EF83-49EF-9EF4-8A514D074D2A}"/>
    <cellStyle name="Normal 9 2 5 8" xfId="9122" xr:uid="{BA51416D-C973-448E-9A62-1129632B7C7B}"/>
    <cellStyle name="Normal 9 2 5 9" xfId="17570" xr:uid="{D5EE7AF0-AF82-4A4E-AB4E-E7F2325B7ACB}"/>
    <cellStyle name="Normal 9 2 6" xfId="978" xr:uid="{00000000-0005-0000-0000-0000981F0000}"/>
    <cellStyle name="Normal 9 2 6 2" xfId="3211" xr:uid="{00000000-0005-0000-0000-0000991F0000}"/>
    <cellStyle name="Normal 9 2 6 2 2" xfId="7433" xr:uid="{00000000-0005-0000-0000-00009A1F0000}"/>
    <cellStyle name="Normal 9 2 6 2 2 2" xfId="15883" xr:uid="{3A60E42B-59CF-447C-A23C-72A8214CFFD7}"/>
    <cellStyle name="Normal 9 2 6 2 2 3" xfId="24330" xr:uid="{652B8DAC-2FE1-4E00-BA0B-AD29AAE1C857}"/>
    <cellStyle name="Normal 9 2 6 2 3" xfId="11665" xr:uid="{3BE50BF6-D46D-48A6-9EBA-CDD30550239B}"/>
    <cellStyle name="Normal 9 2 6 2 4" xfId="20113" xr:uid="{B1265F76-42AB-4DCC-8055-535745AEF13B}"/>
    <cellStyle name="Normal 9 2 6 3" xfId="5288" xr:uid="{00000000-0005-0000-0000-00009B1F0000}"/>
    <cellStyle name="Normal 9 2 6 3 2" xfId="13738" xr:uid="{42B9B6F5-C1F2-4932-B80E-6407A187B149}"/>
    <cellStyle name="Normal 9 2 6 3 3" xfId="22185" xr:uid="{E92479B9-5CFB-4C7C-B8DC-218FB6975376}"/>
    <cellStyle name="Normal 9 2 6 4" xfId="9520" xr:uid="{C8A191BC-3E3B-486B-8D59-AE623AE39750}"/>
    <cellStyle name="Normal 9 2 6 5" xfId="17968" xr:uid="{79A93AA2-0FBA-431E-8FEF-BC20FA4275CF}"/>
    <cellStyle name="Normal 9 2 7" xfId="1394" xr:uid="{00000000-0005-0000-0000-00009C1F0000}"/>
    <cellStyle name="Normal 9 2 7 2" xfId="3624" xr:uid="{00000000-0005-0000-0000-00009D1F0000}"/>
    <cellStyle name="Normal 9 2 7 2 2" xfId="7846" xr:uid="{00000000-0005-0000-0000-00009E1F0000}"/>
    <cellStyle name="Normal 9 2 7 2 2 2" xfId="16296" xr:uid="{39DB579A-0D42-4A8A-9E16-103E28FD1C53}"/>
    <cellStyle name="Normal 9 2 7 2 2 3" xfId="24743" xr:uid="{1BFDC469-D59E-4EB8-BDB8-38649A8567BD}"/>
    <cellStyle name="Normal 9 2 7 2 3" xfId="12078" xr:uid="{A756EA60-F500-41F1-AC55-7F92D23F0152}"/>
    <cellStyle name="Normal 9 2 7 2 4" xfId="20526" xr:uid="{827F3AA2-FEE2-4AEC-9B9E-C8F85327923F}"/>
    <cellStyle name="Normal 9 2 7 3" xfId="5701" xr:uid="{00000000-0005-0000-0000-00009F1F0000}"/>
    <cellStyle name="Normal 9 2 7 3 2" xfId="14151" xr:uid="{7D904700-DBEE-493F-859A-A88B2DDE655E}"/>
    <cellStyle name="Normal 9 2 7 3 3" xfId="22598" xr:uid="{BA716A2F-6E24-4653-9BDB-AA14EB124437}"/>
    <cellStyle name="Normal 9 2 7 4" xfId="9933" xr:uid="{044C2DF0-A243-4112-A16B-687178E86AEE}"/>
    <cellStyle name="Normal 9 2 7 5" xfId="18381" xr:uid="{A396418B-6473-4BC9-A7D6-4BE8F4EEA3CC}"/>
    <cellStyle name="Normal 9 2 8" xfId="1807" xr:uid="{00000000-0005-0000-0000-0000A01F0000}"/>
    <cellStyle name="Normal 9 2 8 2" xfId="4037" xr:uid="{00000000-0005-0000-0000-0000A11F0000}"/>
    <cellStyle name="Normal 9 2 8 2 2" xfId="8259" xr:uid="{00000000-0005-0000-0000-0000A21F0000}"/>
    <cellStyle name="Normal 9 2 8 2 2 2" xfId="16709" xr:uid="{E934FDB8-5C09-4191-9A1C-0DCE90107B84}"/>
    <cellStyle name="Normal 9 2 8 2 2 3" xfId="25156" xr:uid="{1439EA85-EFF4-40E9-B3AA-CE0C18E692BB}"/>
    <cellStyle name="Normal 9 2 8 2 3" xfId="12491" xr:uid="{DCA44093-09F0-44FF-A0B4-B59B98255DC2}"/>
    <cellStyle name="Normal 9 2 8 2 4" xfId="20939" xr:uid="{AADB8888-3012-4E49-BA4A-E9FD84675497}"/>
    <cellStyle name="Normal 9 2 8 3" xfId="6114" xr:uid="{00000000-0005-0000-0000-0000A31F0000}"/>
    <cellStyle name="Normal 9 2 8 3 2" xfId="14564" xr:uid="{417B683A-FD01-429A-88A8-497AA0F4950F}"/>
    <cellStyle name="Normal 9 2 8 3 3" xfId="23011" xr:uid="{1DA1DC05-8D7A-410D-93B0-B25014278356}"/>
    <cellStyle name="Normal 9 2 8 4" xfId="10346" xr:uid="{42062EB7-1FA1-413A-8193-D1FBDF531A0C}"/>
    <cellStyle name="Normal 9 2 8 5" xfId="18794" xr:uid="{B89E09A9-FE08-4535-9727-AA35C37C71E7}"/>
    <cellStyle name="Normal 9 2 9" xfId="2221" xr:uid="{00000000-0005-0000-0000-0000A41F0000}"/>
    <cellStyle name="Normal 9 2 9 2" xfId="4450" xr:uid="{00000000-0005-0000-0000-0000A51F0000}"/>
    <cellStyle name="Normal 9 2 9 2 2" xfId="8672" xr:uid="{00000000-0005-0000-0000-0000A61F0000}"/>
    <cellStyle name="Normal 9 2 9 2 2 2" xfId="17122" xr:uid="{D81E4D80-1561-4007-80D2-554AA309C3AE}"/>
    <cellStyle name="Normal 9 2 9 2 2 3" xfId="25569" xr:uid="{AA5D3F5F-3537-4B27-A509-125BCFEC4F13}"/>
    <cellStyle name="Normal 9 2 9 2 3" xfId="12904" xr:uid="{8063BC9F-F142-4D36-A631-63E17029807C}"/>
    <cellStyle name="Normal 9 2 9 2 4" xfId="21352" xr:uid="{E4114A95-042D-4E03-9EA1-2BBFD5D2D6E6}"/>
    <cellStyle name="Normal 9 2 9 3" xfId="6527" xr:uid="{00000000-0005-0000-0000-0000A71F0000}"/>
    <cellStyle name="Normal 9 2 9 3 2" xfId="14977" xr:uid="{92174362-B577-4257-B3C9-54B22AD55D4B}"/>
    <cellStyle name="Normal 9 2 9 3 3" xfId="23424" xr:uid="{6714AC68-CE98-49EB-97DB-03E875004C2D}"/>
    <cellStyle name="Normal 9 2 9 4" xfId="10759" xr:uid="{51B8C4F4-993E-47BA-B798-484A5DD93726}"/>
    <cellStyle name="Normal 9 2 9 5" xfId="19207" xr:uid="{E529F028-91D9-4BA1-8FD1-56782DB031B4}"/>
    <cellStyle name="Normal 9 3" xfId="527" xr:uid="{00000000-0005-0000-0000-0000A81F0000}"/>
    <cellStyle name="Normal 9 3 10" xfId="4891" xr:uid="{00000000-0005-0000-0000-0000A91F0000}"/>
    <cellStyle name="Normal 9 3 10 2" xfId="13341" xr:uid="{50046ABE-00CA-43B3-9237-943A72C14FB7}"/>
    <cellStyle name="Normal 9 3 10 3" xfId="21788" xr:uid="{D124FAEE-2127-4117-9C4C-281DB847CE2B}"/>
    <cellStyle name="Normal 9 3 11" xfId="9123" xr:uid="{81F12C03-7C96-46D1-BC7D-DDB120891D7C}"/>
    <cellStyle name="Normal 9 3 12" xfId="17571" xr:uid="{DCC1E9BC-5643-4EB4-B942-C4DAE64B8683}"/>
    <cellStyle name="Normal 9 3 2" xfId="528" xr:uid="{00000000-0005-0000-0000-0000AA1F0000}"/>
    <cellStyle name="Normal 9 3 2 10" xfId="9124" xr:uid="{B86B48FB-C001-4B98-96CC-F77098A0A383}"/>
    <cellStyle name="Normal 9 3 2 11" xfId="17572" xr:uid="{3F7E830B-3393-44F7-9B7C-240462F61588}"/>
    <cellStyle name="Normal 9 3 2 2" xfId="529" xr:uid="{00000000-0005-0000-0000-0000AB1F0000}"/>
    <cellStyle name="Normal 9 3 2 2 10" xfId="17573" xr:uid="{DF467BF9-1F78-4C95-81F9-E15F16AEAC2E}"/>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93DEC58B-A8D4-454F-9C2A-C4FE5ABFA1D7}"/>
    <cellStyle name="Normal 9 3 2 2 2 2 2 2 3" xfId="24349" xr:uid="{75229B75-1867-45A2-B225-21692094BDD7}"/>
    <cellStyle name="Normal 9 3 2 2 2 2 2 3" xfId="11684" xr:uid="{52A2206E-039F-40F6-BFCF-03D6DDA07A03}"/>
    <cellStyle name="Normal 9 3 2 2 2 2 2 4" xfId="20132" xr:uid="{C6AF2B4D-F66B-42FE-8288-1F3030820B0B}"/>
    <cellStyle name="Normal 9 3 2 2 2 2 3" xfId="5307" xr:uid="{00000000-0005-0000-0000-0000B01F0000}"/>
    <cellStyle name="Normal 9 3 2 2 2 2 3 2" xfId="13757" xr:uid="{12AB6A1C-2D7D-4B38-BF00-C3A074BE8CD7}"/>
    <cellStyle name="Normal 9 3 2 2 2 2 3 3" xfId="22204" xr:uid="{2C1894E5-DD54-4E7A-BFD3-3D2ABAE0E924}"/>
    <cellStyle name="Normal 9 3 2 2 2 2 4" xfId="9539" xr:uid="{38E5C8A9-6DFC-4820-9846-3D151B0B0726}"/>
    <cellStyle name="Normal 9 3 2 2 2 2 5" xfId="17987" xr:uid="{AFAAB4AB-3662-48C9-9857-6EEB4CBB1F7F}"/>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F6F9F832-45BC-44CD-9DC9-1E42CD19B548}"/>
    <cellStyle name="Normal 9 3 2 2 2 3 2 2 3" xfId="24762" xr:uid="{EC6F0925-5795-49F1-A5DD-4C0E95ABD5D7}"/>
    <cellStyle name="Normal 9 3 2 2 2 3 2 3" xfId="12097" xr:uid="{BD443F8F-DBE5-4245-9163-5C507D807115}"/>
    <cellStyle name="Normal 9 3 2 2 2 3 2 4" xfId="20545" xr:uid="{FECAB33B-D098-4650-A50C-59C1B81DE581}"/>
    <cellStyle name="Normal 9 3 2 2 2 3 3" xfId="5720" xr:uid="{00000000-0005-0000-0000-0000B41F0000}"/>
    <cellStyle name="Normal 9 3 2 2 2 3 3 2" xfId="14170" xr:uid="{B7660D65-1DDB-4D03-BA68-6DE320D0F302}"/>
    <cellStyle name="Normal 9 3 2 2 2 3 3 3" xfId="22617" xr:uid="{DB441431-4C42-43ED-83F9-B6A493A9E0CC}"/>
    <cellStyle name="Normal 9 3 2 2 2 3 4" xfId="9952" xr:uid="{FE7FB7F5-3AA6-4B47-9527-25F187977078}"/>
    <cellStyle name="Normal 9 3 2 2 2 3 5" xfId="18400" xr:uid="{CF43EB01-FAF4-415F-974E-AECF8464FBE1}"/>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9A9539EE-B70A-4C48-B028-BC146E134BEC}"/>
    <cellStyle name="Normal 9 3 2 2 2 4 2 2 3" xfId="25175" xr:uid="{73DC9110-21A0-432B-88F1-74870530247D}"/>
    <cellStyle name="Normal 9 3 2 2 2 4 2 3" xfId="12510" xr:uid="{A75DC951-6CD5-4AD6-9534-2D7C1CCB13D4}"/>
    <cellStyle name="Normal 9 3 2 2 2 4 2 4" xfId="20958" xr:uid="{99509F8A-617F-4AEC-A2F4-DF8867F01035}"/>
    <cellStyle name="Normal 9 3 2 2 2 4 3" xfId="6133" xr:uid="{00000000-0005-0000-0000-0000B81F0000}"/>
    <cellStyle name="Normal 9 3 2 2 2 4 3 2" xfId="14583" xr:uid="{38229653-5DC5-45F2-844A-908908F2010A}"/>
    <cellStyle name="Normal 9 3 2 2 2 4 3 3" xfId="23030" xr:uid="{3AD6D8AA-1245-4532-B275-FB8F4F610265}"/>
    <cellStyle name="Normal 9 3 2 2 2 4 4" xfId="10365" xr:uid="{535477CD-D530-40C8-8172-8646A3066BF4}"/>
    <cellStyle name="Normal 9 3 2 2 2 4 5" xfId="18813" xr:uid="{EA0B8BFF-202A-495D-8101-E31AFB4E5092}"/>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8F14378F-AE4C-49C9-81DA-A0290847F1A2}"/>
    <cellStyle name="Normal 9 3 2 2 2 5 2 2 3" xfId="25588" xr:uid="{37483C47-335C-4A8F-91E6-A8CBD0071DAF}"/>
    <cellStyle name="Normal 9 3 2 2 2 5 2 3" xfId="12923" xr:uid="{0744FFC9-BF93-45F0-B8F5-C30A96C15E6A}"/>
    <cellStyle name="Normal 9 3 2 2 2 5 2 4" xfId="21371" xr:uid="{09F3FFC8-4467-4F75-877E-0A502D3A2921}"/>
    <cellStyle name="Normal 9 3 2 2 2 5 3" xfId="6546" xr:uid="{00000000-0005-0000-0000-0000BC1F0000}"/>
    <cellStyle name="Normal 9 3 2 2 2 5 3 2" xfId="14996" xr:uid="{37BDDB6D-738B-49FB-9EEF-CF0798D9B779}"/>
    <cellStyle name="Normal 9 3 2 2 2 5 3 3" xfId="23443" xr:uid="{E1C03632-9E9A-4732-A8C9-BABEDF8CE4EA}"/>
    <cellStyle name="Normal 9 3 2 2 2 5 4" xfId="10778" xr:uid="{2433BB13-FB24-4802-AE22-8311275F79E4}"/>
    <cellStyle name="Normal 9 3 2 2 2 5 5" xfId="19226" xr:uid="{1716CF88-9C10-4592-850D-7488A0FED62D}"/>
    <cellStyle name="Normal 9 3 2 2 2 6" xfId="2676" xr:uid="{00000000-0005-0000-0000-0000BD1F0000}"/>
    <cellStyle name="Normal 9 3 2 2 2 6 2" xfId="6959" xr:uid="{00000000-0005-0000-0000-0000BE1F0000}"/>
    <cellStyle name="Normal 9 3 2 2 2 6 2 2" xfId="15409" xr:uid="{4A848060-928A-4FEA-8F33-2AC37A7AB6D2}"/>
    <cellStyle name="Normal 9 3 2 2 2 6 2 3" xfId="23856" xr:uid="{BB98B6B6-2AE0-4E33-ADA6-063999C2F444}"/>
    <cellStyle name="Normal 9 3 2 2 2 6 3" xfId="11191" xr:uid="{FE2FC93D-453C-4018-8530-45ACF56215F6}"/>
    <cellStyle name="Normal 9 3 2 2 2 6 4" xfId="19639" xr:uid="{D930FDD5-9FB7-4715-A85D-30D7BFE4E78C}"/>
    <cellStyle name="Normal 9 3 2 2 2 7" xfId="4894" xr:uid="{00000000-0005-0000-0000-0000BF1F0000}"/>
    <cellStyle name="Normal 9 3 2 2 2 7 2" xfId="13344" xr:uid="{22D89DE5-F925-46E1-80B7-C388348D0513}"/>
    <cellStyle name="Normal 9 3 2 2 2 7 3" xfId="21791" xr:uid="{00B6ED00-D650-471F-97C3-F1C4D38C9C2F}"/>
    <cellStyle name="Normal 9 3 2 2 2 8" xfId="9126" xr:uid="{C496B4C4-30E0-458D-ACB1-906018F8F95E}"/>
    <cellStyle name="Normal 9 3 2 2 2 9" xfId="17574" xr:uid="{11898B01-67BE-4FF9-9DF2-CE63DEE1D9C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D4436E68-BB18-4987-90CA-1335DCD9D820}"/>
    <cellStyle name="Normal 9 3 2 2 3 2 2 3" xfId="24348" xr:uid="{C2D2FC80-C301-450F-9BAB-51FC00F2F9E6}"/>
    <cellStyle name="Normal 9 3 2 2 3 2 3" xfId="11683" xr:uid="{94C4F2B1-99B7-423F-85B5-09D21B8500A3}"/>
    <cellStyle name="Normal 9 3 2 2 3 2 4" xfId="20131" xr:uid="{A9DE3D9F-78BF-4C1F-A25D-44BD61688046}"/>
    <cellStyle name="Normal 9 3 2 2 3 3" xfId="5306" xr:uid="{00000000-0005-0000-0000-0000C31F0000}"/>
    <cellStyle name="Normal 9 3 2 2 3 3 2" xfId="13756" xr:uid="{A734C4C1-891B-4514-B423-E53804C6B557}"/>
    <cellStyle name="Normal 9 3 2 2 3 3 3" xfId="22203" xr:uid="{AF57A971-EE99-4C3A-808E-F7064E242342}"/>
    <cellStyle name="Normal 9 3 2 2 3 4" xfId="9538" xr:uid="{C90B6335-81F9-4DEF-A6A7-7DC26D997E61}"/>
    <cellStyle name="Normal 9 3 2 2 3 5" xfId="17986" xr:uid="{03E58815-D654-4BFC-8BE2-6A4389AE8D34}"/>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4D2681E2-C32F-4E1B-B3CF-9D2DE9E901C2}"/>
    <cellStyle name="Normal 9 3 2 2 4 2 2 3" xfId="24761" xr:uid="{D202191D-CCD8-49D5-92E6-60BC57828752}"/>
    <cellStyle name="Normal 9 3 2 2 4 2 3" xfId="12096" xr:uid="{0A970718-9D00-4315-B5EA-11FDFEBD44D6}"/>
    <cellStyle name="Normal 9 3 2 2 4 2 4" xfId="20544" xr:uid="{A52D9E24-F182-4E0E-9AEB-2D5D2EF16049}"/>
    <cellStyle name="Normal 9 3 2 2 4 3" xfId="5719" xr:uid="{00000000-0005-0000-0000-0000C71F0000}"/>
    <cellStyle name="Normal 9 3 2 2 4 3 2" xfId="14169" xr:uid="{39B71BAA-E185-4888-8DE5-F66FEE3B95ED}"/>
    <cellStyle name="Normal 9 3 2 2 4 3 3" xfId="22616" xr:uid="{A4D683AC-7D72-49EF-9204-F8AD2133850B}"/>
    <cellStyle name="Normal 9 3 2 2 4 4" xfId="9951" xr:uid="{DD01E597-EF19-42C8-8580-881E7D1205A6}"/>
    <cellStyle name="Normal 9 3 2 2 4 5" xfId="18399" xr:uid="{5791F3A6-18A7-4CA5-819F-D36882F35BF4}"/>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7FDC84A4-D0B8-4E3C-9A1D-38DAC8272169}"/>
    <cellStyle name="Normal 9 3 2 2 5 2 2 3" xfId="25174" xr:uid="{7C9B7155-A750-435B-ACA8-26B49FE6D63D}"/>
    <cellStyle name="Normal 9 3 2 2 5 2 3" xfId="12509" xr:uid="{40A7B214-D081-4A21-A7A8-F170E34C3D13}"/>
    <cellStyle name="Normal 9 3 2 2 5 2 4" xfId="20957" xr:uid="{E25FB507-CE1B-4778-9B5D-4B7F8BA6C56C}"/>
    <cellStyle name="Normal 9 3 2 2 5 3" xfId="6132" xr:uid="{00000000-0005-0000-0000-0000CB1F0000}"/>
    <cellStyle name="Normal 9 3 2 2 5 3 2" xfId="14582" xr:uid="{10E1640B-4A0A-4F45-A308-7A4B9EA09287}"/>
    <cellStyle name="Normal 9 3 2 2 5 3 3" xfId="23029" xr:uid="{9D820941-CB71-4BA7-9B0B-276AB7F1B763}"/>
    <cellStyle name="Normal 9 3 2 2 5 4" xfId="10364" xr:uid="{95DF6D7E-58EC-49BD-B027-0D9CB041DB6B}"/>
    <cellStyle name="Normal 9 3 2 2 5 5" xfId="18812" xr:uid="{C5E0C1DF-AF94-4146-9A6E-0155E782AA3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223847E3-B474-4E4C-8528-DEEFAF97AF54}"/>
    <cellStyle name="Normal 9 3 2 2 6 2 2 3" xfId="25587" xr:uid="{44116C69-C5C6-4611-83C9-2752923F1CD2}"/>
    <cellStyle name="Normal 9 3 2 2 6 2 3" xfId="12922" xr:uid="{7E3A2DBF-6654-4171-A928-A934D38B4EAF}"/>
    <cellStyle name="Normal 9 3 2 2 6 2 4" xfId="21370" xr:uid="{29884BB1-3E49-4B01-BC2C-78D60FC3DF2E}"/>
    <cellStyle name="Normal 9 3 2 2 6 3" xfId="6545" xr:uid="{00000000-0005-0000-0000-0000CF1F0000}"/>
    <cellStyle name="Normal 9 3 2 2 6 3 2" xfId="14995" xr:uid="{EFA8BAEF-3762-4774-8D80-413FF9023C10}"/>
    <cellStyle name="Normal 9 3 2 2 6 3 3" xfId="23442" xr:uid="{3B5246D6-6F2A-42CA-9852-90FD337D6061}"/>
    <cellStyle name="Normal 9 3 2 2 6 4" xfId="10777" xr:uid="{BDE2B990-C5D9-4BDD-B565-111F11763E0F}"/>
    <cellStyle name="Normal 9 3 2 2 6 5" xfId="19225" xr:uid="{F24B5506-FAF5-4638-9A32-5A0A161F55EE}"/>
    <cellStyle name="Normal 9 3 2 2 7" xfId="2675" xr:uid="{00000000-0005-0000-0000-0000D01F0000}"/>
    <cellStyle name="Normal 9 3 2 2 7 2" xfId="6958" xr:uid="{00000000-0005-0000-0000-0000D11F0000}"/>
    <cellStyle name="Normal 9 3 2 2 7 2 2" xfId="15408" xr:uid="{BA602B9E-E2FE-4BFA-A375-94D35996C7E7}"/>
    <cellStyle name="Normal 9 3 2 2 7 2 3" xfId="23855" xr:uid="{7C0EEAEB-910A-4F31-9D10-804B7AA50981}"/>
    <cellStyle name="Normal 9 3 2 2 7 3" xfId="11190" xr:uid="{304906C8-BD0B-48B1-9CC4-F8D0C5ECA51B}"/>
    <cellStyle name="Normal 9 3 2 2 7 4" xfId="19638" xr:uid="{32AA1749-0CEE-43C4-AC7F-A875F925481D}"/>
    <cellStyle name="Normal 9 3 2 2 8" xfId="4893" xr:uid="{00000000-0005-0000-0000-0000D21F0000}"/>
    <cellStyle name="Normal 9 3 2 2 8 2" xfId="13343" xr:uid="{57EE298D-F8D7-49D9-BB9B-E1D998A149BA}"/>
    <cellStyle name="Normal 9 3 2 2 8 3" xfId="21790" xr:uid="{AAF8325C-0596-4953-B274-09428C174302}"/>
    <cellStyle name="Normal 9 3 2 2 9" xfId="9125" xr:uid="{45AC9B5E-B767-4EB6-B6A5-E09D136BFA8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384E8EE3-C8B6-4DC9-9102-D6400DEE9521}"/>
    <cellStyle name="Normal 9 3 2 3 2 2 2 3" xfId="24350" xr:uid="{E5AF898B-E048-4B1B-8246-2D8D99A8E47D}"/>
    <cellStyle name="Normal 9 3 2 3 2 2 3" xfId="11685" xr:uid="{A64FD2B7-6D16-4891-9D31-60399A791F42}"/>
    <cellStyle name="Normal 9 3 2 3 2 2 4" xfId="20133" xr:uid="{6CD04793-00FC-4196-81BC-DB2653F00371}"/>
    <cellStyle name="Normal 9 3 2 3 2 3" xfId="5308" xr:uid="{00000000-0005-0000-0000-0000D71F0000}"/>
    <cellStyle name="Normal 9 3 2 3 2 3 2" xfId="13758" xr:uid="{32ECA578-417D-45CB-89FD-6589224E6229}"/>
    <cellStyle name="Normal 9 3 2 3 2 3 3" xfId="22205" xr:uid="{6C91B34D-9EC1-489F-B71C-606F8889309C}"/>
    <cellStyle name="Normal 9 3 2 3 2 4" xfId="9540" xr:uid="{F981A7D9-1CC5-47B0-B41E-A28E047791F0}"/>
    <cellStyle name="Normal 9 3 2 3 2 5" xfId="17988" xr:uid="{68864E11-2378-4E39-8AD5-289CDD424579}"/>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FE416355-B97A-450B-B7F4-5AEBA760735C}"/>
    <cellStyle name="Normal 9 3 2 3 3 2 2 3" xfId="24763" xr:uid="{57EE17C7-5280-40A8-99A3-9899440A84CD}"/>
    <cellStyle name="Normal 9 3 2 3 3 2 3" xfId="12098" xr:uid="{83D3E4DC-C36F-4EDE-A335-D7D0CDBFDA15}"/>
    <cellStyle name="Normal 9 3 2 3 3 2 4" xfId="20546" xr:uid="{66C18D1D-047F-49B7-8B78-0669A2EF8DF9}"/>
    <cellStyle name="Normal 9 3 2 3 3 3" xfId="5721" xr:uid="{00000000-0005-0000-0000-0000DB1F0000}"/>
    <cellStyle name="Normal 9 3 2 3 3 3 2" xfId="14171" xr:uid="{267E0AFD-C2BA-48AC-A1C2-26E8EE48140A}"/>
    <cellStyle name="Normal 9 3 2 3 3 3 3" xfId="22618" xr:uid="{C1A8B5AC-99CC-4BAA-9EC2-DE6C91DB0B2F}"/>
    <cellStyle name="Normal 9 3 2 3 3 4" xfId="9953" xr:uid="{FC3E2AED-8FD2-4D88-8004-7F5A82268B8A}"/>
    <cellStyle name="Normal 9 3 2 3 3 5" xfId="18401" xr:uid="{715B5A6C-E314-4538-95B5-6CD670A90EA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1979CA49-399C-4C49-941E-381E696E51E7}"/>
    <cellStyle name="Normal 9 3 2 3 4 2 2 3" xfId="25176" xr:uid="{45029C2F-7995-4E22-B3C3-450D35BDFFAC}"/>
    <cellStyle name="Normal 9 3 2 3 4 2 3" xfId="12511" xr:uid="{4C87BEC2-8FA4-4126-95B4-161177692855}"/>
    <cellStyle name="Normal 9 3 2 3 4 2 4" xfId="20959" xr:uid="{81C21BBB-D93F-4D33-A199-FDBDA4C6591E}"/>
    <cellStyle name="Normal 9 3 2 3 4 3" xfId="6134" xr:uid="{00000000-0005-0000-0000-0000DF1F0000}"/>
    <cellStyle name="Normal 9 3 2 3 4 3 2" xfId="14584" xr:uid="{16D2F166-7629-4A59-B0B2-21005E7685C1}"/>
    <cellStyle name="Normal 9 3 2 3 4 3 3" xfId="23031" xr:uid="{6A9896AC-AA93-461F-A169-33E27E60FE5E}"/>
    <cellStyle name="Normal 9 3 2 3 4 4" xfId="10366" xr:uid="{BC6DB1CB-5BBE-4998-A76B-931CEA082336}"/>
    <cellStyle name="Normal 9 3 2 3 4 5" xfId="18814" xr:uid="{86424913-0D80-4D2F-AA54-269B9AC6E5C2}"/>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3C6C83A6-753E-48D4-8BD3-C722B3CBC38E}"/>
    <cellStyle name="Normal 9 3 2 3 5 2 2 3" xfId="25589" xr:uid="{46BF6539-D63C-4CE0-9BEC-220E945A7229}"/>
    <cellStyle name="Normal 9 3 2 3 5 2 3" xfId="12924" xr:uid="{8E0F9C94-47F4-4079-80BF-098CCFFEFF4F}"/>
    <cellStyle name="Normal 9 3 2 3 5 2 4" xfId="21372" xr:uid="{8ECAF700-DF26-4D84-A8AB-AEBF34D55129}"/>
    <cellStyle name="Normal 9 3 2 3 5 3" xfId="6547" xr:uid="{00000000-0005-0000-0000-0000E31F0000}"/>
    <cellStyle name="Normal 9 3 2 3 5 3 2" xfId="14997" xr:uid="{DFC0EC68-9BAA-47B4-8B38-47CE7332C031}"/>
    <cellStyle name="Normal 9 3 2 3 5 3 3" xfId="23444" xr:uid="{81F8CFAE-D4E1-47AC-85CE-D12F6CFF5FD6}"/>
    <cellStyle name="Normal 9 3 2 3 5 4" xfId="10779" xr:uid="{42BAC9B9-7E73-4754-8D51-A8FF38EF213F}"/>
    <cellStyle name="Normal 9 3 2 3 5 5" xfId="19227" xr:uid="{1D887777-0BFB-40A3-840F-7626BFD972E6}"/>
    <cellStyle name="Normal 9 3 2 3 6" xfId="2677" xr:uid="{00000000-0005-0000-0000-0000E41F0000}"/>
    <cellStyle name="Normal 9 3 2 3 6 2" xfId="6960" xr:uid="{00000000-0005-0000-0000-0000E51F0000}"/>
    <cellStyle name="Normal 9 3 2 3 6 2 2" xfId="15410" xr:uid="{A9092356-9008-4150-922F-68485F0F66E0}"/>
    <cellStyle name="Normal 9 3 2 3 6 2 3" xfId="23857" xr:uid="{F557424A-C388-47A5-AD60-1ACF561C3D1D}"/>
    <cellStyle name="Normal 9 3 2 3 6 3" xfId="11192" xr:uid="{BE1634DE-DDDE-4B72-BA20-10B3D33CCA54}"/>
    <cellStyle name="Normal 9 3 2 3 6 4" xfId="19640" xr:uid="{28F8317F-721A-49FE-B9C6-E34E1B0AE869}"/>
    <cellStyle name="Normal 9 3 2 3 7" xfId="4895" xr:uid="{00000000-0005-0000-0000-0000E61F0000}"/>
    <cellStyle name="Normal 9 3 2 3 7 2" xfId="13345" xr:uid="{8A0295AB-3000-40F4-8793-1ADDFED27C46}"/>
    <cellStyle name="Normal 9 3 2 3 7 3" xfId="21792" xr:uid="{221A870A-769A-486C-A2DF-631D506C0E28}"/>
    <cellStyle name="Normal 9 3 2 3 8" xfId="9127" xr:uid="{E8D51C9D-EB29-4838-B06D-E4CBAE4B404D}"/>
    <cellStyle name="Normal 9 3 2 3 9" xfId="17575" xr:uid="{71448436-912F-466D-B7CD-680E5F7514A1}"/>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13C97738-1495-4B44-8D20-9F56FA9B3F99}"/>
    <cellStyle name="Normal 9 3 2 4 2 2 3" xfId="24347" xr:uid="{87736A48-4039-4AF9-9625-EAC4EB746D9E}"/>
    <cellStyle name="Normal 9 3 2 4 2 3" xfId="11682" xr:uid="{BA749350-AC87-4549-B199-F3E657E0974C}"/>
    <cellStyle name="Normal 9 3 2 4 2 4" xfId="20130" xr:uid="{7C399968-2B62-4684-ACBB-078C18195877}"/>
    <cellStyle name="Normal 9 3 2 4 3" xfId="5305" xr:uid="{00000000-0005-0000-0000-0000EA1F0000}"/>
    <cellStyle name="Normal 9 3 2 4 3 2" xfId="13755" xr:uid="{3A7D07B3-19E0-4DA6-B02E-4E713473BF6D}"/>
    <cellStyle name="Normal 9 3 2 4 3 3" xfId="22202" xr:uid="{4B105C3D-576D-499B-BCE6-E9D621070957}"/>
    <cellStyle name="Normal 9 3 2 4 4" xfId="9537" xr:uid="{EDC9903A-20A8-4890-9489-8E3CBCCC3FA6}"/>
    <cellStyle name="Normal 9 3 2 4 5" xfId="17985" xr:uid="{81BE2E97-17FC-4202-8275-8895DA39E036}"/>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715A8564-215F-44E1-B497-02652588429F}"/>
    <cellStyle name="Normal 9 3 2 5 2 2 3" xfId="24760" xr:uid="{2DC38967-9E5F-427D-A32D-41B9B30DB9BB}"/>
    <cellStyle name="Normal 9 3 2 5 2 3" xfId="12095" xr:uid="{690D85C8-978B-4DE9-98FB-0EC48344752E}"/>
    <cellStyle name="Normal 9 3 2 5 2 4" xfId="20543" xr:uid="{91A36E81-55BF-4382-81E9-0298F67C827C}"/>
    <cellStyle name="Normal 9 3 2 5 3" xfId="5718" xr:uid="{00000000-0005-0000-0000-0000EE1F0000}"/>
    <cellStyle name="Normal 9 3 2 5 3 2" xfId="14168" xr:uid="{159795EC-F0B0-4A2A-A3F8-8BA5E5E2F797}"/>
    <cellStyle name="Normal 9 3 2 5 3 3" xfId="22615" xr:uid="{B2CDD6F6-272B-4B72-B1B6-C52C358E16F3}"/>
    <cellStyle name="Normal 9 3 2 5 4" xfId="9950" xr:uid="{AE25F3F5-B81D-444B-8CE2-784DB799B18C}"/>
    <cellStyle name="Normal 9 3 2 5 5" xfId="18398" xr:uid="{5E29A15B-69EB-42F7-BD56-98A7EEF13E59}"/>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288E1194-6C07-4B79-A280-01DE428976D5}"/>
    <cellStyle name="Normal 9 3 2 6 2 2 3" xfId="25173" xr:uid="{8FFD79FE-B40F-4478-ABD2-3237F1BC93D9}"/>
    <cellStyle name="Normal 9 3 2 6 2 3" xfId="12508" xr:uid="{EF7F5506-9445-4D96-9A86-8F9D0D9C68B3}"/>
    <cellStyle name="Normal 9 3 2 6 2 4" xfId="20956" xr:uid="{9BB0AF4B-B81F-46AB-991C-238B1E2D4556}"/>
    <cellStyle name="Normal 9 3 2 6 3" xfId="6131" xr:uid="{00000000-0005-0000-0000-0000F21F0000}"/>
    <cellStyle name="Normal 9 3 2 6 3 2" xfId="14581" xr:uid="{0180FB9D-D27E-4FA5-9123-BBD77DFDA744}"/>
    <cellStyle name="Normal 9 3 2 6 3 3" xfId="23028" xr:uid="{7C46FB09-AB9C-433A-AC7D-3CD71DBFC322}"/>
    <cellStyle name="Normal 9 3 2 6 4" xfId="10363" xr:uid="{DB0D0CCF-DD62-497C-80A7-B66F741ECC19}"/>
    <cellStyle name="Normal 9 3 2 6 5" xfId="18811" xr:uid="{D16F8C40-C123-45A7-84C1-CC5E6DE92ED3}"/>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517D0A51-2676-491A-81CD-75EBBB3088B0}"/>
    <cellStyle name="Normal 9 3 2 7 2 2 3" xfId="25586" xr:uid="{ACAB7FEB-480B-490C-A732-E66F78D9AAD8}"/>
    <cellStyle name="Normal 9 3 2 7 2 3" xfId="12921" xr:uid="{F4780537-50A3-44E4-A525-5CE823840966}"/>
    <cellStyle name="Normal 9 3 2 7 2 4" xfId="21369" xr:uid="{6A0FF58F-BCC1-4F59-ABBB-88E160BCE577}"/>
    <cellStyle name="Normal 9 3 2 7 3" xfId="6544" xr:uid="{00000000-0005-0000-0000-0000F61F0000}"/>
    <cellStyle name="Normal 9 3 2 7 3 2" xfId="14994" xr:uid="{9C3FA8E5-A8A7-4284-9B25-8E70E7DBF574}"/>
    <cellStyle name="Normal 9 3 2 7 3 3" xfId="23441" xr:uid="{F4A0C05A-A9E4-445B-8F2C-887A765FD4A2}"/>
    <cellStyle name="Normal 9 3 2 7 4" xfId="10776" xr:uid="{5E213606-C9A8-4910-8411-FA685B07A672}"/>
    <cellStyle name="Normal 9 3 2 7 5" xfId="19224" xr:uid="{C3A9C0CC-F5E4-4A75-8599-73F60E89928F}"/>
    <cellStyle name="Normal 9 3 2 8" xfId="2674" xr:uid="{00000000-0005-0000-0000-0000F71F0000}"/>
    <cellStyle name="Normal 9 3 2 8 2" xfId="6957" xr:uid="{00000000-0005-0000-0000-0000F81F0000}"/>
    <cellStyle name="Normal 9 3 2 8 2 2" xfId="15407" xr:uid="{A0FC1165-C0C3-40DD-AF2E-EF18C1D437C1}"/>
    <cellStyle name="Normal 9 3 2 8 2 3" xfId="23854" xr:uid="{E1964086-0228-44DF-9AAD-37F7F10D66DB}"/>
    <cellStyle name="Normal 9 3 2 8 3" xfId="11189" xr:uid="{D89E3E50-46B4-4007-870D-FE958EC07632}"/>
    <cellStyle name="Normal 9 3 2 8 4" xfId="19637" xr:uid="{B72A2163-7150-4261-882A-611A81C1F7B3}"/>
    <cellStyle name="Normal 9 3 2 9" xfId="4892" xr:uid="{00000000-0005-0000-0000-0000F91F0000}"/>
    <cellStyle name="Normal 9 3 2 9 2" xfId="13342" xr:uid="{1199F211-4EEA-4179-90AA-4C5C2B0488B4}"/>
    <cellStyle name="Normal 9 3 2 9 3" xfId="21789" xr:uid="{4E2C38EA-4D98-46FB-9E34-8ABBE2147093}"/>
    <cellStyle name="Normal 9 3 3" xfId="532" xr:uid="{00000000-0005-0000-0000-0000FA1F0000}"/>
    <cellStyle name="Normal 9 3 3 10" xfId="17576" xr:uid="{EB29B2B4-4069-46CA-BB97-D109F0960D05}"/>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1F74CF91-1827-4C32-8004-A8C94485B3DC}"/>
    <cellStyle name="Normal 9 3 3 2 2 2 2 3" xfId="24352" xr:uid="{B595DAF8-CC68-4C2E-B2C0-A83747E51712}"/>
    <cellStyle name="Normal 9 3 3 2 2 2 3" xfId="11687" xr:uid="{1297370E-0CE8-4CB8-9F04-B7C179DDB2E5}"/>
    <cellStyle name="Normal 9 3 3 2 2 2 4" xfId="20135" xr:uid="{58E09EF7-A3B5-4FDE-8CFE-4C832DD0AA62}"/>
    <cellStyle name="Normal 9 3 3 2 2 3" xfId="5310" xr:uid="{00000000-0005-0000-0000-0000FF1F0000}"/>
    <cellStyle name="Normal 9 3 3 2 2 3 2" xfId="13760" xr:uid="{17ACE61E-C256-45FF-9875-02404661171F}"/>
    <cellStyle name="Normal 9 3 3 2 2 3 3" xfId="22207" xr:uid="{E0D811D5-D5B6-4853-B1E3-94C5BC2B2A98}"/>
    <cellStyle name="Normal 9 3 3 2 2 4" xfId="9542" xr:uid="{6DE8166D-2A7B-4BF5-8E52-A4BC9D4270D6}"/>
    <cellStyle name="Normal 9 3 3 2 2 5" xfId="17990" xr:uid="{25E49653-19D6-4CEE-9E69-3B8461C36CAA}"/>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5C3BDCEB-86D6-4320-8289-DDAF55D13F19}"/>
    <cellStyle name="Normal 9 3 3 2 3 2 2 3" xfId="24765" xr:uid="{72426CE4-0892-4623-9905-E378027C9700}"/>
    <cellStyle name="Normal 9 3 3 2 3 2 3" xfId="12100" xr:uid="{AFF0DD47-0545-4ED6-807E-A4A5C265E28E}"/>
    <cellStyle name="Normal 9 3 3 2 3 2 4" xfId="20548" xr:uid="{AF098A17-9B33-47AD-90F5-D58B7758FA8C}"/>
    <cellStyle name="Normal 9 3 3 2 3 3" xfId="5723" xr:uid="{00000000-0005-0000-0000-000003200000}"/>
    <cellStyle name="Normal 9 3 3 2 3 3 2" xfId="14173" xr:uid="{9269FEDB-BF64-4D54-B2A3-40BCF22E5596}"/>
    <cellStyle name="Normal 9 3 3 2 3 3 3" xfId="22620" xr:uid="{ED778D7E-FD69-4101-8C4E-4C3913B040EC}"/>
    <cellStyle name="Normal 9 3 3 2 3 4" xfId="9955" xr:uid="{091CA86D-F285-4744-A640-DE81FD4597C1}"/>
    <cellStyle name="Normal 9 3 3 2 3 5" xfId="18403" xr:uid="{AF313575-A9DC-4555-BE18-A382E75904BC}"/>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D8D15C00-3522-4AEF-9308-D324C9D79EF0}"/>
    <cellStyle name="Normal 9 3 3 2 4 2 2 3" xfId="25178" xr:uid="{DCD2B7B8-15E4-4BCB-8F43-BD204AA13AB0}"/>
    <cellStyle name="Normal 9 3 3 2 4 2 3" xfId="12513" xr:uid="{B5DB2D84-6BC2-43E4-B350-A67626B88E7A}"/>
    <cellStyle name="Normal 9 3 3 2 4 2 4" xfId="20961" xr:uid="{69AD0E7E-AB22-4BF2-9469-CF3C82A13D7C}"/>
    <cellStyle name="Normal 9 3 3 2 4 3" xfId="6136" xr:uid="{00000000-0005-0000-0000-000007200000}"/>
    <cellStyle name="Normal 9 3 3 2 4 3 2" xfId="14586" xr:uid="{E69CF717-8586-4500-BB63-22593752A5D4}"/>
    <cellStyle name="Normal 9 3 3 2 4 3 3" xfId="23033" xr:uid="{4C78BAEA-EEDC-469B-9160-CD013F40C11A}"/>
    <cellStyle name="Normal 9 3 3 2 4 4" xfId="10368" xr:uid="{D0FBEAA0-974C-41DB-A0CE-ECB20744471F}"/>
    <cellStyle name="Normal 9 3 3 2 4 5" xfId="18816" xr:uid="{58B95E6C-1926-4A45-94B5-77B455A9973E}"/>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63E76823-4CEC-4786-B14A-1B5F1E206A0F}"/>
    <cellStyle name="Normal 9 3 3 2 5 2 2 3" xfId="25591" xr:uid="{C0C49205-6263-4E79-A10C-9FEC66CDA4A5}"/>
    <cellStyle name="Normal 9 3 3 2 5 2 3" xfId="12926" xr:uid="{74DCD491-B603-4177-B2D3-7DF80ADD1A40}"/>
    <cellStyle name="Normal 9 3 3 2 5 2 4" xfId="21374" xr:uid="{D8FFA60A-9F13-4D04-8201-C86F89B346DC}"/>
    <cellStyle name="Normal 9 3 3 2 5 3" xfId="6549" xr:uid="{00000000-0005-0000-0000-00000B200000}"/>
    <cellStyle name="Normal 9 3 3 2 5 3 2" xfId="14999" xr:uid="{A9DF3DF1-7E86-4DDE-BC7C-47383882C91F}"/>
    <cellStyle name="Normal 9 3 3 2 5 3 3" xfId="23446" xr:uid="{ECCF5CA1-F18B-4AC3-BB8E-37AC3BDDB119}"/>
    <cellStyle name="Normal 9 3 3 2 5 4" xfId="10781" xr:uid="{31E4D42C-5AFC-4598-B44C-C85CF96FB361}"/>
    <cellStyle name="Normal 9 3 3 2 5 5" xfId="19229" xr:uid="{2BF83452-6B95-42C8-B2CC-67DF395DBB03}"/>
    <cellStyle name="Normal 9 3 3 2 6" xfId="2679" xr:uid="{00000000-0005-0000-0000-00000C200000}"/>
    <cellStyle name="Normal 9 3 3 2 6 2" xfId="6962" xr:uid="{00000000-0005-0000-0000-00000D200000}"/>
    <cellStyle name="Normal 9 3 3 2 6 2 2" xfId="15412" xr:uid="{64A53CD5-32FD-4665-B06D-014427EA1EBA}"/>
    <cellStyle name="Normal 9 3 3 2 6 2 3" xfId="23859" xr:uid="{FE7F9557-85A1-4B6D-8649-31993988A7CC}"/>
    <cellStyle name="Normal 9 3 3 2 6 3" xfId="11194" xr:uid="{258E6D69-6C20-4196-AE0F-EECA75BD07EF}"/>
    <cellStyle name="Normal 9 3 3 2 6 4" xfId="19642" xr:uid="{E125D0E8-32D8-4BA9-8C4F-11D22E84CC47}"/>
    <cellStyle name="Normal 9 3 3 2 7" xfId="4897" xr:uid="{00000000-0005-0000-0000-00000E200000}"/>
    <cellStyle name="Normal 9 3 3 2 7 2" xfId="13347" xr:uid="{0A41E474-7BB5-4FA1-ACF6-1E47B7674470}"/>
    <cellStyle name="Normal 9 3 3 2 7 3" xfId="21794" xr:uid="{AC19BF73-DDC7-4456-9487-D99D1CF41357}"/>
    <cellStyle name="Normal 9 3 3 2 8" xfId="9129" xr:uid="{087A3E47-4F2D-49AE-BF51-4A56F21D2612}"/>
    <cellStyle name="Normal 9 3 3 2 9" xfId="17577" xr:uid="{9EEF2238-84E3-4A8E-9927-6E1A122ACB79}"/>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15A60F51-466F-4592-B426-CF2CC99EABE3}"/>
    <cellStyle name="Normal 9 3 3 3 2 2 3" xfId="24351" xr:uid="{D4EC12EB-FD2F-432A-B44E-0655CB1CF099}"/>
    <cellStyle name="Normal 9 3 3 3 2 3" xfId="11686" xr:uid="{BC90F9F0-2C71-4B5E-998B-584C8FE01CF2}"/>
    <cellStyle name="Normal 9 3 3 3 2 4" xfId="20134" xr:uid="{D008973B-7E06-4B8D-A03B-7D04EC74988B}"/>
    <cellStyle name="Normal 9 3 3 3 3" xfId="5309" xr:uid="{00000000-0005-0000-0000-000012200000}"/>
    <cellStyle name="Normal 9 3 3 3 3 2" xfId="13759" xr:uid="{B44C6A55-F5CA-480A-B789-7D5EAAF7DC1B}"/>
    <cellStyle name="Normal 9 3 3 3 3 3" xfId="22206" xr:uid="{F54E6B56-7998-4D73-9205-1E74E391DF8B}"/>
    <cellStyle name="Normal 9 3 3 3 4" xfId="9541" xr:uid="{2320EE84-F82E-414B-BA5D-8526EAB45A88}"/>
    <cellStyle name="Normal 9 3 3 3 5" xfId="17989" xr:uid="{25D0E6F4-2587-48BB-80AD-637AAB11C7A7}"/>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E90E111B-E149-44BB-92B6-1F8BDF75D76C}"/>
    <cellStyle name="Normal 9 3 3 4 2 2 3" xfId="24764" xr:uid="{D68079E7-DEAA-4439-973F-04191ADF8100}"/>
    <cellStyle name="Normal 9 3 3 4 2 3" xfId="12099" xr:uid="{5926FE5A-D266-4A98-BE58-AB94B9E31C8D}"/>
    <cellStyle name="Normal 9 3 3 4 2 4" xfId="20547" xr:uid="{C56006DB-F69C-4A8D-AA50-D2E5189EC981}"/>
    <cellStyle name="Normal 9 3 3 4 3" xfId="5722" xr:uid="{00000000-0005-0000-0000-000016200000}"/>
    <cellStyle name="Normal 9 3 3 4 3 2" xfId="14172" xr:uid="{20042817-61D2-4E44-B2BC-EBCCEA28985D}"/>
    <cellStyle name="Normal 9 3 3 4 3 3" xfId="22619" xr:uid="{1521D0BC-D5E0-48DA-8136-1754812D072C}"/>
    <cellStyle name="Normal 9 3 3 4 4" xfId="9954" xr:uid="{8A93CF54-6B44-46CE-A7BD-9C4DEA34CF45}"/>
    <cellStyle name="Normal 9 3 3 4 5" xfId="18402" xr:uid="{07721780-84A3-4320-839D-503869A65FFF}"/>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8EBCA4F6-DB40-47B1-BCDB-4B3FE9FBB807}"/>
    <cellStyle name="Normal 9 3 3 5 2 2 3" xfId="25177" xr:uid="{692D2892-164A-4E61-9FE5-11DAD1906AD1}"/>
    <cellStyle name="Normal 9 3 3 5 2 3" xfId="12512" xr:uid="{AB71296A-D478-4DA8-AB49-AB6174BDB592}"/>
    <cellStyle name="Normal 9 3 3 5 2 4" xfId="20960" xr:uid="{E55F2F59-9477-4542-9601-EF1C8EEC58E0}"/>
    <cellStyle name="Normal 9 3 3 5 3" xfId="6135" xr:uid="{00000000-0005-0000-0000-00001A200000}"/>
    <cellStyle name="Normal 9 3 3 5 3 2" xfId="14585" xr:uid="{305A4731-F6B2-42A4-AE03-D2893D7F7EA6}"/>
    <cellStyle name="Normal 9 3 3 5 3 3" xfId="23032" xr:uid="{B0356E12-1979-44B2-B0FF-C4A8DF8D8F72}"/>
    <cellStyle name="Normal 9 3 3 5 4" xfId="10367" xr:uid="{4CBAFF63-8CAC-48EA-95B4-6508B78FB079}"/>
    <cellStyle name="Normal 9 3 3 5 5" xfId="18815" xr:uid="{A1AB63DE-3F0E-498C-981C-88F6DD403350}"/>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90187909-5C32-446C-B78D-8E6AE5E03C26}"/>
    <cellStyle name="Normal 9 3 3 6 2 2 3" xfId="25590" xr:uid="{B771645B-BCAA-4D77-AAC4-07B5066417C4}"/>
    <cellStyle name="Normal 9 3 3 6 2 3" xfId="12925" xr:uid="{11FAD42E-EFDE-4152-99A5-6D6EC134CE49}"/>
    <cellStyle name="Normal 9 3 3 6 2 4" xfId="21373" xr:uid="{C5B0D325-5F33-4FAD-AD49-76F412FC6E61}"/>
    <cellStyle name="Normal 9 3 3 6 3" xfId="6548" xr:uid="{00000000-0005-0000-0000-00001E200000}"/>
    <cellStyle name="Normal 9 3 3 6 3 2" xfId="14998" xr:uid="{FD3B865E-E6E0-448A-8FF0-7BC1DBFC7C91}"/>
    <cellStyle name="Normal 9 3 3 6 3 3" xfId="23445" xr:uid="{69D55FDA-C954-4614-B32A-85F0B3632500}"/>
    <cellStyle name="Normal 9 3 3 6 4" xfId="10780" xr:uid="{BC6C2C12-C24B-4B84-ABEA-AC15FA2BD4BD}"/>
    <cellStyle name="Normal 9 3 3 6 5" xfId="19228" xr:uid="{C519AA43-11E9-4202-BDE8-C1A22C6AB275}"/>
    <cellStyle name="Normal 9 3 3 7" xfId="2678" xr:uid="{00000000-0005-0000-0000-00001F200000}"/>
    <cellStyle name="Normal 9 3 3 7 2" xfId="6961" xr:uid="{00000000-0005-0000-0000-000020200000}"/>
    <cellStyle name="Normal 9 3 3 7 2 2" xfId="15411" xr:uid="{09BD51B4-8303-42C5-90B5-D2B3C4545262}"/>
    <cellStyle name="Normal 9 3 3 7 2 3" xfId="23858" xr:uid="{F4224A11-7A4D-4B1F-86FD-908071634F1D}"/>
    <cellStyle name="Normal 9 3 3 7 3" xfId="11193" xr:uid="{A372EFD9-EA26-4D7F-977D-CEF591EF79E2}"/>
    <cellStyle name="Normal 9 3 3 7 4" xfId="19641" xr:uid="{134B28DC-02ED-49C0-B83A-EDC157BBAE99}"/>
    <cellStyle name="Normal 9 3 3 8" xfId="4896" xr:uid="{00000000-0005-0000-0000-000021200000}"/>
    <cellStyle name="Normal 9 3 3 8 2" xfId="13346" xr:uid="{49322209-8898-444C-B03D-AD42523B7F22}"/>
    <cellStyle name="Normal 9 3 3 8 3" xfId="21793" xr:uid="{3A36BB48-92B7-4BB5-804C-3B99F13A7A06}"/>
    <cellStyle name="Normal 9 3 3 9" xfId="9128" xr:uid="{324E1DFD-06B5-4888-ACA0-8129C4607A4F}"/>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BCF7BF48-3960-4A6F-82F1-FF38F3D6B800}"/>
    <cellStyle name="Normal 9 3 4 2 2 2 3" xfId="24353" xr:uid="{23395214-FBAC-4556-B129-7AD84D2F906D}"/>
    <cellStyle name="Normal 9 3 4 2 2 3" xfId="11688" xr:uid="{1DD1512C-6576-4754-A918-18BDDF2746BF}"/>
    <cellStyle name="Normal 9 3 4 2 2 4" xfId="20136" xr:uid="{BF214259-7ECF-401E-B6D9-85E64EDE3E2D}"/>
    <cellStyle name="Normal 9 3 4 2 3" xfId="5311" xr:uid="{00000000-0005-0000-0000-000026200000}"/>
    <cellStyle name="Normal 9 3 4 2 3 2" xfId="13761" xr:uid="{BFF57ABC-B394-4FE0-9127-3D4067770212}"/>
    <cellStyle name="Normal 9 3 4 2 3 3" xfId="22208" xr:uid="{2EC05995-2822-48D3-8FCA-F721FD3CE18A}"/>
    <cellStyle name="Normal 9 3 4 2 4" xfId="9543" xr:uid="{B574AD6E-BAC5-4323-AB3C-F5DEA5D4ADF5}"/>
    <cellStyle name="Normal 9 3 4 2 5" xfId="17991" xr:uid="{77EF7229-7BD7-470C-9237-8E44539A1BD2}"/>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3E9F2A3D-2D68-40FB-8897-ABB89AE72B5C}"/>
    <cellStyle name="Normal 9 3 4 3 2 2 3" xfId="24766" xr:uid="{8267C2D1-CE86-413E-BA30-21BC710283B4}"/>
    <cellStyle name="Normal 9 3 4 3 2 3" xfId="12101" xr:uid="{3A7F7086-808B-4D2D-BF55-E23626A9DCFB}"/>
    <cellStyle name="Normal 9 3 4 3 2 4" xfId="20549" xr:uid="{67C6B318-0570-4F56-9B0A-FA4280824451}"/>
    <cellStyle name="Normal 9 3 4 3 3" xfId="5724" xr:uid="{00000000-0005-0000-0000-00002A200000}"/>
    <cellStyle name="Normal 9 3 4 3 3 2" xfId="14174" xr:uid="{3B112DF0-97DF-4A4A-BB6B-352547C613AF}"/>
    <cellStyle name="Normal 9 3 4 3 3 3" xfId="22621" xr:uid="{F18A2C4A-BCF4-443D-B58F-BA10D0B08688}"/>
    <cellStyle name="Normal 9 3 4 3 4" xfId="9956" xr:uid="{18F6CA3D-31EC-47B5-AC2A-7D978D3524DD}"/>
    <cellStyle name="Normal 9 3 4 3 5" xfId="18404" xr:uid="{F3C4A00A-54BF-4B45-8718-30856FF3ADD6}"/>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8DA4F530-C40D-402A-BF1F-BDCF99BACECC}"/>
    <cellStyle name="Normal 9 3 4 4 2 2 3" xfId="25179" xr:uid="{D6B04EA4-2F9C-4CB3-88BF-405C2EDEDE14}"/>
    <cellStyle name="Normal 9 3 4 4 2 3" xfId="12514" xr:uid="{A8DE22E8-23F8-42DD-B745-67D6DC9D4DB8}"/>
    <cellStyle name="Normal 9 3 4 4 2 4" xfId="20962" xr:uid="{F1107EB4-6C4B-419A-AC4B-ED7387A109DF}"/>
    <cellStyle name="Normal 9 3 4 4 3" xfId="6137" xr:uid="{00000000-0005-0000-0000-00002E200000}"/>
    <cellStyle name="Normal 9 3 4 4 3 2" xfId="14587" xr:uid="{C3BBF8FD-E664-4342-BC58-E8F32C6C09E2}"/>
    <cellStyle name="Normal 9 3 4 4 3 3" xfId="23034" xr:uid="{73FCD4D4-F224-44CD-B611-259BCA2A9C74}"/>
    <cellStyle name="Normal 9 3 4 4 4" xfId="10369" xr:uid="{B81E098F-ED38-428F-B0CA-C26E29E530FD}"/>
    <cellStyle name="Normal 9 3 4 4 5" xfId="18817" xr:uid="{9E1FD99E-B086-4392-90A2-AC1737A17370}"/>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595AF464-FD21-4EE5-AFDA-CFF1B0886086}"/>
    <cellStyle name="Normal 9 3 4 5 2 2 3" xfId="25592" xr:uid="{E5237488-81A7-4028-9AFA-7ECF4EA3259D}"/>
    <cellStyle name="Normal 9 3 4 5 2 3" xfId="12927" xr:uid="{AC7324DA-C805-433E-A66F-13EDF1156488}"/>
    <cellStyle name="Normal 9 3 4 5 2 4" xfId="21375" xr:uid="{9280601A-AF6E-4E5A-832A-6B35A4A7739D}"/>
    <cellStyle name="Normal 9 3 4 5 3" xfId="6550" xr:uid="{00000000-0005-0000-0000-000032200000}"/>
    <cellStyle name="Normal 9 3 4 5 3 2" xfId="15000" xr:uid="{FF966C61-FB33-4119-BFCC-77DBC2168650}"/>
    <cellStyle name="Normal 9 3 4 5 3 3" xfId="23447" xr:uid="{59A3FDAC-84BC-4B8B-BECC-9FB9CE268062}"/>
    <cellStyle name="Normal 9 3 4 5 4" xfId="10782" xr:uid="{87A6F89E-D18C-47E2-A280-ADE18FAFB7F0}"/>
    <cellStyle name="Normal 9 3 4 5 5" xfId="19230" xr:uid="{18F125BF-82C1-40D6-8329-734C3D88ED16}"/>
    <cellStyle name="Normal 9 3 4 6" xfId="2680" xr:uid="{00000000-0005-0000-0000-000033200000}"/>
    <cellStyle name="Normal 9 3 4 6 2" xfId="6963" xr:uid="{00000000-0005-0000-0000-000034200000}"/>
    <cellStyle name="Normal 9 3 4 6 2 2" xfId="15413" xr:uid="{1FF50229-566E-451D-AAC2-B68292AEA837}"/>
    <cellStyle name="Normal 9 3 4 6 2 3" xfId="23860" xr:uid="{620BEACB-9B59-4DA1-9590-A2815D82BB18}"/>
    <cellStyle name="Normal 9 3 4 6 3" xfId="11195" xr:uid="{F7824953-8035-4BCB-8C50-FFFA03E161F3}"/>
    <cellStyle name="Normal 9 3 4 6 4" xfId="19643" xr:uid="{AD95E0B9-B1B9-4D31-B3C6-852C33B7D79B}"/>
    <cellStyle name="Normal 9 3 4 7" xfId="4898" xr:uid="{00000000-0005-0000-0000-000035200000}"/>
    <cellStyle name="Normal 9 3 4 7 2" xfId="13348" xr:uid="{273314A9-666C-48D0-A1A5-0C6582EBFF02}"/>
    <cellStyle name="Normal 9 3 4 7 3" xfId="21795" xr:uid="{8191E480-1C96-4099-AB70-C26280B77AB9}"/>
    <cellStyle name="Normal 9 3 4 8" xfId="9130" xr:uid="{9F8D734B-47F4-44D9-B1D6-25D7820F3074}"/>
    <cellStyle name="Normal 9 3 4 9" xfId="17578" xr:uid="{C01F35A1-BAB7-45E2-940D-45B202D7635E}"/>
    <cellStyle name="Normal 9 3 5" xfId="994" xr:uid="{00000000-0005-0000-0000-000036200000}"/>
    <cellStyle name="Normal 9 3 5 2" xfId="3227" xr:uid="{00000000-0005-0000-0000-000037200000}"/>
    <cellStyle name="Normal 9 3 5 2 2" xfId="7449" xr:uid="{00000000-0005-0000-0000-000038200000}"/>
    <cellStyle name="Normal 9 3 5 2 2 2" xfId="15899" xr:uid="{E81796FC-76D3-4086-8821-0E976712B2DD}"/>
    <cellStyle name="Normal 9 3 5 2 2 3" xfId="24346" xr:uid="{B2547542-4FFB-42B7-8D07-9E194EB3B1C1}"/>
    <cellStyle name="Normal 9 3 5 2 3" xfId="11681" xr:uid="{8A50FF83-0CF7-47F2-AEE8-07D313D77E6C}"/>
    <cellStyle name="Normal 9 3 5 2 4" xfId="20129" xr:uid="{B56ED84F-62F6-4306-9FF2-3F5901985177}"/>
    <cellStyle name="Normal 9 3 5 3" xfId="5304" xr:uid="{00000000-0005-0000-0000-000039200000}"/>
    <cellStyle name="Normal 9 3 5 3 2" xfId="13754" xr:uid="{D0832E7D-D7FC-4801-8202-5533FB1683E8}"/>
    <cellStyle name="Normal 9 3 5 3 3" xfId="22201" xr:uid="{F415831D-36F2-46AB-8B77-5229150BA9A6}"/>
    <cellStyle name="Normal 9 3 5 4" xfId="9536" xr:uid="{6AF5DCBA-A113-48EC-87BD-4B0075849DD6}"/>
    <cellStyle name="Normal 9 3 5 5" xfId="17984" xr:uid="{DAA6097E-ADA4-4204-B199-4AAC9EEC35A0}"/>
    <cellStyle name="Normal 9 3 6" xfId="1410" xr:uid="{00000000-0005-0000-0000-00003A200000}"/>
    <cellStyle name="Normal 9 3 6 2" xfId="3640" xr:uid="{00000000-0005-0000-0000-00003B200000}"/>
    <cellStyle name="Normal 9 3 6 2 2" xfId="7862" xr:uid="{00000000-0005-0000-0000-00003C200000}"/>
    <cellStyle name="Normal 9 3 6 2 2 2" xfId="16312" xr:uid="{9D32CFD8-3594-4B80-8C07-538E67909986}"/>
    <cellStyle name="Normal 9 3 6 2 2 3" xfId="24759" xr:uid="{28538232-B98F-4F70-906C-664A5E14E5AB}"/>
    <cellStyle name="Normal 9 3 6 2 3" xfId="12094" xr:uid="{825E8183-B761-449A-9AD4-CF8D1620A9E4}"/>
    <cellStyle name="Normal 9 3 6 2 4" xfId="20542" xr:uid="{9AA7D2B8-6AF1-4F34-A282-20253ADD1A26}"/>
    <cellStyle name="Normal 9 3 6 3" xfId="5717" xr:uid="{00000000-0005-0000-0000-00003D200000}"/>
    <cellStyle name="Normal 9 3 6 3 2" xfId="14167" xr:uid="{FB5EB7D5-C1AF-4CBC-B9C3-5792D62646B0}"/>
    <cellStyle name="Normal 9 3 6 3 3" xfId="22614" xr:uid="{1FD308C7-4B4A-4212-AD55-D6A3C204C365}"/>
    <cellStyle name="Normal 9 3 6 4" xfId="9949" xr:uid="{838D5AF3-C5CC-4763-8AFC-2D16D8AE8687}"/>
    <cellStyle name="Normal 9 3 6 5" xfId="18397" xr:uid="{8E5FD5C7-DD61-475C-9A01-1D99C5496577}"/>
    <cellStyle name="Normal 9 3 7" xfId="1823" xr:uid="{00000000-0005-0000-0000-00003E200000}"/>
    <cellStyle name="Normal 9 3 7 2" xfId="4053" xr:uid="{00000000-0005-0000-0000-00003F200000}"/>
    <cellStyle name="Normal 9 3 7 2 2" xfId="8275" xr:uid="{00000000-0005-0000-0000-000040200000}"/>
    <cellStyle name="Normal 9 3 7 2 2 2" xfId="16725" xr:uid="{624C0EF9-5A38-4865-B330-E748CB08CA87}"/>
    <cellStyle name="Normal 9 3 7 2 2 3" xfId="25172" xr:uid="{9FEFB8CD-D9E3-4195-80B5-6282CAC3AE9C}"/>
    <cellStyle name="Normal 9 3 7 2 3" xfId="12507" xr:uid="{B1A1ADF7-E152-4225-A659-C13110F6E122}"/>
    <cellStyle name="Normal 9 3 7 2 4" xfId="20955" xr:uid="{C45DE4F8-3CA2-435B-AFA4-E27DA3E8416C}"/>
    <cellStyle name="Normal 9 3 7 3" xfId="6130" xr:uid="{00000000-0005-0000-0000-000041200000}"/>
    <cellStyle name="Normal 9 3 7 3 2" xfId="14580" xr:uid="{D9807813-33E4-4378-AEFF-0431308DB9F3}"/>
    <cellStyle name="Normal 9 3 7 3 3" xfId="23027" xr:uid="{5D229D09-0441-4F8A-AAD1-B30558F568F2}"/>
    <cellStyle name="Normal 9 3 7 4" xfId="10362" xr:uid="{9C613215-9316-4BF4-8F9C-2E401C9F740D}"/>
    <cellStyle name="Normal 9 3 7 5" xfId="18810" xr:uid="{24133EDA-66C6-4881-8630-A4D43D1774CE}"/>
    <cellStyle name="Normal 9 3 8" xfId="2237" xr:uid="{00000000-0005-0000-0000-000042200000}"/>
    <cellStyle name="Normal 9 3 8 2" xfId="4466" xr:uid="{00000000-0005-0000-0000-000043200000}"/>
    <cellStyle name="Normal 9 3 8 2 2" xfId="8688" xr:uid="{00000000-0005-0000-0000-000044200000}"/>
    <cellStyle name="Normal 9 3 8 2 2 2" xfId="17138" xr:uid="{C2F150CB-28A6-43AF-87EE-81E552736BC2}"/>
    <cellStyle name="Normal 9 3 8 2 2 3" xfId="25585" xr:uid="{3A3B4807-31F3-4DE7-9AF4-F35F75905E78}"/>
    <cellStyle name="Normal 9 3 8 2 3" xfId="12920" xr:uid="{C2425FA1-CF1B-4264-9794-4FA82C97E005}"/>
    <cellStyle name="Normal 9 3 8 2 4" xfId="21368" xr:uid="{7BAD6FBA-B63C-4AE1-9071-24B212C4D385}"/>
    <cellStyle name="Normal 9 3 8 3" xfId="6543" xr:uid="{00000000-0005-0000-0000-000045200000}"/>
    <cellStyle name="Normal 9 3 8 3 2" xfId="14993" xr:uid="{3680D5B8-DCEA-4CF5-8951-A07AFC3802CC}"/>
    <cellStyle name="Normal 9 3 8 3 3" xfId="23440" xr:uid="{56244288-E654-4801-A908-86375D1718C0}"/>
    <cellStyle name="Normal 9 3 8 4" xfId="10775" xr:uid="{E9A71A5A-967D-400F-B21D-CB13ABEF6AE0}"/>
    <cellStyle name="Normal 9 3 8 5" xfId="19223" xr:uid="{388BAD7E-16FD-4FFA-BB22-4EE7ADBC37EB}"/>
    <cellStyle name="Normal 9 3 9" xfId="2673" xr:uid="{00000000-0005-0000-0000-000046200000}"/>
    <cellStyle name="Normal 9 3 9 2" xfId="6956" xr:uid="{00000000-0005-0000-0000-000047200000}"/>
    <cellStyle name="Normal 9 3 9 2 2" xfId="15406" xr:uid="{E4559313-5E1E-4CA6-A646-F9A440119AB0}"/>
    <cellStyle name="Normal 9 3 9 2 3" xfId="23853" xr:uid="{E94D212C-4E90-4B65-81B4-7C9353676EF4}"/>
    <cellStyle name="Normal 9 3 9 3" xfId="11188" xr:uid="{F05D496B-98C4-40F3-8EAD-41DFC3F37B63}"/>
    <cellStyle name="Normal 9 3 9 4" xfId="19636" xr:uid="{A61B8378-139F-4F03-BA73-8E05A42A1097}"/>
    <cellStyle name="Normal 9 4" xfId="535" xr:uid="{00000000-0005-0000-0000-000048200000}"/>
    <cellStyle name="Normal 9 4 2" xfId="1002" xr:uid="{00000000-0005-0000-0000-000049200000}"/>
    <cellStyle name="Normal 9 5" xfId="536" xr:uid="{00000000-0005-0000-0000-00004A200000}"/>
    <cellStyle name="Normal 9 5 10" xfId="17579" xr:uid="{9B968F32-998C-433F-802B-352BA689940F}"/>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563EE891-9579-4AA4-8FD9-33F84CB2EA7A}"/>
    <cellStyle name="Normal 9 5 2 2 2 2 3" xfId="24355" xr:uid="{B9FD3C82-208F-4E32-84BE-B2BC4B218267}"/>
    <cellStyle name="Normal 9 5 2 2 2 3" xfId="11690" xr:uid="{BF265CA9-65E9-4DB2-B678-06BB437F5919}"/>
    <cellStyle name="Normal 9 5 2 2 2 4" xfId="20138" xr:uid="{FB03371C-7111-4BF4-899F-4F5E0DA5D9D5}"/>
    <cellStyle name="Normal 9 5 2 2 3" xfId="5313" xr:uid="{00000000-0005-0000-0000-00004F200000}"/>
    <cellStyle name="Normal 9 5 2 2 3 2" xfId="13763" xr:uid="{5D139653-22A2-4375-BB4B-20FB323BA078}"/>
    <cellStyle name="Normal 9 5 2 2 3 3" xfId="22210" xr:uid="{199CE092-F1D8-47BA-B28E-78424FFD1045}"/>
    <cellStyle name="Normal 9 5 2 2 4" xfId="9545" xr:uid="{C80966DD-D05A-4408-BC04-F04FA28B9A5A}"/>
    <cellStyle name="Normal 9 5 2 2 5" xfId="17993" xr:uid="{483FA922-A592-4DE4-8CC8-5DC421FD844D}"/>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C09B0A3F-35C0-4C47-91F6-A4ED8E9EC87C}"/>
    <cellStyle name="Normal 9 5 2 3 2 2 3" xfId="24768" xr:uid="{E19F81AC-8B37-46AB-BD2C-379BDB334AB3}"/>
    <cellStyle name="Normal 9 5 2 3 2 3" xfId="12103" xr:uid="{36BCD5D3-2E63-461F-A69B-1B5DCD74E26C}"/>
    <cellStyle name="Normal 9 5 2 3 2 4" xfId="20551" xr:uid="{D30E4708-0C2F-4D57-A892-CEE6363086AE}"/>
    <cellStyle name="Normal 9 5 2 3 3" xfId="5726" xr:uid="{00000000-0005-0000-0000-000053200000}"/>
    <cellStyle name="Normal 9 5 2 3 3 2" xfId="14176" xr:uid="{A8BC610A-C45C-4240-A2EA-D6031A398A68}"/>
    <cellStyle name="Normal 9 5 2 3 3 3" xfId="22623" xr:uid="{5E89D588-8575-4628-B110-B2B7B9E1D623}"/>
    <cellStyle name="Normal 9 5 2 3 4" xfId="9958" xr:uid="{C5DB6D17-0D2B-45F8-88D6-8DDB445E0EB4}"/>
    <cellStyle name="Normal 9 5 2 3 5" xfId="18406" xr:uid="{2196E85B-BCE6-4A53-967D-004D19DEC894}"/>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62FE2A45-927A-4F70-989F-57ED01362516}"/>
    <cellStyle name="Normal 9 5 2 4 2 2 3" xfId="25181" xr:uid="{00C2FD03-FA58-4A9A-83E8-602EB105B29A}"/>
    <cellStyle name="Normal 9 5 2 4 2 3" xfId="12516" xr:uid="{12AB4E10-518B-423E-830D-05A52D569A77}"/>
    <cellStyle name="Normal 9 5 2 4 2 4" xfId="20964" xr:uid="{A14822C3-39BE-40EF-BB1F-4FA723A9E672}"/>
    <cellStyle name="Normal 9 5 2 4 3" xfId="6139" xr:uid="{00000000-0005-0000-0000-000057200000}"/>
    <cellStyle name="Normal 9 5 2 4 3 2" xfId="14589" xr:uid="{51223C1A-2997-44CC-B4F5-2DF88AF9FD95}"/>
    <cellStyle name="Normal 9 5 2 4 3 3" xfId="23036" xr:uid="{0F817089-7A3D-456F-98FB-5D15BC3C68D0}"/>
    <cellStyle name="Normal 9 5 2 4 4" xfId="10371" xr:uid="{99D995CE-FEEC-42A9-8AC2-A2D21F59AE66}"/>
    <cellStyle name="Normal 9 5 2 4 5" xfId="18819" xr:uid="{BE45C513-08F2-4C76-B2D2-78AF2B360881}"/>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F186C50E-6857-4728-B9D2-B427D897907A}"/>
    <cellStyle name="Normal 9 5 2 5 2 2 3" xfId="25594" xr:uid="{70FE89BB-AE5A-4D1D-AEDC-88421819502B}"/>
    <cellStyle name="Normal 9 5 2 5 2 3" xfId="12929" xr:uid="{CEE89617-C77F-49A5-B277-B9DC05CB9A1D}"/>
    <cellStyle name="Normal 9 5 2 5 2 4" xfId="21377" xr:uid="{125C1BBA-4259-4347-9B8C-12E19B320643}"/>
    <cellStyle name="Normal 9 5 2 5 3" xfId="6552" xr:uid="{00000000-0005-0000-0000-00005B200000}"/>
    <cellStyle name="Normal 9 5 2 5 3 2" xfId="15002" xr:uid="{AC020BEB-D08A-4F9C-AAE4-B9A3442CA328}"/>
    <cellStyle name="Normal 9 5 2 5 3 3" xfId="23449" xr:uid="{E8CCAAF6-5F42-4ACA-8F02-8090FAEDE6F0}"/>
    <cellStyle name="Normal 9 5 2 5 4" xfId="10784" xr:uid="{3E54213D-2414-4774-AA88-8669C2DBE451}"/>
    <cellStyle name="Normal 9 5 2 5 5" xfId="19232" xr:uid="{5A0FD13E-A537-4D6A-B3DF-69B76B41A4E6}"/>
    <cellStyle name="Normal 9 5 2 6" xfId="2682" xr:uid="{00000000-0005-0000-0000-00005C200000}"/>
    <cellStyle name="Normal 9 5 2 6 2" xfId="6965" xr:uid="{00000000-0005-0000-0000-00005D200000}"/>
    <cellStyle name="Normal 9 5 2 6 2 2" xfId="15415" xr:uid="{4819C6E6-601F-4885-9F23-58DB8F3FEC70}"/>
    <cellStyle name="Normal 9 5 2 6 2 3" xfId="23862" xr:uid="{C326D37D-73CF-4930-ABAC-1F4643681D81}"/>
    <cellStyle name="Normal 9 5 2 6 3" xfId="11197" xr:uid="{6898F995-7883-4620-9595-59F0FB0FB55C}"/>
    <cellStyle name="Normal 9 5 2 6 4" xfId="19645" xr:uid="{15EC7893-1363-47C4-954A-B30638BB1299}"/>
    <cellStyle name="Normal 9 5 2 7" xfId="4900" xr:uid="{00000000-0005-0000-0000-00005E200000}"/>
    <cellStyle name="Normal 9 5 2 7 2" xfId="13350" xr:uid="{8A3F4A14-7E88-4E7D-BAFA-8F56159234B9}"/>
    <cellStyle name="Normal 9 5 2 7 3" xfId="21797" xr:uid="{F7A08677-6A40-4F0D-9F1B-B2D91E2F3A8C}"/>
    <cellStyle name="Normal 9 5 2 8" xfId="9132" xr:uid="{819890FF-AB5C-458B-B95C-DB93EB47A9E4}"/>
    <cellStyle name="Normal 9 5 2 9" xfId="17580" xr:uid="{82588F08-BED8-4ECB-9A24-C84976631438}"/>
    <cellStyle name="Normal 9 5 3" xfId="1003" xr:uid="{00000000-0005-0000-0000-00005F200000}"/>
    <cellStyle name="Normal 9 5 3 2" xfId="3235" xr:uid="{00000000-0005-0000-0000-000060200000}"/>
    <cellStyle name="Normal 9 5 3 2 2" xfId="7457" xr:uid="{00000000-0005-0000-0000-000061200000}"/>
    <cellStyle name="Normal 9 5 3 2 2 2" xfId="15907" xr:uid="{EAF11FA5-C781-4FC8-BCD9-D851BA28A472}"/>
    <cellStyle name="Normal 9 5 3 2 2 3" xfId="24354" xr:uid="{0F5CB795-5661-4A6F-A841-AF8586E011FB}"/>
    <cellStyle name="Normal 9 5 3 2 3" xfId="11689" xr:uid="{906D1DD8-84B7-4797-9C02-6D0C170B29E7}"/>
    <cellStyle name="Normal 9 5 3 2 4" xfId="20137" xr:uid="{2548E09F-AD5A-4EDE-AB42-F252ADC3B191}"/>
    <cellStyle name="Normal 9 5 3 3" xfId="5312" xr:uid="{00000000-0005-0000-0000-000062200000}"/>
    <cellStyle name="Normal 9 5 3 3 2" xfId="13762" xr:uid="{02D894F1-919D-441E-B1CC-DE2E7CBAF105}"/>
    <cellStyle name="Normal 9 5 3 3 3" xfId="22209" xr:uid="{6A6A747A-7A7F-479E-A3BD-C137EB7E6C88}"/>
    <cellStyle name="Normal 9 5 3 4" xfId="9544" xr:uid="{F58F8D07-6C77-44D6-8AA1-4B884B330A5D}"/>
    <cellStyle name="Normal 9 5 3 5" xfId="17992" xr:uid="{454EA5D3-7308-4909-BBD4-045D7549961D}"/>
    <cellStyle name="Normal 9 5 4" xfId="1418" xr:uid="{00000000-0005-0000-0000-000063200000}"/>
    <cellStyle name="Normal 9 5 4 2" xfId="3648" xr:uid="{00000000-0005-0000-0000-000064200000}"/>
    <cellStyle name="Normal 9 5 4 2 2" xfId="7870" xr:uid="{00000000-0005-0000-0000-000065200000}"/>
    <cellStyle name="Normal 9 5 4 2 2 2" xfId="16320" xr:uid="{EB10C0AF-0D39-44A2-8F4D-B9A68E13E504}"/>
    <cellStyle name="Normal 9 5 4 2 2 3" xfId="24767" xr:uid="{C468B71F-957A-4FB5-A9FF-4AE6A70D5367}"/>
    <cellStyle name="Normal 9 5 4 2 3" xfId="12102" xr:uid="{A797FF7F-78CE-4238-829C-5DACD3E914BE}"/>
    <cellStyle name="Normal 9 5 4 2 4" xfId="20550" xr:uid="{9E78FFB8-6698-4478-ADDF-93D2A676A370}"/>
    <cellStyle name="Normal 9 5 4 3" xfId="5725" xr:uid="{00000000-0005-0000-0000-000066200000}"/>
    <cellStyle name="Normal 9 5 4 3 2" xfId="14175" xr:uid="{D53C3A41-F902-4D38-A80F-286589C9650A}"/>
    <cellStyle name="Normal 9 5 4 3 3" xfId="22622" xr:uid="{30EF6968-94E1-4B86-B14D-6A224BA55CC2}"/>
    <cellStyle name="Normal 9 5 4 4" xfId="9957" xr:uid="{0C32F142-5A33-4A41-817A-04A4DC237CCA}"/>
    <cellStyle name="Normal 9 5 4 5" xfId="18405" xr:uid="{CE4D589E-5479-4364-85A4-58EA5B725604}"/>
    <cellStyle name="Normal 9 5 5" xfId="1831" xr:uid="{00000000-0005-0000-0000-000067200000}"/>
    <cellStyle name="Normal 9 5 5 2" xfId="4061" xr:uid="{00000000-0005-0000-0000-000068200000}"/>
    <cellStyle name="Normal 9 5 5 2 2" xfId="8283" xr:uid="{00000000-0005-0000-0000-000069200000}"/>
    <cellStyle name="Normal 9 5 5 2 2 2" xfId="16733" xr:uid="{5E992934-84AF-42A6-A009-CCD589986FDC}"/>
    <cellStyle name="Normal 9 5 5 2 2 3" xfId="25180" xr:uid="{FD8623EA-5C26-44FD-A2A1-5EF546D23D8A}"/>
    <cellStyle name="Normal 9 5 5 2 3" xfId="12515" xr:uid="{FFD63345-5FE0-4007-A075-EC85BB03A1E6}"/>
    <cellStyle name="Normal 9 5 5 2 4" xfId="20963" xr:uid="{5521E091-E89E-4DE4-82C9-CA57C69FD664}"/>
    <cellStyle name="Normal 9 5 5 3" xfId="6138" xr:uid="{00000000-0005-0000-0000-00006A200000}"/>
    <cellStyle name="Normal 9 5 5 3 2" xfId="14588" xr:uid="{E78140D2-5EFE-4770-930C-D18434177E52}"/>
    <cellStyle name="Normal 9 5 5 3 3" xfId="23035" xr:uid="{D99F08B3-9C6E-4CC2-8844-1EF012584810}"/>
    <cellStyle name="Normal 9 5 5 4" xfId="10370" xr:uid="{AF9948BA-8AFD-4185-848E-6062DA082928}"/>
    <cellStyle name="Normal 9 5 5 5" xfId="18818" xr:uid="{27D217CD-0563-4CA5-8E7B-37A0EA930D8C}"/>
    <cellStyle name="Normal 9 5 6" xfId="2245" xr:uid="{00000000-0005-0000-0000-00006B200000}"/>
    <cellStyle name="Normal 9 5 6 2" xfId="4474" xr:uid="{00000000-0005-0000-0000-00006C200000}"/>
    <cellStyle name="Normal 9 5 6 2 2" xfId="8696" xr:uid="{00000000-0005-0000-0000-00006D200000}"/>
    <cellStyle name="Normal 9 5 6 2 2 2" xfId="17146" xr:uid="{E1600BB9-F69C-4CE6-B03A-8C45FC8CBD97}"/>
    <cellStyle name="Normal 9 5 6 2 2 3" xfId="25593" xr:uid="{34CD6DEE-85A6-44C2-AFB9-CD28326D3214}"/>
    <cellStyle name="Normal 9 5 6 2 3" xfId="12928" xr:uid="{3C276A96-898B-4AA3-B82C-AB16967E85FF}"/>
    <cellStyle name="Normal 9 5 6 2 4" xfId="21376" xr:uid="{2919336C-EE97-4C24-A4DF-1F78232976D0}"/>
    <cellStyle name="Normal 9 5 6 3" xfId="6551" xr:uid="{00000000-0005-0000-0000-00006E200000}"/>
    <cellStyle name="Normal 9 5 6 3 2" xfId="15001" xr:uid="{D8C63611-26AC-4957-9F7D-52640A5C220E}"/>
    <cellStyle name="Normal 9 5 6 3 3" xfId="23448" xr:uid="{EE188E8F-D7F4-4356-90B4-CCDD4FF01E30}"/>
    <cellStyle name="Normal 9 5 6 4" xfId="10783" xr:uid="{A34B7E10-3058-4613-8F97-14AD7D6BB74C}"/>
    <cellStyle name="Normal 9 5 6 5" xfId="19231" xr:uid="{1A0D533A-9E3F-4415-81F8-46F081E279BD}"/>
    <cellStyle name="Normal 9 5 7" xfId="2681" xr:uid="{00000000-0005-0000-0000-00006F200000}"/>
    <cellStyle name="Normal 9 5 7 2" xfId="6964" xr:uid="{00000000-0005-0000-0000-000070200000}"/>
    <cellStyle name="Normal 9 5 7 2 2" xfId="15414" xr:uid="{17A64C7E-F45E-4D18-B813-942118B78F08}"/>
    <cellStyle name="Normal 9 5 7 2 3" xfId="23861" xr:uid="{613DFD8F-438F-476D-8F95-813CA14298BB}"/>
    <cellStyle name="Normal 9 5 7 3" xfId="11196" xr:uid="{F509F34E-FE49-4FA5-BAE1-DBB0C1AEC2DC}"/>
    <cellStyle name="Normal 9 5 7 4" xfId="19644" xr:uid="{03F08D0F-78CA-4AA6-AB79-8E75945B40AE}"/>
    <cellStyle name="Normal 9 5 8" xfId="4899" xr:uid="{00000000-0005-0000-0000-000071200000}"/>
    <cellStyle name="Normal 9 5 8 2" xfId="13349" xr:uid="{E75BE454-DE94-43F3-A672-E2B398F20E65}"/>
    <cellStyle name="Normal 9 5 8 3" xfId="21796" xr:uid="{A2444039-B34B-44E0-BB62-238795B99E5B}"/>
    <cellStyle name="Normal 9 5 9" xfId="9131" xr:uid="{36B98049-17BC-4D24-8C06-3C5B241DC2CD}"/>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A346BE3D-7AEA-4EA9-A1DF-1AF32593A257}"/>
    <cellStyle name="Normal 9 6 2 2 2 3" xfId="24356" xr:uid="{E7A47F3A-C989-4D1E-BDBD-BED0BA1A960D}"/>
    <cellStyle name="Normal 9 6 2 2 3" xfId="11691" xr:uid="{7819F1EC-6B15-4BE8-9906-37D8064EBB9C}"/>
    <cellStyle name="Normal 9 6 2 2 4" xfId="20139" xr:uid="{1201AF57-9DEA-433A-9654-1805BE2064F3}"/>
    <cellStyle name="Normal 9 6 2 3" xfId="5314" xr:uid="{00000000-0005-0000-0000-000076200000}"/>
    <cellStyle name="Normal 9 6 2 3 2" xfId="13764" xr:uid="{FD75E4FB-D51F-45C7-9C23-39D7740CBCAC}"/>
    <cellStyle name="Normal 9 6 2 3 3" xfId="22211" xr:uid="{DF488B12-5F6A-4839-B17F-6692B0CB01DE}"/>
    <cellStyle name="Normal 9 6 2 4" xfId="9546" xr:uid="{CC433386-B190-4073-AC53-8C7E2A4FC4A0}"/>
    <cellStyle name="Normal 9 6 2 5" xfId="17994" xr:uid="{A3FB219E-87F5-4047-BD67-F5BDC470379A}"/>
    <cellStyle name="Normal 9 6 3" xfId="1420" xr:uid="{00000000-0005-0000-0000-000077200000}"/>
    <cellStyle name="Normal 9 6 3 2" xfId="3650" xr:uid="{00000000-0005-0000-0000-000078200000}"/>
    <cellStyle name="Normal 9 6 3 2 2" xfId="7872" xr:uid="{00000000-0005-0000-0000-000079200000}"/>
    <cellStyle name="Normal 9 6 3 2 2 2" xfId="16322" xr:uid="{8DD600E6-1116-4C4A-9D24-0CB3FF8DFD43}"/>
    <cellStyle name="Normal 9 6 3 2 2 3" xfId="24769" xr:uid="{52333A5D-DFC1-4E0F-84F9-2965AA372DA4}"/>
    <cellStyle name="Normal 9 6 3 2 3" xfId="12104" xr:uid="{5A0CA0AA-0125-4048-8B83-C3671B865E7C}"/>
    <cellStyle name="Normal 9 6 3 2 4" xfId="20552" xr:uid="{9E4381DD-6605-4BF4-A61C-BCEC236D7BB3}"/>
    <cellStyle name="Normal 9 6 3 3" xfId="5727" xr:uid="{00000000-0005-0000-0000-00007A200000}"/>
    <cellStyle name="Normal 9 6 3 3 2" xfId="14177" xr:uid="{05CD6530-9AD4-458B-9EC7-06C89982EFE5}"/>
    <cellStyle name="Normal 9 6 3 3 3" xfId="22624" xr:uid="{5DD02F35-667A-4D8D-A13D-126FD1F97E58}"/>
    <cellStyle name="Normal 9 6 3 4" xfId="9959" xr:uid="{BC9993AD-273F-4106-8813-0230FC72E3DF}"/>
    <cellStyle name="Normal 9 6 3 5" xfId="18407" xr:uid="{04DE7027-E0A7-43CE-8514-BF41A214B915}"/>
    <cellStyle name="Normal 9 6 4" xfId="1833" xr:uid="{00000000-0005-0000-0000-00007B200000}"/>
    <cellStyle name="Normal 9 6 4 2" xfId="4063" xr:uid="{00000000-0005-0000-0000-00007C200000}"/>
    <cellStyle name="Normal 9 6 4 2 2" xfId="8285" xr:uid="{00000000-0005-0000-0000-00007D200000}"/>
    <cellStyle name="Normal 9 6 4 2 2 2" xfId="16735" xr:uid="{A07D2E4E-E581-4230-84E9-AB8396E69119}"/>
    <cellStyle name="Normal 9 6 4 2 2 3" xfId="25182" xr:uid="{93402DEE-C04A-42A6-A6D3-89D3DE18A15C}"/>
    <cellStyle name="Normal 9 6 4 2 3" xfId="12517" xr:uid="{E5749FCD-754C-422C-8A87-A90155640F38}"/>
    <cellStyle name="Normal 9 6 4 2 4" xfId="20965" xr:uid="{CDA21C0B-2BBC-44AE-973C-483B02E01324}"/>
    <cellStyle name="Normal 9 6 4 3" xfId="6140" xr:uid="{00000000-0005-0000-0000-00007E200000}"/>
    <cellStyle name="Normal 9 6 4 3 2" xfId="14590" xr:uid="{F4F2D9A1-F029-4515-8B5D-6C9D257CD09B}"/>
    <cellStyle name="Normal 9 6 4 3 3" xfId="23037" xr:uid="{B983EB6C-B7BB-4A81-9A80-7D036717E822}"/>
    <cellStyle name="Normal 9 6 4 4" xfId="10372" xr:uid="{3804B238-4C6D-4123-817D-7882ECCB6397}"/>
    <cellStyle name="Normal 9 6 4 5" xfId="18820" xr:uid="{422CC037-6EE2-4A2D-9176-56CDDAB5E827}"/>
    <cellStyle name="Normal 9 6 5" xfId="2247" xr:uid="{00000000-0005-0000-0000-00007F200000}"/>
    <cellStyle name="Normal 9 6 5 2" xfId="4476" xr:uid="{00000000-0005-0000-0000-000080200000}"/>
    <cellStyle name="Normal 9 6 5 2 2" xfId="8698" xr:uid="{00000000-0005-0000-0000-000081200000}"/>
    <cellStyle name="Normal 9 6 5 2 2 2" xfId="17148" xr:uid="{CEDF07E8-A90D-44C6-BF53-CCF324733335}"/>
    <cellStyle name="Normal 9 6 5 2 2 3" xfId="25595" xr:uid="{D237B26C-FCE6-4D2D-BC3B-B588A8840CF6}"/>
    <cellStyle name="Normal 9 6 5 2 3" xfId="12930" xr:uid="{756CC0E3-AC7C-419F-8878-5016C0BBC4CF}"/>
    <cellStyle name="Normal 9 6 5 2 4" xfId="21378" xr:uid="{C143C563-9410-4115-8F48-4140BC7FADC4}"/>
    <cellStyle name="Normal 9 6 5 3" xfId="6553" xr:uid="{00000000-0005-0000-0000-000082200000}"/>
    <cellStyle name="Normal 9 6 5 3 2" xfId="15003" xr:uid="{E492B3AD-87BB-49E3-836B-749175640C7B}"/>
    <cellStyle name="Normal 9 6 5 3 3" xfId="23450" xr:uid="{AF7FCA64-A0C0-4E13-B183-D442205EB567}"/>
    <cellStyle name="Normal 9 6 5 4" xfId="10785" xr:uid="{58145BD1-3420-4334-AFD5-47499222FC1F}"/>
    <cellStyle name="Normal 9 6 5 5" xfId="19233" xr:uid="{68649A6B-9BB7-4D4F-AF44-64822DBAF876}"/>
    <cellStyle name="Normal 9 6 6" xfId="2683" xr:uid="{00000000-0005-0000-0000-000083200000}"/>
    <cellStyle name="Normal 9 6 6 2" xfId="6966" xr:uid="{00000000-0005-0000-0000-000084200000}"/>
    <cellStyle name="Normal 9 6 6 2 2" xfId="15416" xr:uid="{B0212E4F-2020-42B1-81B1-591E24B6A9E9}"/>
    <cellStyle name="Normal 9 6 6 2 3" xfId="23863" xr:uid="{72FA5A6C-32DD-4756-9207-C40AD309F9AA}"/>
    <cellStyle name="Normal 9 6 6 3" xfId="11198" xr:uid="{ABD007BC-4EED-49ED-89CC-3C554C49CC6B}"/>
    <cellStyle name="Normal 9 6 6 4" xfId="19646" xr:uid="{FCC2A054-0E63-4591-A03B-FA1FA6F77B7A}"/>
    <cellStyle name="Normal 9 6 7" xfId="4901" xr:uid="{00000000-0005-0000-0000-000085200000}"/>
    <cellStyle name="Normal 9 6 7 2" xfId="13351" xr:uid="{48CA33D8-8CD7-41BA-8153-2E30BBB5024A}"/>
    <cellStyle name="Normal 9 6 7 3" xfId="21798" xr:uid="{7E4A736C-384C-4671-84F5-7ED57FA536DA}"/>
    <cellStyle name="Normal 9 6 8" xfId="9133" xr:uid="{508EB0AC-4991-487B-AD37-FBD6BFCCE9C5}"/>
    <cellStyle name="Normal 9 6 9" xfId="17581" xr:uid="{C8386763-C944-49EE-8E50-03285C7FB024}"/>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9E0458A5-06CF-4ACF-A208-C18F445F8781}"/>
    <cellStyle name="Note 2 2 10 2 3" xfId="23944" xr:uid="{42659B1D-1593-47F6-B658-6F8EE61C24CD}"/>
    <cellStyle name="Note 2 2 10 3" xfId="11279" xr:uid="{628DABD1-256C-40E3-9BAF-BC79556A8721}"/>
    <cellStyle name="Note 2 2 10 4" xfId="19727" xr:uid="{D683EED5-BA6B-49C2-B3B4-A5C9069194A2}"/>
    <cellStyle name="Note 2 2 11" xfId="4902" xr:uid="{00000000-0005-0000-0000-000094200000}"/>
    <cellStyle name="Note 2 2 11 2" xfId="13352" xr:uid="{28BCBE1A-D23C-4455-A0C4-453388D28812}"/>
    <cellStyle name="Note 2 2 11 3" xfId="21799" xr:uid="{D4D9D437-94D8-408A-B1D5-22455E0AE720}"/>
    <cellStyle name="Note 2 2 12" xfId="9134" xr:uid="{6E0B6267-D137-448E-8C56-9B32D8ADB4B5}"/>
    <cellStyle name="Note 2 2 13" xfId="17582" xr:uid="{AD002C5A-6E5F-4D9D-9C88-2B462EBAD0CC}"/>
    <cellStyle name="Note 2 2 2" xfId="546" xr:uid="{00000000-0005-0000-0000-000095200000}"/>
    <cellStyle name="Note 2 2 2 10" xfId="4903" xr:uid="{00000000-0005-0000-0000-000096200000}"/>
    <cellStyle name="Note 2 2 2 10 2" xfId="13353" xr:uid="{14B8C7C0-54B6-42AD-8E7A-5EC9DB4BF213}"/>
    <cellStyle name="Note 2 2 2 10 3" xfId="21800" xr:uid="{D995C906-B075-4FF4-A9DE-397DB8DB3144}"/>
    <cellStyle name="Note 2 2 2 11" xfId="9135" xr:uid="{AFF20CEE-088A-498A-89B0-79343612C9EB}"/>
    <cellStyle name="Note 2 2 2 12" xfId="17583" xr:uid="{B175FBCC-405D-4D3C-9DAB-43AB39C55BD1}"/>
    <cellStyle name="Note 2 2 2 2" xfId="547" xr:uid="{00000000-0005-0000-0000-000097200000}"/>
    <cellStyle name="Note 2 2 2 2 10" xfId="9136" xr:uid="{0121CF34-10AD-47F7-B56F-68CF64776C8C}"/>
    <cellStyle name="Note 2 2 2 2 11" xfId="17584" xr:uid="{D695BB37-72EE-46DD-9975-CDEC858407D0}"/>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DB438F03-1CFC-4F92-B798-C46C05780C2F}"/>
    <cellStyle name="Note 2 2 2 2 2 2 2 3" xfId="24359" xr:uid="{E0A568F0-707B-4FD9-AC71-73F08164F667}"/>
    <cellStyle name="Note 2 2 2 2 2 2 3" xfId="11694" xr:uid="{36EA5ABB-3E3F-4670-B41C-B12F0CA8A150}"/>
    <cellStyle name="Note 2 2 2 2 2 2 4" xfId="20142" xr:uid="{38EFA93C-ECC9-48D4-9994-C2F386F6080C}"/>
    <cellStyle name="Note 2 2 2 2 2 3" xfId="5317" xr:uid="{00000000-0005-0000-0000-00009B200000}"/>
    <cellStyle name="Note 2 2 2 2 2 3 2" xfId="13767" xr:uid="{62032B55-67A4-4825-8DD6-4C50843E9D77}"/>
    <cellStyle name="Note 2 2 2 2 2 3 3" xfId="22214" xr:uid="{EA5961B6-E7A3-44A9-B93B-346AC893D66C}"/>
    <cellStyle name="Note 2 2 2 2 2 4" xfId="9549" xr:uid="{50C003E7-C7E5-4875-B671-0B2F55F01494}"/>
    <cellStyle name="Note 2 2 2 2 2 5" xfId="17997" xr:uid="{B2F9918F-DF38-47FC-BAFE-EA05119CE8FC}"/>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7E0F6209-5660-4325-A655-B79F192402B0}"/>
    <cellStyle name="Note 2 2 2 2 3 2 2 3" xfId="24772" xr:uid="{85FA9F62-D192-48C4-9973-82CE58DD9674}"/>
    <cellStyle name="Note 2 2 2 2 3 2 3" xfId="12107" xr:uid="{5B3192D9-B770-4359-B39E-56C2D2D55BF6}"/>
    <cellStyle name="Note 2 2 2 2 3 2 4" xfId="20555" xr:uid="{A8BA0234-87E0-476D-9E29-C3459D996E74}"/>
    <cellStyle name="Note 2 2 2 2 3 3" xfId="5730" xr:uid="{00000000-0005-0000-0000-00009F200000}"/>
    <cellStyle name="Note 2 2 2 2 3 3 2" xfId="14180" xr:uid="{BB75C8ED-D4A6-4AA6-80B7-ECFA5AEE7277}"/>
    <cellStyle name="Note 2 2 2 2 3 3 3" xfId="22627" xr:uid="{9317C333-86BB-498E-9E30-6F41AE832270}"/>
    <cellStyle name="Note 2 2 2 2 3 4" xfId="9962" xr:uid="{283F3B6B-2462-484E-9B7E-A6408D57612A}"/>
    <cellStyle name="Note 2 2 2 2 3 5" xfId="18410" xr:uid="{16CDDDEB-2EC3-49D9-A346-CFAABCA6E779}"/>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DE913369-EF96-4FDC-9D3D-AA8A44B52211}"/>
    <cellStyle name="Note 2 2 2 2 4 2 2 3" xfId="25185" xr:uid="{E2E0DC73-C9AB-4B6A-941A-9FBCE948E9F9}"/>
    <cellStyle name="Note 2 2 2 2 4 2 3" xfId="12520" xr:uid="{68E3066A-FC78-476D-8A41-5C5E8269AD26}"/>
    <cellStyle name="Note 2 2 2 2 4 2 4" xfId="20968" xr:uid="{7DD5EAA1-2AA2-4021-9293-40A0E84962F0}"/>
    <cellStyle name="Note 2 2 2 2 4 3" xfId="6143" xr:uid="{00000000-0005-0000-0000-0000A3200000}"/>
    <cellStyle name="Note 2 2 2 2 4 3 2" xfId="14593" xr:uid="{CC3956B8-A05E-40B3-980C-3B2154067C49}"/>
    <cellStyle name="Note 2 2 2 2 4 3 3" xfId="23040" xr:uid="{C7207141-57A0-41A5-9A93-3FC15472A31D}"/>
    <cellStyle name="Note 2 2 2 2 4 4" xfId="10375" xr:uid="{0FB1EC7A-F5AB-41BF-8DFE-747E4AB9E4F4}"/>
    <cellStyle name="Note 2 2 2 2 4 5" xfId="18823" xr:uid="{B9AA1504-BEC0-4EC6-8FEE-69A0F6CDB67F}"/>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AB2068C2-E9C9-4B01-B533-F285E6405D82}"/>
    <cellStyle name="Note 2 2 2 2 5 2 2 3" xfId="25598" xr:uid="{713F4C2D-4858-4ADE-8EFB-C341BA5F5735}"/>
    <cellStyle name="Note 2 2 2 2 5 2 3" xfId="12933" xr:uid="{6557393A-2CF2-4904-BB9A-425FB3A5B4E4}"/>
    <cellStyle name="Note 2 2 2 2 5 2 4" xfId="21381" xr:uid="{625613C6-9B85-4FA1-8D30-9E122B6024A5}"/>
    <cellStyle name="Note 2 2 2 2 5 3" xfId="6556" xr:uid="{00000000-0005-0000-0000-0000A7200000}"/>
    <cellStyle name="Note 2 2 2 2 5 3 2" xfId="15006" xr:uid="{625F50C6-7B59-4E2B-8148-0C3ED6BF3FF7}"/>
    <cellStyle name="Note 2 2 2 2 5 3 3" xfId="23453" xr:uid="{0B348EA7-AB14-49F9-86FF-3432DA04328A}"/>
    <cellStyle name="Note 2 2 2 2 5 4" xfId="10788" xr:uid="{022A5D78-B275-4A81-AAE7-DDB5339942C2}"/>
    <cellStyle name="Note 2 2 2 2 5 5" xfId="19236" xr:uid="{7CA31451-083D-44AB-BC7E-C03F3BE3D3CA}"/>
    <cellStyle name="Note 2 2 2 2 6" xfId="2686" xr:uid="{00000000-0005-0000-0000-0000A8200000}"/>
    <cellStyle name="Note 2 2 2 2 6 2" xfId="6969" xr:uid="{00000000-0005-0000-0000-0000A9200000}"/>
    <cellStyle name="Note 2 2 2 2 6 2 2" xfId="15419" xr:uid="{0032B1B3-EB1A-4DCF-AC21-9A48C8E48F34}"/>
    <cellStyle name="Note 2 2 2 2 6 2 3" xfId="23866" xr:uid="{1BA01B13-0648-44EF-B689-4742312F82B5}"/>
    <cellStyle name="Note 2 2 2 2 6 3" xfId="11201" xr:uid="{FD911114-C328-4F4D-98EF-16F8F0F7B22F}"/>
    <cellStyle name="Note 2 2 2 2 6 4" xfId="19649" xr:uid="{FEE80B44-D66D-40F6-A4E7-9B5A2F2C9C1F}"/>
    <cellStyle name="Note 2 2 2 2 7" xfId="2745" xr:uid="{00000000-0005-0000-0000-0000AA200000}"/>
    <cellStyle name="Note 2 2 2 2 8" xfId="2826" xr:uid="{00000000-0005-0000-0000-0000AB200000}"/>
    <cellStyle name="Note 2 2 2 2 8 2" xfId="7049" xr:uid="{00000000-0005-0000-0000-0000AC200000}"/>
    <cellStyle name="Note 2 2 2 2 8 2 2" xfId="15499" xr:uid="{8896A61A-5290-4A3B-848C-E5B4346B5A39}"/>
    <cellStyle name="Note 2 2 2 2 8 2 3" xfId="23946" xr:uid="{5E674705-33A0-4B2B-8BC0-EE863F2547A1}"/>
    <cellStyle name="Note 2 2 2 2 8 3" xfId="11281" xr:uid="{2A57C57F-536F-4401-A64E-532CDE0A3CE9}"/>
    <cellStyle name="Note 2 2 2 2 8 4" xfId="19729" xr:uid="{368EC588-1DBC-4492-B515-965A97A3A860}"/>
    <cellStyle name="Note 2 2 2 2 9" xfId="4904" xr:uid="{00000000-0005-0000-0000-0000AD200000}"/>
    <cellStyle name="Note 2 2 2 2 9 2" xfId="13354" xr:uid="{0A089D00-BB7F-4377-9F0D-F1F8889CC0A7}"/>
    <cellStyle name="Note 2 2 2 2 9 3" xfId="21801" xr:uid="{82E34582-1917-4F76-A713-AE4119144AA1}"/>
    <cellStyle name="Note 2 2 2 3" xfId="1007" xr:uid="{00000000-0005-0000-0000-0000AE200000}"/>
    <cellStyle name="Note 2 2 2 3 2" xfId="3239" xr:uid="{00000000-0005-0000-0000-0000AF200000}"/>
    <cellStyle name="Note 2 2 2 3 2 2" xfId="7461" xr:uid="{00000000-0005-0000-0000-0000B0200000}"/>
    <cellStyle name="Note 2 2 2 3 2 2 2" xfId="15911" xr:uid="{DE1F80C8-BA0A-4CBF-A921-2BF48DD70B15}"/>
    <cellStyle name="Note 2 2 2 3 2 2 3" xfId="24358" xr:uid="{490FDB47-FFC7-4A59-9381-E6BBE074B3F8}"/>
    <cellStyle name="Note 2 2 2 3 2 3" xfId="11693" xr:uid="{BF49B0E8-064B-46E8-A24B-62AFC3CCA10F}"/>
    <cellStyle name="Note 2 2 2 3 2 4" xfId="20141" xr:uid="{EB1E0BF3-7CE5-4EA6-A37E-EFAB50B4BC43}"/>
    <cellStyle name="Note 2 2 2 3 3" xfId="5316" xr:uid="{00000000-0005-0000-0000-0000B1200000}"/>
    <cellStyle name="Note 2 2 2 3 3 2" xfId="13766" xr:uid="{6A05BC70-ACF8-4FAD-8E79-31B48C3EA1D3}"/>
    <cellStyle name="Note 2 2 2 3 3 3" xfId="22213" xr:uid="{00C8B8BF-B557-4609-95FE-A6DB75BD78E3}"/>
    <cellStyle name="Note 2 2 2 3 4" xfId="9548" xr:uid="{96C2A6B6-4034-438F-A235-0572747501BB}"/>
    <cellStyle name="Note 2 2 2 3 5" xfId="17996" xr:uid="{CED66FF9-3C48-4C92-8B95-28DD5FFE9413}"/>
    <cellStyle name="Note 2 2 2 4" xfId="1422" xr:uid="{00000000-0005-0000-0000-0000B2200000}"/>
    <cellStyle name="Note 2 2 2 4 2" xfId="3652" xr:uid="{00000000-0005-0000-0000-0000B3200000}"/>
    <cellStyle name="Note 2 2 2 4 2 2" xfId="7874" xr:uid="{00000000-0005-0000-0000-0000B4200000}"/>
    <cellStyle name="Note 2 2 2 4 2 2 2" xfId="16324" xr:uid="{6C0FA72B-2B11-4EFE-ABEB-5B777A566547}"/>
    <cellStyle name="Note 2 2 2 4 2 2 3" xfId="24771" xr:uid="{43ADF8D5-DAC6-44E1-B86D-DF5A88C6D66D}"/>
    <cellStyle name="Note 2 2 2 4 2 3" xfId="12106" xr:uid="{F9B39400-87B7-47B3-B7FD-88CDC05F6D05}"/>
    <cellStyle name="Note 2 2 2 4 2 4" xfId="20554" xr:uid="{95E35FF6-4537-4344-8074-5A5BC41F2650}"/>
    <cellStyle name="Note 2 2 2 4 3" xfId="5729" xr:uid="{00000000-0005-0000-0000-0000B5200000}"/>
    <cellStyle name="Note 2 2 2 4 3 2" xfId="14179" xr:uid="{18964903-B08D-440F-B92B-C97CCE341F12}"/>
    <cellStyle name="Note 2 2 2 4 3 3" xfId="22626" xr:uid="{46EBFBDD-5EBC-4589-BD6D-D39238089DC9}"/>
    <cellStyle name="Note 2 2 2 4 4" xfId="9961" xr:uid="{602AA360-3D60-4BEE-BB29-422321652C5B}"/>
    <cellStyle name="Note 2 2 2 4 5" xfId="18409" xr:uid="{209AB8C2-690C-4837-B460-002DE5E08968}"/>
    <cellStyle name="Note 2 2 2 5" xfId="1836" xr:uid="{00000000-0005-0000-0000-0000B6200000}"/>
    <cellStyle name="Note 2 2 2 5 2" xfId="4065" xr:uid="{00000000-0005-0000-0000-0000B7200000}"/>
    <cellStyle name="Note 2 2 2 5 2 2" xfId="8287" xr:uid="{00000000-0005-0000-0000-0000B8200000}"/>
    <cellStyle name="Note 2 2 2 5 2 2 2" xfId="16737" xr:uid="{0B6997DF-5917-44D8-BC00-42F325A33E3F}"/>
    <cellStyle name="Note 2 2 2 5 2 2 3" xfId="25184" xr:uid="{01ED691C-5BB6-4A62-9D9D-7C5AE87346F3}"/>
    <cellStyle name="Note 2 2 2 5 2 3" xfId="12519" xr:uid="{CECD44D3-8054-42BB-9E55-7052166831AD}"/>
    <cellStyle name="Note 2 2 2 5 2 4" xfId="20967" xr:uid="{FBAF94B5-2EA5-4752-A6F9-9BE159CDB1D3}"/>
    <cellStyle name="Note 2 2 2 5 3" xfId="6142" xr:uid="{00000000-0005-0000-0000-0000B9200000}"/>
    <cellStyle name="Note 2 2 2 5 3 2" xfId="14592" xr:uid="{7A5594EC-200F-4282-9412-D616FE36AD11}"/>
    <cellStyle name="Note 2 2 2 5 3 3" xfId="23039" xr:uid="{35911514-2BFC-43DC-AD1E-3CB949F7EFA4}"/>
    <cellStyle name="Note 2 2 2 5 4" xfId="10374" xr:uid="{456FB3D6-4093-4C3D-9B18-4217175CE7F9}"/>
    <cellStyle name="Note 2 2 2 5 5" xfId="18822" xr:uid="{EA804E9E-A739-4225-AD47-3DC44ED3A58F}"/>
    <cellStyle name="Note 2 2 2 6" xfId="2249" xr:uid="{00000000-0005-0000-0000-0000BA200000}"/>
    <cellStyle name="Note 2 2 2 6 2" xfId="4478" xr:uid="{00000000-0005-0000-0000-0000BB200000}"/>
    <cellStyle name="Note 2 2 2 6 2 2" xfId="8700" xr:uid="{00000000-0005-0000-0000-0000BC200000}"/>
    <cellStyle name="Note 2 2 2 6 2 2 2" xfId="17150" xr:uid="{1DD4C621-F9CE-44CA-8AB1-A0F58C70FA68}"/>
    <cellStyle name="Note 2 2 2 6 2 2 3" xfId="25597" xr:uid="{B739E2D4-5AFD-494F-95F7-D478D29B9E2B}"/>
    <cellStyle name="Note 2 2 2 6 2 3" xfId="12932" xr:uid="{DBD75D1A-087E-486E-8F0B-B999241ABB86}"/>
    <cellStyle name="Note 2 2 2 6 2 4" xfId="21380" xr:uid="{CCE49F68-2B04-4448-9D93-5EDDCD230E25}"/>
    <cellStyle name="Note 2 2 2 6 3" xfId="6555" xr:uid="{00000000-0005-0000-0000-0000BD200000}"/>
    <cellStyle name="Note 2 2 2 6 3 2" xfId="15005" xr:uid="{3E2E4077-5D0B-46BB-9726-D8CFE03B8C9C}"/>
    <cellStyle name="Note 2 2 2 6 3 3" xfId="23452" xr:uid="{7F54D997-D707-4286-92EF-006BFB616C20}"/>
    <cellStyle name="Note 2 2 2 6 4" xfId="10787" xr:uid="{D5AD2FFC-7817-4B82-AE64-73A99DD251B4}"/>
    <cellStyle name="Note 2 2 2 6 5" xfId="19235" xr:uid="{0E52F66C-CD5D-4503-AFD6-4C1103DA3586}"/>
    <cellStyle name="Note 2 2 2 7" xfId="2685" xr:uid="{00000000-0005-0000-0000-0000BE200000}"/>
    <cellStyle name="Note 2 2 2 7 2" xfId="6968" xr:uid="{00000000-0005-0000-0000-0000BF200000}"/>
    <cellStyle name="Note 2 2 2 7 2 2" xfId="15418" xr:uid="{9160E8EB-4E37-4B87-A302-AF46459A8F64}"/>
    <cellStyle name="Note 2 2 2 7 2 3" xfId="23865" xr:uid="{52E1EA72-A764-4804-BDCD-DFA4D34BDDED}"/>
    <cellStyle name="Note 2 2 2 7 3" xfId="11200" xr:uid="{82D3BD4B-F217-4FF2-8EE1-F11457593D4A}"/>
    <cellStyle name="Note 2 2 2 7 4" xfId="19648" xr:uid="{6D188F25-FFBD-4F06-9A80-50A7FDC998E2}"/>
    <cellStyle name="Note 2 2 2 8" xfId="2744" xr:uid="{00000000-0005-0000-0000-0000C0200000}"/>
    <cellStyle name="Note 2 2 2 9" xfId="2825" xr:uid="{00000000-0005-0000-0000-0000C1200000}"/>
    <cellStyle name="Note 2 2 2 9 2" xfId="7048" xr:uid="{00000000-0005-0000-0000-0000C2200000}"/>
    <cellStyle name="Note 2 2 2 9 2 2" xfId="15498" xr:uid="{28D91B97-A4AB-47F2-8258-0EB8EBC812F9}"/>
    <cellStyle name="Note 2 2 2 9 2 3" xfId="23945" xr:uid="{40B21FE9-7CF6-4540-B811-2FF02984E2F9}"/>
    <cellStyle name="Note 2 2 2 9 3" xfId="11280" xr:uid="{50D3D52D-D0E7-4E4A-8D19-1D31C0DF7DEE}"/>
    <cellStyle name="Note 2 2 2 9 4" xfId="19728" xr:uid="{8E0A87B3-416D-40CE-9781-34BC1C21C16A}"/>
    <cellStyle name="Note 2 2 3" xfId="548" xr:uid="{00000000-0005-0000-0000-0000C3200000}"/>
    <cellStyle name="Note 2 2 3 10" xfId="9137" xr:uid="{E2C63E81-39F9-4B53-A3AE-17BC63C4C45E}"/>
    <cellStyle name="Note 2 2 3 11" xfId="17585" xr:uid="{60BC2CCB-24C2-4D1F-910A-0C39F98DDBDD}"/>
    <cellStyle name="Note 2 2 3 2" xfId="1009" xr:uid="{00000000-0005-0000-0000-0000C4200000}"/>
    <cellStyle name="Note 2 2 3 2 2" xfId="3241" xr:uid="{00000000-0005-0000-0000-0000C5200000}"/>
    <cellStyle name="Note 2 2 3 2 2 2" xfId="7463" xr:uid="{00000000-0005-0000-0000-0000C6200000}"/>
    <cellStyle name="Note 2 2 3 2 2 2 2" xfId="15913" xr:uid="{EEBE739A-ADCC-4D42-BA19-2A4C4B69EB98}"/>
    <cellStyle name="Note 2 2 3 2 2 2 3" xfId="24360" xr:uid="{AB758A5B-D945-4A9F-84B5-8D128F8AE5C9}"/>
    <cellStyle name="Note 2 2 3 2 2 3" xfId="11695" xr:uid="{68820863-A81B-486E-9084-2FB5A608BE90}"/>
    <cellStyle name="Note 2 2 3 2 2 4" xfId="20143" xr:uid="{8933D32B-A39F-4001-A951-B7C98B82C5E6}"/>
    <cellStyle name="Note 2 2 3 2 3" xfId="5318" xr:uid="{00000000-0005-0000-0000-0000C7200000}"/>
    <cellStyle name="Note 2 2 3 2 3 2" xfId="13768" xr:uid="{FD37D40E-08C9-4E8A-A09E-E7274128480E}"/>
    <cellStyle name="Note 2 2 3 2 3 3" xfId="22215" xr:uid="{E9D67703-8031-431D-9622-FFF8BA886A7B}"/>
    <cellStyle name="Note 2 2 3 2 4" xfId="9550" xr:uid="{A4900105-F17E-4C4C-B366-CF9037877BF9}"/>
    <cellStyle name="Note 2 2 3 2 5" xfId="17998" xr:uid="{72069741-CFA7-4261-B4A7-41ABE34C57D3}"/>
    <cellStyle name="Note 2 2 3 3" xfId="1424" xr:uid="{00000000-0005-0000-0000-0000C8200000}"/>
    <cellStyle name="Note 2 2 3 3 2" xfId="3654" xr:uid="{00000000-0005-0000-0000-0000C9200000}"/>
    <cellStyle name="Note 2 2 3 3 2 2" xfId="7876" xr:uid="{00000000-0005-0000-0000-0000CA200000}"/>
    <cellStyle name="Note 2 2 3 3 2 2 2" xfId="16326" xr:uid="{3695061F-54A6-403D-AF8E-E8583D2ADEA0}"/>
    <cellStyle name="Note 2 2 3 3 2 2 3" xfId="24773" xr:uid="{0397A88C-D233-4FA0-BD39-0B98C8C6B3EE}"/>
    <cellStyle name="Note 2 2 3 3 2 3" xfId="12108" xr:uid="{BDFD11C5-E21F-43F7-83BB-C68D8C80941A}"/>
    <cellStyle name="Note 2 2 3 3 2 4" xfId="20556" xr:uid="{DB0E89A9-8FB0-4F30-8B77-0EFD6ED676D8}"/>
    <cellStyle name="Note 2 2 3 3 3" xfId="5731" xr:uid="{00000000-0005-0000-0000-0000CB200000}"/>
    <cellStyle name="Note 2 2 3 3 3 2" xfId="14181" xr:uid="{293CA214-CF91-4247-9FB5-A003E00DACAE}"/>
    <cellStyle name="Note 2 2 3 3 3 3" xfId="22628" xr:uid="{1E48E174-B06B-45D6-81CE-3F67DF8B3584}"/>
    <cellStyle name="Note 2 2 3 3 4" xfId="9963" xr:uid="{05823EEA-64F4-409A-BE58-74779BA36814}"/>
    <cellStyle name="Note 2 2 3 3 5" xfId="18411" xr:uid="{2383116C-FBE3-4552-A289-C2597FC11E83}"/>
    <cellStyle name="Note 2 2 3 4" xfId="1838" xr:uid="{00000000-0005-0000-0000-0000CC200000}"/>
    <cellStyle name="Note 2 2 3 4 2" xfId="4067" xr:uid="{00000000-0005-0000-0000-0000CD200000}"/>
    <cellStyle name="Note 2 2 3 4 2 2" xfId="8289" xr:uid="{00000000-0005-0000-0000-0000CE200000}"/>
    <cellStyle name="Note 2 2 3 4 2 2 2" xfId="16739" xr:uid="{6D5A216D-F5B6-448D-91A0-926C1949A662}"/>
    <cellStyle name="Note 2 2 3 4 2 2 3" xfId="25186" xr:uid="{642A00B4-CC1F-41B4-AE0E-441E3D8BA154}"/>
    <cellStyle name="Note 2 2 3 4 2 3" xfId="12521" xr:uid="{382DA612-D292-45C5-8C7A-EFC4EEFF6B71}"/>
    <cellStyle name="Note 2 2 3 4 2 4" xfId="20969" xr:uid="{837CDEB5-67A3-4CDF-AB69-FA1477C6BCA9}"/>
    <cellStyle name="Note 2 2 3 4 3" xfId="6144" xr:uid="{00000000-0005-0000-0000-0000CF200000}"/>
    <cellStyle name="Note 2 2 3 4 3 2" xfId="14594" xr:uid="{C1108DEF-6009-462A-A12D-306A54F9803B}"/>
    <cellStyle name="Note 2 2 3 4 3 3" xfId="23041" xr:uid="{582D5BDF-36D7-4040-8798-F53B17BFD3D9}"/>
    <cellStyle name="Note 2 2 3 4 4" xfId="10376" xr:uid="{F187CA47-A0B5-4B44-B11E-7DA83E402AE9}"/>
    <cellStyle name="Note 2 2 3 4 5" xfId="18824" xr:uid="{AB0BF923-1D26-434F-A522-EF4D6846ED27}"/>
    <cellStyle name="Note 2 2 3 5" xfId="2251" xr:uid="{00000000-0005-0000-0000-0000D0200000}"/>
    <cellStyle name="Note 2 2 3 5 2" xfId="4480" xr:uid="{00000000-0005-0000-0000-0000D1200000}"/>
    <cellStyle name="Note 2 2 3 5 2 2" xfId="8702" xr:uid="{00000000-0005-0000-0000-0000D2200000}"/>
    <cellStyle name="Note 2 2 3 5 2 2 2" xfId="17152" xr:uid="{34E2595D-5FD4-4C46-90CA-7CD53317B8F1}"/>
    <cellStyle name="Note 2 2 3 5 2 2 3" xfId="25599" xr:uid="{25E893D5-6B9B-445E-B967-AD08137946E4}"/>
    <cellStyle name="Note 2 2 3 5 2 3" xfId="12934" xr:uid="{A0448E9E-45C6-4109-BE36-41589BEE9DAD}"/>
    <cellStyle name="Note 2 2 3 5 2 4" xfId="21382" xr:uid="{16EAF13B-E554-41CB-AC59-120138D851B0}"/>
    <cellStyle name="Note 2 2 3 5 3" xfId="6557" xr:uid="{00000000-0005-0000-0000-0000D3200000}"/>
    <cellStyle name="Note 2 2 3 5 3 2" xfId="15007" xr:uid="{1CEDAA48-EE40-41F5-AA10-7D1DE1CC9727}"/>
    <cellStyle name="Note 2 2 3 5 3 3" xfId="23454" xr:uid="{117805E8-A05A-413E-AF42-354AF7444395}"/>
    <cellStyle name="Note 2 2 3 5 4" xfId="10789" xr:uid="{DC6E3231-B482-40C9-AC64-E96366C9A474}"/>
    <cellStyle name="Note 2 2 3 5 5" xfId="19237" xr:uid="{9C5F7E52-028D-4FF0-805D-63610B34F4F3}"/>
    <cellStyle name="Note 2 2 3 6" xfId="2687" xr:uid="{00000000-0005-0000-0000-0000D4200000}"/>
    <cellStyle name="Note 2 2 3 6 2" xfId="6970" xr:uid="{00000000-0005-0000-0000-0000D5200000}"/>
    <cellStyle name="Note 2 2 3 6 2 2" xfId="15420" xr:uid="{1ACC3C7F-2D33-4300-9C71-E9A7869DF847}"/>
    <cellStyle name="Note 2 2 3 6 2 3" xfId="23867" xr:uid="{2A2438D7-2005-421A-AD25-0CC57B4F5021}"/>
    <cellStyle name="Note 2 2 3 6 3" xfId="11202" xr:uid="{F29012F7-2CE8-4B8E-940D-4D2A6A16FD5A}"/>
    <cellStyle name="Note 2 2 3 6 4" xfId="19650" xr:uid="{A15E15D3-134E-44CF-A8E7-44B21CDEE9A5}"/>
    <cellStyle name="Note 2 2 3 7" xfId="2746" xr:uid="{00000000-0005-0000-0000-0000D6200000}"/>
    <cellStyle name="Note 2 2 3 8" xfId="2827" xr:uid="{00000000-0005-0000-0000-0000D7200000}"/>
    <cellStyle name="Note 2 2 3 8 2" xfId="7050" xr:uid="{00000000-0005-0000-0000-0000D8200000}"/>
    <cellStyle name="Note 2 2 3 8 2 2" xfId="15500" xr:uid="{A44B28B9-84CB-47F5-8769-045E3D743EFC}"/>
    <cellStyle name="Note 2 2 3 8 2 3" xfId="23947" xr:uid="{96734F1A-A19A-4A53-9EB5-55A1F350B857}"/>
    <cellStyle name="Note 2 2 3 8 3" xfId="11282" xr:uid="{F3C0182E-1DED-46D5-AB82-219FCC07F4B5}"/>
    <cellStyle name="Note 2 2 3 8 4" xfId="19730" xr:uid="{87E132A4-9781-4065-A43D-9991DFD3BA64}"/>
    <cellStyle name="Note 2 2 3 9" xfId="4905" xr:uid="{00000000-0005-0000-0000-0000D9200000}"/>
    <cellStyle name="Note 2 2 3 9 2" xfId="13355" xr:uid="{EB268EB5-15DE-4C90-B396-5D393B0984E8}"/>
    <cellStyle name="Note 2 2 3 9 3" xfId="21802" xr:uid="{4E26C646-3953-4124-A54D-1FF29F6ED19F}"/>
    <cellStyle name="Note 2 2 4" xfId="1006" xr:uid="{00000000-0005-0000-0000-0000DA200000}"/>
    <cellStyle name="Note 2 2 4 2" xfId="3238" xr:uid="{00000000-0005-0000-0000-0000DB200000}"/>
    <cellStyle name="Note 2 2 4 2 2" xfId="7460" xr:uid="{00000000-0005-0000-0000-0000DC200000}"/>
    <cellStyle name="Note 2 2 4 2 2 2" xfId="15910" xr:uid="{06F9992C-D005-47B8-AA84-7C6A61D78326}"/>
    <cellStyle name="Note 2 2 4 2 2 3" xfId="24357" xr:uid="{A72067E6-485D-4E92-BBDE-5FD6BA86C031}"/>
    <cellStyle name="Note 2 2 4 2 3" xfId="11692" xr:uid="{7F3A1E30-646D-4412-A448-7AC8F2430860}"/>
    <cellStyle name="Note 2 2 4 2 4" xfId="20140" xr:uid="{9B8E6C1D-5871-402B-823A-E69AB4D962CF}"/>
    <cellStyle name="Note 2 2 4 3" xfId="5315" xr:uid="{00000000-0005-0000-0000-0000DD200000}"/>
    <cellStyle name="Note 2 2 4 3 2" xfId="13765" xr:uid="{8FFC0D58-8DDF-4ADB-A265-B6225218687F}"/>
    <cellStyle name="Note 2 2 4 3 3" xfId="22212" xr:uid="{C9F3F3AB-B76B-4B7D-8CAB-E8A91B32DCB5}"/>
    <cellStyle name="Note 2 2 4 4" xfId="9547" xr:uid="{2065BC6C-D80D-46B9-911C-72188B41B7A6}"/>
    <cellStyle name="Note 2 2 4 5" xfId="17995" xr:uid="{300CE000-3884-4E2B-B3BE-B4A75637FDFF}"/>
    <cellStyle name="Note 2 2 5" xfId="1421" xr:uid="{00000000-0005-0000-0000-0000DE200000}"/>
    <cellStyle name="Note 2 2 5 2" xfId="3651" xr:uid="{00000000-0005-0000-0000-0000DF200000}"/>
    <cellStyle name="Note 2 2 5 2 2" xfId="7873" xr:uid="{00000000-0005-0000-0000-0000E0200000}"/>
    <cellStyle name="Note 2 2 5 2 2 2" xfId="16323" xr:uid="{09E96266-3BC1-4EC7-8D8E-DF19E0C1A065}"/>
    <cellStyle name="Note 2 2 5 2 2 3" xfId="24770" xr:uid="{7F6B982E-1919-4572-AB66-5C58974DD617}"/>
    <cellStyle name="Note 2 2 5 2 3" xfId="12105" xr:uid="{8E04D676-D35A-4A90-A000-8A69E35017FF}"/>
    <cellStyle name="Note 2 2 5 2 4" xfId="20553" xr:uid="{66F533FC-DA26-4F15-AEF0-DDF6C7ED377A}"/>
    <cellStyle name="Note 2 2 5 3" xfId="5728" xr:uid="{00000000-0005-0000-0000-0000E1200000}"/>
    <cellStyle name="Note 2 2 5 3 2" xfId="14178" xr:uid="{13573BFE-D26F-48FB-85BE-55EF90AFDB68}"/>
    <cellStyle name="Note 2 2 5 3 3" xfId="22625" xr:uid="{9D73A5AB-4752-4FA4-B9CD-C264910EF306}"/>
    <cellStyle name="Note 2 2 5 4" xfId="9960" xr:uid="{CB15085A-1764-406A-8A81-ECEE975DD178}"/>
    <cellStyle name="Note 2 2 5 5" xfId="18408" xr:uid="{D499700F-4F5C-45B8-A2BC-9E9FB7ACAB3E}"/>
    <cellStyle name="Note 2 2 6" xfId="1835" xr:uid="{00000000-0005-0000-0000-0000E2200000}"/>
    <cellStyle name="Note 2 2 6 2" xfId="4064" xr:uid="{00000000-0005-0000-0000-0000E3200000}"/>
    <cellStyle name="Note 2 2 6 2 2" xfId="8286" xr:uid="{00000000-0005-0000-0000-0000E4200000}"/>
    <cellStyle name="Note 2 2 6 2 2 2" xfId="16736" xr:uid="{0850604A-5343-4693-A60E-C59074B001C0}"/>
    <cellStyle name="Note 2 2 6 2 2 3" xfId="25183" xr:uid="{BC22946E-ED17-41C3-A17B-D239BD9CB312}"/>
    <cellStyle name="Note 2 2 6 2 3" xfId="12518" xr:uid="{CC430A62-0FB1-481A-B6CF-BC385EE31AF2}"/>
    <cellStyle name="Note 2 2 6 2 4" xfId="20966" xr:uid="{E219B82B-0330-4F95-900A-EEDDCC6FC0D0}"/>
    <cellStyle name="Note 2 2 6 3" xfId="6141" xr:uid="{00000000-0005-0000-0000-0000E5200000}"/>
    <cellStyle name="Note 2 2 6 3 2" xfId="14591" xr:uid="{0E8A5C70-8F01-4E84-AA21-5D596185FFFE}"/>
    <cellStyle name="Note 2 2 6 3 3" xfId="23038" xr:uid="{4BA138C1-30B6-41B4-838C-DC0AE080393A}"/>
    <cellStyle name="Note 2 2 6 4" xfId="10373" xr:uid="{BDC8EA52-7887-48FD-8361-36E5D2E23E20}"/>
    <cellStyle name="Note 2 2 6 5" xfId="18821" xr:uid="{AF0E6B62-E21A-4BEF-AFC8-EC8DD5BC1AB9}"/>
    <cellStyle name="Note 2 2 7" xfId="2248" xr:uid="{00000000-0005-0000-0000-0000E6200000}"/>
    <cellStyle name="Note 2 2 7 2" xfId="4477" xr:uid="{00000000-0005-0000-0000-0000E7200000}"/>
    <cellStyle name="Note 2 2 7 2 2" xfId="8699" xr:uid="{00000000-0005-0000-0000-0000E8200000}"/>
    <cellStyle name="Note 2 2 7 2 2 2" xfId="17149" xr:uid="{A9E722A4-B13B-40A3-AF22-076515E4C1FE}"/>
    <cellStyle name="Note 2 2 7 2 2 3" xfId="25596" xr:uid="{D03CBC23-18D7-421B-BCD7-9D0552274593}"/>
    <cellStyle name="Note 2 2 7 2 3" xfId="12931" xr:uid="{2B393861-1FA4-4BBF-8183-6C8C242A1163}"/>
    <cellStyle name="Note 2 2 7 2 4" xfId="21379" xr:uid="{0EC3440C-4317-4D7F-BF78-6D5EA7E85606}"/>
    <cellStyle name="Note 2 2 7 3" xfId="6554" xr:uid="{00000000-0005-0000-0000-0000E9200000}"/>
    <cellStyle name="Note 2 2 7 3 2" xfId="15004" xr:uid="{D01E9F1F-8B50-440E-BD1C-1EC8F1ABCA9A}"/>
    <cellStyle name="Note 2 2 7 3 3" xfId="23451" xr:uid="{A9939D70-8A52-4529-8807-0F3FF5419BE5}"/>
    <cellStyle name="Note 2 2 7 4" xfId="10786" xr:uid="{005B63D9-1A67-43A3-A82D-75E2F8293797}"/>
    <cellStyle name="Note 2 2 7 5" xfId="19234" xr:uid="{FB0BFECB-DE29-4489-857F-3EDC2756CCB2}"/>
    <cellStyle name="Note 2 2 8" xfId="2684" xr:uid="{00000000-0005-0000-0000-0000EA200000}"/>
    <cellStyle name="Note 2 2 8 2" xfId="6967" xr:uid="{00000000-0005-0000-0000-0000EB200000}"/>
    <cellStyle name="Note 2 2 8 2 2" xfId="15417" xr:uid="{4749E183-B893-4345-8CDB-F5E571BA7944}"/>
    <cellStyle name="Note 2 2 8 2 3" xfId="23864" xr:uid="{6F16BDFC-A71F-4D8E-B3EA-46794E6167F5}"/>
    <cellStyle name="Note 2 2 8 3" xfId="11199" xr:uid="{1320334C-70CC-46A6-8DAF-B7009C8DE64C}"/>
    <cellStyle name="Note 2 2 8 4" xfId="19647" xr:uid="{736A1070-7262-4B5B-97A5-E573B9C560E1}"/>
    <cellStyle name="Note 2 2 9" xfId="2743" xr:uid="{00000000-0005-0000-0000-0000EC200000}"/>
    <cellStyle name="Note 2 3" xfId="549" xr:uid="{00000000-0005-0000-0000-0000ED200000}"/>
    <cellStyle name="Note 2 3 10" xfId="4906" xr:uid="{00000000-0005-0000-0000-0000EE200000}"/>
    <cellStyle name="Note 2 3 10 2" xfId="13356" xr:uid="{37852590-EAC5-4EB0-9A92-450819086BDF}"/>
    <cellStyle name="Note 2 3 10 3" xfId="21803" xr:uid="{065196F2-B803-46F9-9C33-7DA0F21E0745}"/>
    <cellStyle name="Note 2 3 11" xfId="9138" xr:uid="{D6A0B4EE-420F-4F2E-809C-E058FA7302B4}"/>
    <cellStyle name="Note 2 3 12" xfId="17586" xr:uid="{2C804CBC-4310-4601-BEF4-65B861A5C6C7}"/>
    <cellStyle name="Note 2 3 2" xfId="550" xr:uid="{00000000-0005-0000-0000-0000EF200000}"/>
    <cellStyle name="Note 2 3 2 10" xfId="9139" xr:uid="{80244407-5704-4B61-BA11-C7499A3F7843}"/>
    <cellStyle name="Note 2 3 2 11" xfId="17587" xr:uid="{4D6A5C28-8782-4B60-8688-4786D7527C73}"/>
    <cellStyle name="Note 2 3 2 2" xfId="1011" xr:uid="{00000000-0005-0000-0000-0000F0200000}"/>
    <cellStyle name="Note 2 3 2 2 2" xfId="3243" xr:uid="{00000000-0005-0000-0000-0000F1200000}"/>
    <cellStyle name="Note 2 3 2 2 2 2" xfId="7465" xr:uid="{00000000-0005-0000-0000-0000F2200000}"/>
    <cellStyle name="Note 2 3 2 2 2 2 2" xfId="15915" xr:uid="{BBCC30DE-EB30-479A-BFF5-232E4B9C2F75}"/>
    <cellStyle name="Note 2 3 2 2 2 2 3" xfId="24362" xr:uid="{0DBCCFCC-9DA5-49E1-BC1F-60A4B3FCCCCF}"/>
    <cellStyle name="Note 2 3 2 2 2 3" xfId="11697" xr:uid="{AB4784F8-7AEF-4816-82D9-7D3AF3BD2386}"/>
    <cellStyle name="Note 2 3 2 2 2 4" xfId="20145" xr:uid="{7D23682C-FCEF-4A02-B357-20E5D79B5EE2}"/>
    <cellStyle name="Note 2 3 2 2 3" xfId="5320" xr:uid="{00000000-0005-0000-0000-0000F3200000}"/>
    <cellStyle name="Note 2 3 2 2 3 2" xfId="13770" xr:uid="{D6379B2D-F7C5-44EA-898A-CAFD5E6D0806}"/>
    <cellStyle name="Note 2 3 2 2 3 3" xfId="22217" xr:uid="{2E253300-CF9A-4B13-A762-325D9D29B13A}"/>
    <cellStyle name="Note 2 3 2 2 4" xfId="9552" xr:uid="{116CBAF5-BC3F-4CAC-8FD6-3ACEEBF2EAC9}"/>
    <cellStyle name="Note 2 3 2 2 5" xfId="18000" xr:uid="{1CFA12CE-97C7-48EA-AB36-9B122E886724}"/>
    <cellStyle name="Note 2 3 2 3" xfId="1426" xr:uid="{00000000-0005-0000-0000-0000F4200000}"/>
    <cellStyle name="Note 2 3 2 3 2" xfId="3656" xr:uid="{00000000-0005-0000-0000-0000F5200000}"/>
    <cellStyle name="Note 2 3 2 3 2 2" xfId="7878" xr:uid="{00000000-0005-0000-0000-0000F6200000}"/>
    <cellStyle name="Note 2 3 2 3 2 2 2" xfId="16328" xr:uid="{4079E865-9CD3-4448-BD38-DF9F22AA11C0}"/>
    <cellStyle name="Note 2 3 2 3 2 2 3" xfId="24775" xr:uid="{7738DC38-CCF5-48C3-ABEE-E92159EC489F}"/>
    <cellStyle name="Note 2 3 2 3 2 3" xfId="12110" xr:uid="{69963F22-76DC-4439-95C6-FF353596E0DF}"/>
    <cellStyle name="Note 2 3 2 3 2 4" xfId="20558" xr:uid="{AA44D410-AAEE-4594-B569-CC01A69BCFDC}"/>
    <cellStyle name="Note 2 3 2 3 3" xfId="5733" xr:uid="{00000000-0005-0000-0000-0000F7200000}"/>
    <cellStyle name="Note 2 3 2 3 3 2" xfId="14183" xr:uid="{92A28423-B26F-4FF4-A4E7-96923B947EBA}"/>
    <cellStyle name="Note 2 3 2 3 3 3" xfId="22630" xr:uid="{FCBD27FF-46DC-41BC-9614-719FF5125524}"/>
    <cellStyle name="Note 2 3 2 3 4" xfId="9965" xr:uid="{55A622EA-4CA7-475B-8839-0501918B9593}"/>
    <cellStyle name="Note 2 3 2 3 5" xfId="18413" xr:uid="{39BDA678-3825-42D3-8BBB-6BD3E474925A}"/>
    <cellStyle name="Note 2 3 2 4" xfId="1840" xr:uid="{00000000-0005-0000-0000-0000F8200000}"/>
    <cellStyle name="Note 2 3 2 4 2" xfId="4069" xr:uid="{00000000-0005-0000-0000-0000F9200000}"/>
    <cellStyle name="Note 2 3 2 4 2 2" xfId="8291" xr:uid="{00000000-0005-0000-0000-0000FA200000}"/>
    <cellStyle name="Note 2 3 2 4 2 2 2" xfId="16741" xr:uid="{34A99DA1-C306-438D-9F30-869C626EE999}"/>
    <cellStyle name="Note 2 3 2 4 2 2 3" xfId="25188" xr:uid="{99F75586-055E-4099-9F76-BBB1D0D9DE59}"/>
    <cellStyle name="Note 2 3 2 4 2 3" xfId="12523" xr:uid="{8D08FB65-BEA2-44F5-AD63-0EB37439AE01}"/>
    <cellStyle name="Note 2 3 2 4 2 4" xfId="20971" xr:uid="{D459DED0-D841-4ADA-A0D7-AEB84FD6F5D2}"/>
    <cellStyle name="Note 2 3 2 4 3" xfId="6146" xr:uid="{00000000-0005-0000-0000-0000FB200000}"/>
    <cellStyle name="Note 2 3 2 4 3 2" xfId="14596" xr:uid="{03E6AB75-303E-4016-884C-259413EDE9F7}"/>
    <cellStyle name="Note 2 3 2 4 3 3" xfId="23043" xr:uid="{DB111DDC-6C91-4FA0-A94A-2C9CCBA9758C}"/>
    <cellStyle name="Note 2 3 2 4 4" xfId="10378" xr:uid="{2A78E243-E79C-4D44-9D0E-A707DD52B313}"/>
    <cellStyle name="Note 2 3 2 4 5" xfId="18826" xr:uid="{E7CED177-48CE-4C15-B509-9F317D9A5D65}"/>
    <cellStyle name="Note 2 3 2 5" xfId="2253" xr:uid="{00000000-0005-0000-0000-0000FC200000}"/>
    <cellStyle name="Note 2 3 2 5 2" xfId="4482" xr:uid="{00000000-0005-0000-0000-0000FD200000}"/>
    <cellStyle name="Note 2 3 2 5 2 2" xfId="8704" xr:uid="{00000000-0005-0000-0000-0000FE200000}"/>
    <cellStyle name="Note 2 3 2 5 2 2 2" xfId="17154" xr:uid="{7DF8CBF4-33B4-4C4C-A39B-186DF16F02C4}"/>
    <cellStyle name="Note 2 3 2 5 2 2 3" xfId="25601" xr:uid="{07AAE840-02C5-4EF1-B228-0E77205D331D}"/>
    <cellStyle name="Note 2 3 2 5 2 3" xfId="12936" xr:uid="{5A10F59E-8CA8-46C8-95FD-696884004C24}"/>
    <cellStyle name="Note 2 3 2 5 2 4" xfId="21384" xr:uid="{592BF3F5-3BAB-476C-A6E4-3F45215A664C}"/>
    <cellStyle name="Note 2 3 2 5 3" xfId="6559" xr:uid="{00000000-0005-0000-0000-0000FF200000}"/>
    <cellStyle name="Note 2 3 2 5 3 2" xfId="15009" xr:uid="{34F3A22C-400D-4EBC-BA9D-06E1F1580945}"/>
    <cellStyle name="Note 2 3 2 5 3 3" xfId="23456" xr:uid="{1A48B605-D642-4BA4-925B-3FA67AA749E0}"/>
    <cellStyle name="Note 2 3 2 5 4" xfId="10791" xr:uid="{4D657146-7428-4A71-8F19-B3D7F3E7346A}"/>
    <cellStyle name="Note 2 3 2 5 5" xfId="19239" xr:uid="{9FED467F-76B9-4156-80DD-A52A213A213F}"/>
    <cellStyle name="Note 2 3 2 6" xfId="2689" xr:uid="{00000000-0005-0000-0000-000000210000}"/>
    <cellStyle name="Note 2 3 2 6 2" xfId="6972" xr:uid="{00000000-0005-0000-0000-000001210000}"/>
    <cellStyle name="Note 2 3 2 6 2 2" xfId="15422" xr:uid="{865EEF3B-D503-4425-A947-10CEE6B1B682}"/>
    <cellStyle name="Note 2 3 2 6 2 3" xfId="23869" xr:uid="{0C8904C0-8CD5-45C7-833E-C1EAE63D163B}"/>
    <cellStyle name="Note 2 3 2 6 3" xfId="11204" xr:uid="{4AF96EB6-E7B8-4CEB-BCA4-D5BDA305E47E}"/>
    <cellStyle name="Note 2 3 2 6 4" xfId="19652" xr:uid="{3B363153-FD98-4D35-B749-4D1435819EF6}"/>
    <cellStyle name="Note 2 3 2 7" xfId="2748" xr:uid="{00000000-0005-0000-0000-000002210000}"/>
    <cellStyle name="Note 2 3 2 8" xfId="2829" xr:uid="{00000000-0005-0000-0000-000003210000}"/>
    <cellStyle name="Note 2 3 2 8 2" xfId="7052" xr:uid="{00000000-0005-0000-0000-000004210000}"/>
    <cellStyle name="Note 2 3 2 8 2 2" xfId="15502" xr:uid="{BA9527D8-0A9B-4176-9C51-48641F61AF5F}"/>
    <cellStyle name="Note 2 3 2 8 2 3" xfId="23949" xr:uid="{A2C9731D-B737-4A33-8F98-244F23829425}"/>
    <cellStyle name="Note 2 3 2 8 3" xfId="11284" xr:uid="{F13B3D22-3A9F-405B-BA31-B7A10E736C41}"/>
    <cellStyle name="Note 2 3 2 8 4" xfId="19732" xr:uid="{4D194147-2480-4F56-9567-365EC64899B7}"/>
    <cellStyle name="Note 2 3 2 9" xfId="4907" xr:uid="{00000000-0005-0000-0000-000005210000}"/>
    <cellStyle name="Note 2 3 2 9 2" xfId="13357" xr:uid="{D8BE161A-F3D9-422B-B0FE-BFDF0EFD9C29}"/>
    <cellStyle name="Note 2 3 2 9 3" xfId="21804" xr:uid="{B801AE25-9681-47BD-A619-2FEEB228102B}"/>
    <cellStyle name="Note 2 3 3" xfId="1010" xr:uid="{00000000-0005-0000-0000-000006210000}"/>
    <cellStyle name="Note 2 3 3 2" xfId="3242" xr:uid="{00000000-0005-0000-0000-000007210000}"/>
    <cellStyle name="Note 2 3 3 2 2" xfId="7464" xr:uid="{00000000-0005-0000-0000-000008210000}"/>
    <cellStyle name="Note 2 3 3 2 2 2" xfId="15914" xr:uid="{49FE15A5-99D6-4DD6-95DA-16BE539F02EC}"/>
    <cellStyle name="Note 2 3 3 2 2 3" xfId="24361" xr:uid="{65382C65-ED78-4CCE-8816-ECF84E0E55C0}"/>
    <cellStyle name="Note 2 3 3 2 3" xfId="11696" xr:uid="{4B519D3B-2126-4B00-83D0-3B9CAA06080F}"/>
    <cellStyle name="Note 2 3 3 2 4" xfId="20144" xr:uid="{220A09F0-233D-4BAC-90B1-DCD53A12B5C8}"/>
    <cellStyle name="Note 2 3 3 3" xfId="5319" xr:uid="{00000000-0005-0000-0000-000009210000}"/>
    <cellStyle name="Note 2 3 3 3 2" xfId="13769" xr:uid="{A8D63E91-B6BB-48C0-BC3F-73B9983D19D7}"/>
    <cellStyle name="Note 2 3 3 3 3" xfId="22216" xr:uid="{AB815EC5-326C-4237-9885-91EEBB19524D}"/>
    <cellStyle name="Note 2 3 3 4" xfId="9551" xr:uid="{2F420303-3BBF-468A-88D4-05E0A12840B7}"/>
    <cellStyle name="Note 2 3 3 5" xfId="17999" xr:uid="{BE267931-5C96-4A83-A205-8FE82286C2B0}"/>
    <cellStyle name="Note 2 3 4" xfId="1425" xr:uid="{00000000-0005-0000-0000-00000A210000}"/>
    <cellStyle name="Note 2 3 4 2" xfId="3655" xr:uid="{00000000-0005-0000-0000-00000B210000}"/>
    <cellStyle name="Note 2 3 4 2 2" xfId="7877" xr:uid="{00000000-0005-0000-0000-00000C210000}"/>
    <cellStyle name="Note 2 3 4 2 2 2" xfId="16327" xr:uid="{16DC9627-AF16-4559-91B4-D5ECD04B2F4B}"/>
    <cellStyle name="Note 2 3 4 2 2 3" xfId="24774" xr:uid="{29C15299-F71F-4C4C-B068-1639A466B9E9}"/>
    <cellStyle name="Note 2 3 4 2 3" xfId="12109" xr:uid="{037B8BD0-7FA3-4E40-BB3F-878CDC7BFD00}"/>
    <cellStyle name="Note 2 3 4 2 4" xfId="20557" xr:uid="{4699A947-EAA5-4BC6-BB2E-E88CA35C2794}"/>
    <cellStyle name="Note 2 3 4 3" xfId="5732" xr:uid="{00000000-0005-0000-0000-00000D210000}"/>
    <cellStyle name="Note 2 3 4 3 2" xfId="14182" xr:uid="{59313CE3-AFEB-4B63-9644-117980C067D6}"/>
    <cellStyle name="Note 2 3 4 3 3" xfId="22629" xr:uid="{61A5E685-FB27-4CD8-B451-9AC4B3590A82}"/>
    <cellStyle name="Note 2 3 4 4" xfId="9964" xr:uid="{379B244D-C092-4F61-80CC-A4B27D8FC293}"/>
    <cellStyle name="Note 2 3 4 5" xfId="18412" xr:uid="{24257B13-9999-4C70-8847-4A71DD11CF38}"/>
    <cellStyle name="Note 2 3 5" xfId="1839" xr:uid="{00000000-0005-0000-0000-00000E210000}"/>
    <cellStyle name="Note 2 3 5 2" xfId="4068" xr:uid="{00000000-0005-0000-0000-00000F210000}"/>
    <cellStyle name="Note 2 3 5 2 2" xfId="8290" xr:uid="{00000000-0005-0000-0000-000010210000}"/>
    <cellStyle name="Note 2 3 5 2 2 2" xfId="16740" xr:uid="{0C7080B3-CF5D-4070-9BF5-B5620F89C1FF}"/>
    <cellStyle name="Note 2 3 5 2 2 3" xfId="25187" xr:uid="{B00B5AA8-7E3A-4AF4-87D7-6BBEB081FB14}"/>
    <cellStyle name="Note 2 3 5 2 3" xfId="12522" xr:uid="{6B766686-2643-47CD-9746-FDD817826567}"/>
    <cellStyle name="Note 2 3 5 2 4" xfId="20970" xr:uid="{247C654C-B976-4D2F-BCAF-DD9F082DB1BB}"/>
    <cellStyle name="Note 2 3 5 3" xfId="6145" xr:uid="{00000000-0005-0000-0000-000011210000}"/>
    <cellStyle name="Note 2 3 5 3 2" xfId="14595" xr:uid="{F3D0920F-2AAA-4803-B17C-49C22740C672}"/>
    <cellStyle name="Note 2 3 5 3 3" xfId="23042" xr:uid="{4F431347-A8C1-4FC9-ABC0-05D17AD0CB39}"/>
    <cellStyle name="Note 2 3 5 4" xfId="10377" xr:uid="{897D7284-6AAA-4F84-B804-BE49BC4AB15D}"/>
    <cellStyle name="Note 2 3 5 5" xfId="18825" xr:uid="{6B0F693F-5DB8-48C6-8D36-56360A5C31DB}"/>
    <cellStyle name="Note 2 3 6" xfId="2252" xr:uid="{00000000-0005-0000-0000-000012210000}"/>
    <cellStyle name="Note 2 3 6 2" xfId="4481" xr:uid="{00000000-0005-0000-0000-000013210000}"/>
    <cellStyle name="Note 2 3 6 2 2" xfId="8703" xr:uid="{00000000-0005-0000-0000-000014210000}"/>
    <cellStyle name="Note 2 3 6 2 2 2" xfId="17153" xr:uid="{73612C74-30EF-4C1C-9A02-7E427205A8EB}"/>
    <cellStyle name="Note 2 3 6 2 2 3" xfId="25600" xr:uid="{51D51B30-C12F-4640-B940-C5E28FFC533C}"/>
    <cellStyle name="Note 2 3 6 2 3" xfId="12935" xr:uid="{0FC0335F-B0AB-4A0E-BC59-3D6ADDBEABF9}"/>
    <cellStyle name="Note 2 3 6 2 4" xfId="21383" xr:uid="{E0CB29BD-A3F8-4B21-94DB-A7A55C96320F}"/>
    <cellStyle name="Note 2 3 6 3" xfId="6558" xr:uid="{00000000-0005-0000-0000-000015210000}"/>
    <cellStyle name="Note 2 3 6 3 2" xfId="15008" xr:uid="{62CEA42A-26F4-42FF-B5F4-0D4E7850EA83}"/>
    <cellStyle name="Note 2 3 6 3 3" xfId="23455" xr:uid="{25175A12-E006-4B0D-82E8-DA915E045C92}"/>
    <cellStyle name="Note 2 3 6 4" xfId="10790" xr:uid="{D64A7380-0F2E-48EE-93B2-8390168315AF}"/>
    <cellStyle name="Note 2 3 6 5" xfId="19238" xr:uid="{C312C229-CA4C-4487-9F20-D4A6DC3A6A4D}"/>
    <cellStyle name="Note 2 3 7" xfId="2688" xr:uid="{00000000-0005-0000-0000-000016210000}"/>
    <cellStyle name="Note 2 3 7 2" xfId="6971" xr:uid="{00000000-0005-0000-0000-000017210000}"/>
    <cellStyle name="Note 2 3 7 2 2" xfId="15421" xr:uid="{6CE3627D-22EE-4CC3-9A41-F5719724B615}"/>
    <cellStyle name="Note 2 3 7 2 3" xfId="23868" xr:uid="{43DBD0B0-2A70-4E17-B5AC-4B218C665400}"/>
    <cellStyle name="Note 2 3 7 3" xfId="11203" xr:uid="{905BE7E2-80B6-49B3-AAEF-EB0B6462DCC2}"/>
    <cellStyle name="Note 2 3 7 4" xfId="19651" xr:uid="{C4AF58D6-4AFF-43FD-B969-174DD4AA98A7}"/>
    <cellStyle name="Note 2 3 8" xfId="2747" xr:uid="{00000000-0005-0000-0000-000018210000}"/>
    <cellStyle name="Note 2 3 9" xfId="2828" xr:uid="{00000000-0005-0000-0000-000019210000}"/>
    <cellStyle name="Note 2 3 9 2" xfId="7051" xr:uid="{00000000-0005-0000-0000-00001A210000}"/>
    <cellStyle name="Note 2 3 9 2 2" xfId="15501" xr:uid="{701B739F-2BB6-4115-BFCF-FB944F907086}"/>
    <cellStyle name="Note 2 3 9 2 3" xfId="23948" xr:uid="{C4160177-568D-4969-9B48-07F04D9001E8}"/>
    <cellStyle name="Note 2 3 9 3" xfId="11283" xr:uid="{B875F803-ACBB-4C32-8B59-6B05117B4528}"/>
    <cellStyle name="Note 2 3 9 4" xfId="19731" xr:uid="{4C9C1A5D-640B-4B50-A07C-EDEF411B6138}"/>
    <cellStyle name="Note 2 4" xfId="551" xr:uid="{00000000-0005-0000-0000-00001B210000}"/>
    <cellStyle name="Note 2 4 10" xfId="9140" xr:uid="{6CDAB033-2439-48E2-8AEC-4528C9856BF4}"/>
    <cellStyle name="Note 2 4 11" xfId="17588" xr:uid="{D3AB065F-13DC-46B4-A6FD-EF8D86097BA9}"/>
    <cellStyle name="Note 2 4 2" xfId="1012" xr:uid="{00000000-0005-0000-0000-00001C210000}"/>
    <cellStyle name="Note 2 4 2 2" xfId="3244" xr:uid="{00000000-0005-0000-0000-00001D210000}"/>
    <cellStyle name="Note 2 4 2 2 2" xfId="7466" xr:uid="{00000000-0005-0000-0000-00001E210000}"/>
    <cellStyle name="Note 2 4 2 2 2 2" xfId="15916" xr:uid="{68183BE4-8C5B-4E4A-821B-E3DEF3AC6695}"/>
    <cellStyle name="Note 2 4 2 2 2 3" xfId="24363" xr:uid="{05B8DB40-D222-4701-933B-964D2F807E6F}"/>
    <cellStyle name="Note 2 4 2 2 3" xfId="11698" xr:uid="{C2A1C4AA-ABD5-46B7-B9E8-56CFE32AF059}"/>
    <cellStyle name="Note 2 4 2 2 4" xfId="20146" xr:uid="{7FE1E063-B441-4764-B36E-A907435442D5}"/>
    <cellStyle name="Note 2 4 2 3" xfId="5321" xr:uid="{00000000-0005-0000-0000-00001F210000}"/>
    <cellStyle name="Note 2 4 2 3 2" xfId="13771" xr:uid="{97291040-5981-4CA5-8798-41EC941A027F}"/>
    <cellStyle name="Note 2 4 2 3 3" xfId="22218" xr:uid="{2422572E-F5A0-4BFD-B8EC-88FF060E9B3A}"/>
    <cellStyle name="Note 2 4 2 4" xfId="9553" xr:uid="{BA3B5C69-846B-4218-8940-389C1FBFA860}"/>
    <cellStyle name="Note 2 4 2 5" xfId="18001" xr:uid="{E7B5A262-4D3A-460B-89A7-CBFAB98D42D2}"/>
    <cellStyle name="Note 2 4 3" xfId="1427" xr:uid="{00000000-0005-0000-0000-000020210000}"/>
    <cellStyle name="Note 2 4 3 2" xfId="3657" xr:uid="{00000000-0005-0000-0000-000021210000}"/>
    <cellStyle name="Note 2 4 3 2 2" xfId="7879" xr:uid="{00000000-0005-0000-0000-000022210000}"/>
    <cellStyle name="Note 2 4 3 2 2 2" xfId="16329" xr:uid="{079D374D-012A-4C7A-872D-14154C567889}"/>
    <cellStyle name="Note 2 4 3 2 2 3" xfId="24776" xr:uid="{E5A03743-4D78-4461-9DE2-963529418078}"/>
    <cellStyle name="Note 2 4 3 2 3" xfId="12111" xr:uid="{CE962FE4-0761-4390-9925-E328233CFE67}"/>
    <cellStyle name="Note 2 4 3 2 4" xfId="20559" xr:uid="{E1B21E4F-1792-49A8-8ACD-ACEC6DDAC5C5}"/>
    <cellStyle name="Note 2 4 3 3" xfId="5734" xr:uid="{00000000-0005-0000-0000-000023210000}"/>
    <cellStyle name="Note 2 4 3 3 2" xfId="14184" xr:uid="{F66CD5AA-902E-4062-9CD1-709C0846C3DF}"/>
    <cellStyle name="Note 2 4 3 3 3" xfId="22631" xr:uid="{9461BFD7-2B21-41F0-B4EF-8A5B5B60CFE3}"/>
    <cellStyle name="Note 2 4 3 4" xfId="9966" xr:uid="{7987566A-1741-4077-BCD9-12B3B9800A43}"/>
    <cellStyle name="Note 2 4 3 5" xfId="18414" xr:uid="{42FC4F99-8C08-4722-BE3C-C10DBACA5255}"/>
    <cellStyle name="Note 2 4 4" xfId="1841" xr:uid="{00000000-0005-0000-0000-000024210000}"/>
    <cellStyle name="Note 2 4 4 2" xfId="4070" xr:uid="{00000000-0005-0000-0000-000025210000}"/>
    <cellStyle name="Note 2 4 4 2 2" xfId="8292" xr:uid="{00000000-0005-0000-0000-000026210000}"/>
    <cellStyle name="Note 2 4 4 2 2 2" xfId="16742" xr:uid="{1D145A75-EDA5-4D32-A970-E32C981951AF}"/>
    <cellStyle name="Note 2 4 4 2 2 3" xfId="25189" xr:uid="{B17598F8-5261-407A-A66D-2EA672936469}"/>
    <cellStyle name="Note 2 4 4 2 3" xfId="12524" xr:uid="{B5E7ACC3-5E17-4089-A664-0A60F210C4B3}"/>
    <cellStyle name="Note 2 4 4 2 4" xfId="20972" xr:uid="{9ABD3964-8B2F-421C-923D-D4F34C3FC1B4}"/>
    <cellStyle name="Note 2 4 4 3" xfId="6147" xr:uid="{00000000-0005-0000-0000-000027210000}"/>
    <cellStyle name="Note 2 4 4 3 2" xfId="14597" xr:uid="{A75933B5-F7EB-417B-9190-97FB8C902375}"/>
    <cellStyle name="Note 2 4 4 3 3" xfId="23044" xr:uid="{E62D3DDF-A495-453A-8563-CD23C2E353BE}"/>
    <cellStyle name="Note 2 4 4 4" xfId="10379" xr:uid="{E10D17D8-3DC7-49E4-9B76-0E748A9B8A52}"/>
    <cellStyle name="Note 2 4 4 5" xfId="18827" xr:uid="{5A08D146-65AA-4441-8228-EEA9E963BBDC}"/>
    <cellStyle name="Note 2 4 5" xfId="2254" xr:uid="{00000000-0005-0000-0000-000028210000}"/>
    <cellStyle name="Note 2 4 5 2" xfId="4483" xr:uid="{00000000-0005-0000-0000-000029210000}"/>
    <cellStyle name="Note 2 4 5 2 2" xfId="8705" xr:uid="{00000000-0005-0000-0000-00002A210000}"/>
    <cellStyle name="Note 2 4 5 2 2 2" xfId="17155" xr:uid="{E88075AA-E896-4451-9169-AB63B6C1E832}"/>
    <cellStyle name="Note 2 4 5 2 2 3" xfId="25602" xr:uid="{755B4B28-7C73-4329-AE46-7ED80E6FEFBD}"/>
    <cellStyle name="Note 2 4 5 2 3" xfId="12937" xr:uid="{33E0175E-9439-499B-A155-A879781CB182}"/>
    <cellStyle name="Note 2 4 5 2 4" xfId="21385" xr:uid="{F14356F0-22DC-44CE-93A5-0B96917DEFBB}"/>
    <cellStyle name="Note 2 4 5 3" xfId="6560" xr:uid="{00000000-0005-0000-0000-00002B210000}"/>
    <cellStyle name="Note 2 4 5 3 2" xfId="15010" xr:uid="{7647DCA4-DB30-42DE-A25E-2C1579F83D0A}"/>
    <cellStyle name="Note 2 4 5 3 3" xfId="23457" xr:uid="{9A7B7D69-3E9B-4ECD-92D4-448929B951EF}"/>
    <cellStyle name="Note 2 4 5 4" xfId="10792" xr:uid="{1A3BDE46-1002-4126-8746-5D433C949993}"/>
    <cellStyle name="Note 2 4 5 5" xfId="19240" xr:uid="{F68A02A9-C804-4FBF-88F7-0127029AE598}"/>
    <cellStyle name="Note 2 4 6" xfId="2690" xr:uid="{00000000-0005-0000-0000-00002C210000}"/>
    <cellStyle name="Note 2 4 6 2" xfId="6973" xr:uid="{00000000-0005-0000-0000-00002D210000}"/>
    <cellStyle name="Note 2 4 6 2 2" xfId="15423" xr:uid="{42F7207C-A41E-46E3-8960-A7DF784D5DA3}"/>
    <cellStyle name="Note 2 4 6 2 3" xfId="23870" xr:uid="{B7431072-B540-4FEA-99D8-6A377AA81316}"/>
    <cellStyle name="Note 2 4 6 3" xfId="11205" xr:uid="{75C41A3A-C798-4BBD-B339-96E0AF83E93C}"/>
    <cellStyle name="Note 2 4 6 4" xfId="19653" xr:uid="{9C8E6519-410C-4232-B216-A11BCE2A8FD5}"/>
    <cellStyle name="Note 2 4 7" xfId="2749" xr:uid="{00000000-0005-0000-0000-00002E210000}"/>
    <cellStyle name="Note 2 4 8" xfId="2830" xr:uid="{00000000-0005-0000-0000-00002F210000}"/>
    <cellStyle name="Note 2 4 8 2" xfId="7053" xr:uid="{00000000-0005-0000-0000-000030210000}"/>
    <cellStyle name="Note 2 4 8 2 2" xfId="15503" xr:uid="{1C5A5C36-9B7D-4B33-81A3-F8136FA9F4C0}"/>
    <cellStyle name="Note 2 4 8 2 3" xfId="23950" xr:uid="{B14A0383-F038-4945-9F02-F8421BCC3BF4}"/>
    <cellStyle name="Note 2 4 8 3" xfId="11285" xr:uid="{6FAF11DF-4B27-4EDC-88CF-537F1474632C}"/>
    <cellStyle name="Note 2 4 8 4" xfId="19733" xr:uid="{302DF8AE-7DAC-44C5-B1A2-997A4A2F35B6}"/>
    <cellStyle name="Note 2 4 9" xfId="4908" xr:uid="{00000000-0005-0000-0000-000031210000}"/>
    <cellStyle name="Note 2 4 9 2" xfId="13358" xr:uid="{611D9CB0-F97E-48E6-8CB7-D431CE2753D2}"/>
    <cellStyle name="Note 2 4 9 3" xfId="21805" xr:uid="{C7BB2EF6-0286-42EA-8CF4-5CC089AB0CC6}"/>
    <cellStyle name="Note 2 5" xfId="552" xr:uid="{00000000-0005-0000-0000-000032210000}"/>
    <cellStyle name="Note 2 5 10" xfId="9141" xr:uid="{2CB52D18-6AB7-4C87-AF24-179D121EE2C6}"/>
    <cellStyle name="Note 2 5 11" xfId="17589" xr:uid="{C79286E0-2822-4B7C-8063-F81339F901D4}"/>
    <cellStyle name="Note 2 5 2" xfId="1013" xr:uid="{00000000-0005-0000-0000-000033210000}"/>
    <cellStyle name="Note 2 5 2 2" xfId="3245" xr:uid="{00000000-0005-0000-0000-000034210000}"/>
    <cellStyle name="Note 2 5 2 2 2" xfId="7467" xr:uid="{00000000-0005-0000-0000-000035210000}"/>
    <cellStyle name="Note 2 5 2 2 2 2" xfId="15917" xr:uid="{365DE831-EB83-4F1F-902F-FD0709E2F690}"/>
    <cellStyle name="Note 2 5 2 2 2 3" xfId="24364" xr:uid="{4BDDAF75-3C09-426C-959C-DC4A0EA512CB}"/>
    <cellStyle name="Note 2 5 2 2 3" xfId="11699" xr:uid="{4E7F7088-84A1-4AF9-879D-B599C332635B}"/>
    <cellStyle name="Note 2 5 2 2 4" xfId="20147" xr:uid="{31218EA8-0DDD-4854-B124-B829D7E43F40}"/>
    <cellStyle name="Note 2 5 2 3" xfId="5322" xr:uid="{00000000-0005-0000-0000-000036210000}"/>
    <cellStyle name="Note 2 5 2 3 2" xfId="13772" xr:uid="{D0E27326-3DE4-42D2-BFA6-6CCDF1595429}"/>
    <cellStyle name="Note 2 5 2 3 3" xfId="22219" xr:uid="{B2DAB611-5E8A-4EAB-B7CD-5941D9DE3382}"/>
    <cellStyle name="Note 2 5 2 4" xfId="9554" xr:uid="{75163A82-28A7-443E-930A-5F2316D19E4A}"/>
    <cellStyle name="Note 2 5 2 5" xfId="18002" xr:uid="{641E470B-F8AA-4745-8098-ECBA3906BC5C}"/>
    <cellStyle name="Note 2 5 3" xfId="1428" xr:uid="{00000000-0005-0000-0000-000037210000}"/>
    <cellStyle name="Note 2 5 3 2" xfId="3658" xr:uid="{00000000-0005-0000-0000-000038210000}"/>
    <cellStyle name="Note 2 5 3 2 2" xfId="7880" xr:uid="{00000000-0005-0000-0000-000039210000}"/>
    <cellStyle name="Note 2 5 3 2 2 2" xfId="16330" xr:uid="{F37D8D60-6FE4-4E29-9649-1319754F4982}"/>
    <cellStyle name="Note 2 5 3 2 2 3" xfId="24777" xr:uid="{6C80E248-7708-42AA-8CE6-1D209D1F8E02}"/>
    <cellStyle name="Note 2 5 3 2 3" xfId="12112" xr:uid="{7B89A298-6993-466C-8ECC-1949BF6B024D}"/>
    <cellStyle name="Note 2 5 3 2 4" xfId="20560" xr:uid="{C76C5131-5BFB-4B57-93D1-04495A7A36AE}"/>
    <cellStyle name="Note 2 5 3 3" xfId="5735" xr:uid="{00000000-0005-0000-0000-00003A210000}"/>
    <cellStyle name="Note 2 5 3 3 2" xfId="14185" xr:uid="{1D8AE9AB-66E5-4FDE-B2C4-30D0E40DAC66}"/>
    <cellStyle name="Note 2 5 3 3 3" xfId="22632" xr:uid="{1DA3A871-078B-46B4-9EED-DB43DD60B165}"/>
    <cellStyle name="Note 2 5 3 4" xfId="9967" xr:uid="{5C0C0DFA-3E32-4626-874B-60E2702EE3C5}"/>
    <cellStyle name="Note 2 5 3 5" xfId="18415" xr:uid="{DFAD9A03-283E-47FA-AC27-90DF2FFA52E1}"/>
    <cellStyle name="Note 2 5 4" xfId="1842" xr:uid="{00000000-0005-0000-0000-00003B210000}"/>
    <cellStyle name="Note 2 5 4 2" xfId="4071" xr:uid="{00000000-0005-0000-0000-00003C210000}"/>
    <cellStyle name="Note 2 5 4 2 2" xfId="8293" xr:uid="{00000000-0005-0000-0000-00003D210000}"/>
    <cellStyle name="Note 2 5 4 2 2 2" xfId="16743" xr:uid="{946E5276-7EB1-4167-BB58-1A8D091F7661}"/>
    <cellStyle name="Note 2 5 4 2 2 3" xfId="25190" xr:uid="{2A8F162D-DD80-4CA7-8B94-077219F34163}"/>
    <cellStyle name="Note 2 5 4 2 3" xfId="12525" xr:uid="{914E98D5-9688-4944-B077-5C0FB88D9D99}"/>
    <cellStyle name="Note 2 5 4 2 4" xfId="20973" xr:uid="{11050CCB-8F97-42FC-84FF-E361D0ABF3E6}"/>
    <cellStyle name="Note 2 5 4 3" xfId="6148" xr:uid="{00000000-0005-0000-0000-00003E210000}"/>
    <cellStyle name="Note 2 5 4 3 2" xfId="14598" xr:uid="{D195A9C2-3509-442D-8170-2537D80924C4}"/>
    <cellStyle name="Note 2 5 4 3 3" xfId="23045" xr:uid="{FBF25755-BB5D-484F-B5C0-83B9B0866BEA}"/>
    <cellStyle name="Note 2 5 4 4" xfId="10380" xr:uid="{B25DDB86-389F-44A9-B84E-2EE237956889}"/>
    <cellStyle name="Note 2 5 4 5" xfId="18828" xr:uid="{440945B2-BEC4-46FA-A6F6-9A6E5B309C6F}"/>
    <cellStyle name="Note 2 5 5" xfId="2255" xr:uid="{00000000-0005-0000-0000-00003F210000}"/>
    <cellStyle name="Note 2 5 5 2" xfId="4484" xr:uid="{00000000-0005-0000-0000-000040210000}"/>
    <cellStyle name="Note 2 5 5 2 2" xfId="8706" xr:uid="{00000000-0005-0000-0000-000041210000}"/>
    <cellStyle name="Note 2 5 5 2 2 2" xfId="17156" xr:uid="{CAEAC31C-0DF3-4E52-8B9B-ECE982C97440}"/>
    <cellStyle name="Note 2 5 5 2 2 3" xfId="25603" xr:uid="{711FBD03-FD7C-4D15-9A73-425D475A21B5}"/>
    <cellStyle name="Note 2 5 5 2 3" xfId="12938" xr:uid="{7D0767CF-DE27-464E-83D9-14BEB75533FF}"/>
    <cellStyle name="Note 2 5 5 2 4" xfId="21386" xr:uid="{1D4AA2DF-DEFC-4592-AB79-D97B52572380}"/>
    <cellStyle name="Note 2 5 5 3" xfId="6561" xr:uid="{00000000-0005-0000-0000-000042210000}"/>
    <cellStyle name="Note 2 5 5 3 2" xfId="15011" xr:uid="{437F4B53-85B7-4FEE-B5AA-EBBF689C9DFB}"/>
    <cellStyle name="Note 2 5 5 3 3" xfId="23458" xr:uid="{CDB82B83-B1E4-4E05-9A74-66430C4C161E}"/>
    <cellStyle name="Note 2 5 5 4" xfId="10793" xr:uid="{2D31932D-182A-4519-8EA1-FB084BC10F26}"/>
    <cellStyle name="Note 2 5 5 5" xfId="19241" xr:uid="{C7AC6A10-F148-4F4A-9ECA-F16A4E9FAD77}"/>
    <cellStyle name="Note 2 5 6" xfId="2691" xr:uid="{00000000-0005-0000-0000-000043210000}"/>
    <cellStyle name="Note 2 5 6 2" xfId="6974" xr:uid="{00000000-0005-0000-0000-000044210000}"/>
    <cellStyle name="Note 2 5 6 2 2" xfId="15424" xr:uid="{4518126B-699D-4486-B18C-CC8AC860A6EF}"/>
    <cellStyle name="Note 2 5 6 2 3" xfId="23871" xr:uid="{F1C4E891-AA36-4D2E-8CF5-F4DACCF326B0}"/>
    <cellStyle name="Note 2 5 6 3" xfId="11206" xr:uid="{CC62A9F9-0AF1-4A23-AFB0-8C907AE20374}"/>
    <cellStyle name="Note 2 5 6 4" xfId="19654" xr:uid="{20C051FA-4C4A-491B-91F8-94FF5D6A0BFE}"/>
    <cellStyle name="Note 2 5 7" xfId="2750" xr:uid="{00000000-0005-0000-0000-000045210000}"/>
    <cellStyle name="Note 2 5 8" xfId="2831" xr:uid="{00000000-0005-0000-0000-000046210000}"/>
    <cellStyle name="Note 2 5 8 2" xfId="7054" xr:uid="{00000000-0005-0000-0000-000047210000}"/>
    <cellStyle name="Note 2 5 8 2 2" xfId="15504" xr:uid="{0574A545-7424-4A8B-8C3A-A2F96231C25F}"/>
    <cellStyle name="Note 2 5 8 2 3" xfId="23951" xr:uid="{303E473F-52CF-409F-BE33-F1C352AECC19}"/>
    <cellStyle name="Note 2 5 8 3" xfId="11286" xr:uid="{2AE77859-42E8-4A5E-B909-61D8BBEBEA10}"/>
    <cellStyle name="Note 2 5 8 4" xfId="19734" xr:uid="{40344A36-8C1F-4F5D-AB9E-F7949326B01C}"/>
    <cellStyle name="Note 2 5 9" xfId="4909" xr:uid="{00000000-0005-0000-0000-000048210000}"/>
    <cellStyle name="Note 2 5 9 2" xfId="13359" xr:uid="{2467AEA9-FADE-4764-8A1C-1FBF606FAEA2}"/>
    <cellStyle name="Note 2 5 9 3" xfId="21806" xr:uid="{14DFFDC9-89AD-4994-BD50-3A39D4966A15}"/>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17D90682-F40D-4327-9736-4100F7084853}"/>
    <cellStyle name="Note 3 2 10 2 3" xfId="23952" xr:uid="{5CA7E238-630F-4EFB-B2B1-AA2FA034FEF0}"/>
    <cellStyle name="Note 3 2 10 3" xfId="11287" xr:uid="{679B2229-3092-45FD-A3C4-1D58E07094BC}"/>
    <cellStyle name="Note 3 2 10 4" xfId="19735" xr:uid="{A73E17D3-BEBF-4961-B00E-A520B0596FEE}"/>
    <cellStyle name="Note 3 2 11" xfId="4910" xr:uid="{00000000-0005-0000-0000-00004D210000}"/>
    <cellStyle name="Note 3 2 11 2" xfId="13360" xr:uid="{9D726DE9-564D-46E6-A520-7D99BCBC1061}"/>
    <cellStyle name="Note 3 2 11 3" xfId="21807" xr:uid="{19D5FAD5-373B-432E-8CA0-4DDFD2887EB0}"/>
    <cellStyle name="Note 3 2 12" xfId="9142" xr:uid="{C594A7D0-EC08-4554-8B25-9E55DF5E887E}"/>
    <cellStyle name="Note 3 2 13" xfId="17590" xr:uid="{93EE931C-8CB0-48FD-B334-74A543789460}"/>
    <cellStyle name="Note 3 2 2" xfId="555" xr:uid="{00000000-0005-0000-0000-00004E210000}"/>
    <cellStyle name="Note 3 2 2 10" xfId="4911" xr:uid="{00000000-0005-0000-0000-00004F210000}"/>
    <cellStyle name="Note 3 2 2 10 2" xfId="13361" xr:uid="{49034EEB-E2F5-4E05-A772-EAEE602B95C0}"/>
    <cellStyle name="Note 3 2 2 10 3" xfId="21808" xr:uid="{A67ADB6B-D5A0-4E3D-B2D4-706A41DF5D69}"/>
    <cellStyle name="Note 3 2 2 11" xfId="9143" xr:uid="{3E14DB9B-D2C4-42BF-BF23-565F0512EE67}"/>
    <cellStyle name="Note 3 2 2 12" xfId="17591" xr:uid="{3DAE0536-4E83-43BE-AFFA-C7073418ED73}"/>
    <cellStyle name="Note 3 2 2 2" xfId="556" xr:uid="{00000000-0005-0000-0000-000050210000}"/>
    <cellStyle name="Note 3 2 2 2 10" xfId="9144" xr:uid="{4CA2468E-6B00-41D7-9393-6EC426B6E839}"/>
    <cellStyle name="Note 3 2 2 2 11" xfId="17592" xr:uid="{9C665E7F-EF28-4E55-8A68-5314FEEA1A2D}"/>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842DC284-31B0-4052-B907-078B121BB6E0}"/>
    <cellStyle name="Note 3 2 2 2 2 2 2 3" xfId="24367" xr:uid="{D608833B-062C-4A55-991B-B88F355B49F1}"/>
    <cellStyle name="Note 3 2 2 2 2 2 3" xfId="11702" xr:uid="{EBEF1820-5BBF-45AB-AD7B-78693F638A12}"/>
    <cellStyle name="Note 3 2 2 2 2 2 4" xfId="20150" xr:uid="{8ECE2AB0-6949-4A2B-874D-E061D1C0E10E}"/>
    <cellStyle name="Note 3 2 2 2 2 3" xfId="5325" xr:uid="{00000000-0005-0000-0000-000054210000}"/>
    <cellStyle name="Note 3 2 2 2 2 3 2" xfId="13775" xr:uid="{D3F37631-1580-4860-BEDB-0DA427182E96}"/>
    <cellStyle name="Note 3 2 2 2 2 3 3" xfId="22222" xr:uid="{ABC19F44-96A3-49E0-A2B3-DF3EDFE3F70F}"/>
    <cellStyle name="Note 3 2 2 2 2 4" xfId="9557" xr:uid="{1875AA55-8144-47BC-AFC5-E6773C60F959}"/>
    <cellStyle name="Note 3 2 2 2 2 5" xfId="18005" xr:uid="{C66CC9AE-9384-406D-895C-57596DF83F0E}"/>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FB2E517A-DF3B-443A-A9A9-B418732B224E}"/>
    <cellStyle name="Note 3 2 2 2 3 2 2 3" xfId="24780" xr:uid="{31B18C58-4190-4610-B2A9-23FB71A8B25E}"/>
    <cellStyle name="Note 3 2 2 2 3 2 3" xfId="12115" xr:uid="{3212C614-ECC7-4BF2-A6A2-09D23EDCD006}"/>
    <cellStyle name="Note 3 2 2 2 3 2 4" xfId="20563" xr:uid="{D3192521-EEF8-4B05-A327-B15621FD4E8D}"/>
    <cellStyle name="Note 3 2 2 2 3 3" xfId="5738" xr:uid="{00000000-0005-0000-0000-000058210000}"/>
    <cellStyle name="Note 3 2 2 2 3 3 2" xfId="14188" xr:uid="{7455600B-ECD6-4672-B2AB-54E7C76FFE2D}"/>
    <cellStyle name="Note 3 2 2 2 3 3 3" xfId="22635" xr:uid="{4E701E96-168C-434C-8562-3BC49065EB0B}"/>
    <cellStyle name="Note 3 2 2 2 3 4" xfId="9970" xr:uid="{8E4C85B2-20F1-419C-8BF9-A614A4E70A23}"/>
    <cellStyle name="Note 3 2 2 2 3 5" xfId="18418" xr:uid="{A243E9B4-789B-477C-8D01-1448B5CBF41F}"/>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5CF68AB2-3420-4885-A85A-1C8A5AFE4342}"/>
    <cellStyle name="Note 3 2 2 2 4 2 2 3" xfId="25193" xr:uid="{92E01611-9E0E-47C7-8A1D-902A0252ADA8}"/>
    <cellStyle name="Note 3 2 2 2 4 2 3" xfId="12528" xr:uid="{3EBDF0F8-15B0-42D4-8633-9CDF579E60EF}"/>
    <cellStyle name="Note 3 2 2 2 4 2 4" xfId="20976" xr:uid="{D9B14322-CEE3-4FEF-917A-7BCE13804FFC}"/>
    <cellStyle name="Note 3 2 2 2 4 3" xfId="6151" xr:uid="{00000000-0005-0000-0000-00005C210000}"/>
    <cellStyle name="Note 3 2 2 2 4 3 2" xfId="14601" xr:uid="{C5EBA71E-1DAD-475A-89C3-1EC441EC8E7C}"/>
    <cellStyle name="Note 3 2 2 2 4 3 3" xfId="23048" xr:uid="{038EDB6E-EA28-450C-983A-9ACAA3AB9A6D}"/>
    <cellStyle name="Note 3 2 2 2 4 4" xfId="10383" xr:uid="{F296133B-B582-4605-8701-BD471D070AE1}"/>
    <cellStyle name="Note 3 2 2 2 4 5" xfId="18831" xr:uid="{2700C5D4-4A01-460A-80BD-162FF5A49C85}"/>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76F8858-70C7-4BB9-9863-0789A19981E1}"/>
    <cellStyle name="Note 3 2 2 2 5 2 2 3" xfId="25606" xr:uid="{2151A304-257C-4485-BA8F-0B5FD68B4ED5}"/>
    <cellStyle name="Note 3 2 2 2 5 2 3" xfId="12941" xr:uid="{FE6945C2-2DB6-4383-A7BB-A6125007B778}"/>
    <cellStyle name="Note 3 2 2 2 5 2 4" xfId="21389" xr:uid="{6864893A-290F-441D-97EE-4F7EB31EDA3D}"/>
    <cellStyle name="Note 3 2 2 2 5 3" xfId="6564" xr:uid="{00000000-0005-0000-0000-000060210000}"/>
    <cellStyle name="Note 3 2 2 2 5 3 2" xfId="15014" xr:uid="{14869CAD-64F7-4013-B21A-51727B0002D7}"/>
    <cellStyle name="Note 3 2 2 2 5 3 3" xfId="23461" xr:uid="{85325F1E-BEF7-4DED-8E06-A1A3FDEA6DC7}"/>
    <cellStyle name="Note 3 2 2 2 5 4" xfId="10796" xr:uid="{796B61B8-9736-4DB9-BBD7-D4D644739D84}"/>
    <cellStyle name="Note 3 2 2 2 5 5" xfId="19244" xr:uid="{7842F5AD-EEEC-425F-B6B3-44BAD2EE40E1}"/>
    <cellStyle name="Note 3 2 2 2 6" xfId="2694" xr:uid="{00000000-0005-0000-0000-000061210000}"/>
    <cellStyle name="Note 3 2 2 2 6 2" xfId="6977" xr:uid="{00000000-0005-0000-0000-000062210000}"/>
    <cellStyle name="Note 3 2 2 2 6 2 2" xfId="15427" xr:uid="{8FE72AD2-8496-4EE6-A487-9511AE5E67C3}"/>
    <cellStyle name="Note 3 2 2 2 6 2 3" xfId="23874" xr:uid="{D1D48E0F-0D30-4F2E-BEDC-0FCB097682B5}"/>
    <cellStyle name="Note 3 2 2 2 6 3" xfId="11209" xr:uid="{9CC5C0DB-7D1D-4156-83AB-8C0D087A0FFD}"/>
    <cellStyle name="Note 3 2 2 2 6 4" xfId="19657" xr:uid="{56858737-23F3-4214-8284-4B1CC2B25C02}"/>
    <cellStyle name="Note 3 2 2 2 7" xfId="2753" xr:uid="{00000000-0005-0000-0000-000063210000}"/>
    <cellStyle name="Note 3 2 2 2 8" xfId="2834" xr:uid="{00000000-0005-0000-0000-000064210000}"/>
    <cellStyle name="Note 3 2 2 2 8 2" xfId="7057" xr:uid="{00000000-0005-0000-0000-000065210000}"/>
    <cellStyle name="Note 3 2 2 2 8 2 2" xfId="15507" xr:uid="{FDE6FDA3-DD1D-4AA6-8081-F2F7BBF934DF}"/>
    <cellStyle name="Note 3 2 2 2 8 2 3" xfId="23954" xr:uid="{F3D79A18-43E7-4B4B-A6A8-2601BFE858D5}"/>
    <cellStyle name="Note 3 2 2 2 8 3" xfId="11289" xr:uid="{A0BECF49-60B3-45AF-AB6E-791B5694CE53}"/>
    <cellStyle name="Note 3 2 2 2 8 4" xfId="19737" xr:uid="{E07700D6-694E-42EA-81E7-29F932561424}"/>
    <cellStyle name="Note 3 2 2 2 9" xfId="4912" xr:uid="{00000000-0005-0000-0000-000066210000}"/>
    <cellStyle name="Note 3 2 2 2 9 2" xfId="13362" xr:uid="{C82D8869-1CC3-4098-839C-F1878CA0A59C}"/>
    <cellStyle name="Note 3 2 2 2 9 3" xfId="21809" xr:uid="{1E48337D-AB5F-49AB-A40E-E4221742069E}"/>
    <cellStyle name="Note 3 2 2 3" xfId="1015" xr:uid="{00000000-0005-0000-0000-000067210000}"/>
    <cellStyle name="Note 3 2 2 3 2" xfId="3247" xr:uid="{00000000-0005-0000-0000-000068210000}"/>
    <cellStyle name="Note 3 2 2 3 2 2" xfId="7469" xr:uid="{00000000-0005-0000-0000-000069210000}"/>
    <cellStyle name="Note 3 2 2 3 2 2 2" xfId="15919" xr:uid="{F3A8B45D-3B1F-4354-864E-9C39DF75D89F}"/>
    <cellStyle name="Note 3 2 2 3 2 2 3" xfId="24366" xr:uid="{9AC7E5F2-A556-4728-B99C-598E03AD6C04}"/>
    <cellStyle name="Note 3 2 2 3 2 3" xfId="11701" xr:uid="{26A48F26-50AB-4CCA-9743-B53DAC6A4492}"/>
    <cellStyle name="Note 3 2 2 3 2 4" xfId="20149" xr:uid="{4512B0B9-26AC-4884-A680-5B90418B2F0D}"/>
    <cellStyle name="Note 3 2 2 3 3" xfId="5324" xr:uid="{00000000-0005-0000-0000-00006A210000}"/>
    <cellStyle name="Note 3 2 2 3 3 2" xfId="13774" xr:uid="{7CBCFEF0-CE99-44E0-870D-70EB82150BD4}"/>
    <cellStyle name="Note 3 2 2 3 3 3" xfId="22221" xr:uid="{6A005CFF-7E44-4643-8AC7-0E50C5E2706A}"/>
    <cellStyle name="Note 3 2 2 3 4" xfId="9556" xr:uid="{9D61CF8C-960F-4339-9E93-EEFF821DA62C}"/>
    <cellStyle name="Note 3 2 2 3 5" xfId="18004" xr:uid="{6973639D-4F7B-4560-83B3-0E0D062FDE89}"/>
    <cellStyle name="Note 3 2 2 4" xfId="1430" xr:uid="{00000000-0005-0000-0000-00006B210000}"/>
    <cellStyle name="Note 3 2 2 4 2" xfId="3660" xr:uid="{00000000-0005-0000-0000-00006C210000}"/>
    <cellStyle name="Note 3 2 2 4 2 2" xfId="7882" xr:uid="{00000000-0005-0000-0000-00006D210000}"/>
    <cellStyle name="Note 3 2 2 4 2 2 2" xfId="16332" xr:uid="{FB8C5EFF-9B72-4FA7-8A14-F9BBB836F166}"/>
    <cellStyle name="Note 3 2 2 4 2 2 3" xfId="24779" xr:uid="{981C5570-F87A-4815-82B0-89ECD964E8CE}"/>
    <cellStyle name="Note 3 2 2 4 2 3" xfId="12114" xr:uid="{DDA69F73-29C8-4C45-B0CC-540C1A547D0E}"/>
    <cellStyle name="Note 3 2 2 4 2 4" xfId="20562" xr:uid="{93B7A16D-795C-4E49-987D-0AD1D68EB987}"/>
    <cellStyle name="Note 3 2 2 4 3" xfId="5737" xr:uid="{00000000-0005-0000-0000-00006E210000}"/>
    <cellStyle name="Note 3 2 2 4 3 2" xfId="14187" xr:uid="{694F3F22-3907-4DB7-9F5C-0FA990D73FC0}"/>
    <cellStyle name="Note 3 2 2 4 3 3" xfId="22634" xr:uid="{0659287E-EE2E-4941-97F5-D7E91276FF6D}"/>
    <cellStyle name="Note 3 2 2 4 4" xfId="9969" xr:uid="{7E4B3922-5274-4C76-9D21-5F3B412BA6E3}"/>
    <cellStyle name="Note 3 2 2 4 5" xfId="18417" xr:uid="{5B09FFBA-D677-4680-93F1-63AC880FB229}"/>
    <cellStyle name="Note 3 2 2 5" xfId="1844" xr:uid="{00000000-0005-0000-0000-00006F210000}"/>
    <cellStyle name="Note 3 2 2 5 2" xfId="4073" xr:uid="{00000000-0005-0000-0000-000070210000}"/>
    <cellStyle name="Note 3 2 2 5 2 2" xfId="8295" xr:uid="{00000000-0005-0000-0000-000071210000}"/>
    <cellStyle name="Note 3 2 2 5 2 2 2" xfId="16745" xr:uid="{50BE4855-33F6-443F-A52D-6D7D23C1F7C2}"/>
    <cellStyle name="Note 3 2 2 5 2 2 3" xfId="25192" xr:uid="{76DDA331-DA82-413A-853C-CD48FB83669B}"/>
    <cellStyle name="Note 3 2 2 5 2 3" xfId="12527" xr:uid="{F763DD62-96A6-4315-83BA-565F9CEC7488}"/>
    <cellStyle name="Note 3 2 2 5 2 4" xfId="20975" xr:uid="{5E85E5B8-3461-49BF-9694-AAC1580357E3}"/>
    <cellStyle name="Note 3 2 2 5 3" xfId="6150" xr:uid="{00000000-0005-0000-0000-000072210000}"/>
    <cellStyle name="Note 3 2 2 5 3 2" xfId="14600" xr:uid="{E7B48489-93BD-4F8D-ADC5-34FB4791DFE0}"/>
    <cellStyle name="Note 3 2 2 5 3 3" xfId="23047" xr:uid="{BB925313-6D6A-4C20-BCE5-D1F78AFEDD00}"/>
    <cellStyle name="Note 3 2 2 5 4" xfId="10382" xr:uid="{437CF0B5-D1AD-464F-A151-64BA549C6DC6}"/>
    <cellStyle name="Note 3 2 2 5 5" xfId="18830" xr:uid="{17DF32C9-69D5-4E74-B836-B7153784141F}"/>
    <cellStyle name="Note 3 2 2 6" xfId="2257" xr:uid="{00000000-0005-0000-0000-000073210000}"/>
    <cellStyle name="Note 3 2 2 6 2" xfId="4486" xr:uid="{00000000-0005-0000-0000-000074210000}"/>
    <cellStyle name="Note 3 2 2 6 2 2" xfId="8708" xr:uid="{00000000-0005-0000-0000-000075210000}"/>
    <cellStyle name="Note 3 2 2 6 2 2 2" xfId="17158" xr:uid="{F8A6C9C3-72AA-45ED-A926-BEB0505F21E6}"/>
    <cellStyle name="Note 3 2 2 6 2 2 3" xfId="25605" xr:uid="{FF515103-7827-4916-A04D-C633CCA5C23F}"/>
    <cellStyle name="Note 3 2 2 6 2 3" xfId="12940" xr:uid="{01A18621-A0A7-498D-A3E2-9A9D1635A8DE}"/>
    <cellStyle name="Note 3 2 2 6 2 4" xfId="21388" xr:uid="{5BB72BFB-F5D0-4E34-A3AA-0FE6CC277740}"/>
    <cellStyle name="Note 3 2 2 6 3" xfId="6563" xr:uid="{00000000-0005-0000-0000-000076210000}"/>
    <cellStyle name="Note 3 2 2 6 3 2" xfId="15013" xr:uid="{A784EB0E-C046-4043-9438-A9C0E835E559}"/>
    <cellStyle name="Note 3 2 2 6 3 3" xfId="23460" xr:uid="{A106C691-9C5B-4E21-9238-C39EB07C13BA}"/>
    <cellStyle name="Note 3 2 2 6 4" xfId="10795" xr:uid="{459DB367-3DF6-4D59-9197-49C7FFE056CC}"/>
    <cellStyle name="Note 3 2 2 6 5" xfId="19243" xr:uid="{F9766913-ECA2-497E-AA82-E3CDCE775203}"/>
    <cellStyle name="Note 3 2 2 7" xfId="2693" xr:uid="{00000000-0005-0000-0000-000077210000}"/>
    <cellStyle name="Note 3 2 2 7 2" xfId="6976" xr:uid="{00000000-0005-0000-0000-000078210000}"/>
    <cellStyle name="Note 3 2 2 7 2 2" xfId="15426" xr:uid="{67F239AA-98FE-4B7C-A10C-009CDF197E51}"/>
    <cellStyle name="Note 3 2 2 7 2 3" xfId="23873" xr:uid="{02D975BD-9B4A-4D07-8BBF-8A24E4AC26AB}"/>
    <cellStyle name="Note 3 2 2 7 3" xfId="11208" xr:uid="{AC7608DD-22B2-4C10-8890-99026B04797C}"/>
    <cellStyle name="Note 3 2 2 7 4" xfId="19656" xr:uid="{B87BC7D8-7F2A-436A-81D0-01EAF2F674C3}"/>
    <cellStyle name="Note 3 2 2 8" xfId="2752" xr:uid="{00000000-0005-0000-0000-000079210000}"/>
    <cellStyle name="Note 3 2 2 9" xfId="2833" xr:uid="{00000000-0005-0000-0000-00007A210000}"/>
    <cellStyle name="Note 3 2 2 9 2" xfId="7056" xr:uid="{00000000-0005-0000-0000-00007B210000}"/>
    <cellStyle name="Note 3 2 2 9 2 2" xfId="15506" xr:uid="{380E0D1B-1FAA-4EE7-91EC-1577241371CE}"/>
    <cellStyle name="Note 3 2 2 9 2 3" xfId="23953" xr:uid="{4AFBF6BB-E760-47C9-A202-B4409AD3786B}"/>
    <cellStyle name="Note 3 2 2 9 3" xfId="11288" xr:uid="{72E4A184-E5EC-46A2-B74E-F0725836560A}"/>
    <cellStyle name="Note 3 2 2 9 4" xfId="19736" xr:uid="{FA2526A7-E7C9-4CA2-945A-AFAEA9CD6A94}"/>
    <cellStyle name="Note 3 2 3" xfId="557" xr:uid="{00000000-0005-0000-0000-00007C210000}"/>
    <cellStyle name="Note 3 2 3 10" xfId="9145" xr:uid="{4CCE73BB-9E3B-4367-8E34-7FB30C9F847B}"/>
    <cellStyle name="Note 3 2 3 11" xfId="17593" xr:uid="{FC879FC4-33C7-449B-8B83-413AC058441E}"/>
    <cellStyle name="Note 3 2 3 2" xfId="1017" xr:uid="{00000000-0005-0000-0000-00007D210000}"/>
    <cellStyle name="Note 3 2 3 2 2" xfId="3249" xr:uid="{00000000-0005-0000-0000-00007E210000}"/>
    <cellStyle name="Note 3 2 3 2 2 2" xfId="7471" xr:uid="{00000000-0005-0000-0000-00007F210000}"/>
    <cellStyle name="Note 3 2 3 2 2 2 2" xfId="15921" xr:uid="{0B7CB473-7E14-4112-BB7B-FA5F5B4C4FFC}"/>
    <cellStyle name="Note 3 2 3 2 2 2 3" xfId="24368" xr:uid="{21B03AAF-3BF5-4137-A5A5-DB53F9AAC721}"/>
    <cellStyle name="Note 3 2 3 2 2 3" xfId="11703" xr:uid="{B97D04E5-F3B7-43C3-B46E-E03C2B4F0FBE}"/>
    <cellStyle name="Note 3 2 3 2 2 4" xfId="20151" xr:uid="{722AF369-D63B-457B-8F73-D36666FE3B23}"/>
    <cellStyle name="Note 3 2 3 2 3" xfId="5326" xr:uid="{00000000-0005-0000-0000-000080210000}"/>
    <cellStyle name="Note 3 2 3 2 3 2" xfId="13776" xr:uid="{7C631187-D88D-4973-8FD6-AED6786B5930}"/>
    <cellStyle name="Note 3 2 3 2 3 3" xfId="22223" xr:uid="{BD76BFF1-63D6-4AC8-BD38-7A9126788E78}"/>
    <cellStyle name="Note 3 2 3 2 4" xfId="9558" xr:uid="{884D4802-31C1-433C-A1FD-F33041952B6D}"/>
    <cellStyle name="Note 3 2 3 2 5" xfId="18006" xr:uid="{CA4A0686-7472-47BF-B7A4-1D187F3D72F5}"/>
    <cellStyle name="Note 3 2 3 3" xfId="1432" xr:uid="{00000000-0005-0000-0000-000081210000}"/>
    <cellStyle name="Note 3 2 3 3 2" xfId="3662" xr:uid="{00000000-0005-0000-0000-000082210000}"/>
    <cellStyle name="Note 3 2 3 3 2 2" xfId="7884" xr:uid="{00000000-0005-0000-0000-000083210000}"/>
    <cellStyle name="Note 3 2 3 3 2 2 2" xfId="16334" xr:uid="{162F9F39-67E1-4743-8848-ABF5704E07CE}"/>
    <cellStyle name="Note 3 2 3 3 2 2 3" xfId="24781" xr:uid="{11E70B67-9B7C-4A11-ADBC-6D7052E36C55}"/>
    <cellStyle name="Note 3 2 3 3 2 3" xfId="12116" xr:uid="{0F50DD47-9F1E-4448-827D-AF3483CB1B74}"/>
    <cellStyle name="Note 3 2 3 3 2 4" xfId="20564" xr:uid="{A7BD02C3-D15A-43AB-96E3-B6A4AC50DB1F}"/>
    <cellStyle name="Note 3 2 3 3 3" xfId="5739" xr:uid="{00000000-0005-0000-0000-000084210000}"/>
    <cellStyle name="Note 3 2 3 3 3 2" xfId="14189" xr:uid="{67845DF0-25F3-403D-A9F7-61BA098D376C}"/>
    <cellStyle name="Note 3 2 3 3 3 3" xfId="22636" xr:uid="{1412C976-D1B6-4887-A0F6-808FAD178B16}"/>
    <cellStyle name="Note 3 2 3 3 4" xfId="9971" xr:uid="{91C814F9-354A-4C17-A42E-39B24F7C0CCD}"/>
    <cellStyle name="Note 3 2 3 3 5" xfId="18419" xr:uid="{2067AD63-C9B4-4B4A-9813-FC528C99DC0C}"/>
    <cellStyle name="Note 3 2 3 4" xfId="1846" xr:uid="{00000000-0005-0000-0000-000085210000}"/>
    <cellStyle name="Note 3 2 3 4 2" xfId="4075" xr:uid="{00000000-0005-0000-0000-000086210000}"/>
    <cellStyle name="Note 3 2 3 4 2 2" xfId="8297" xr:uid="{00000000-0005-0000-0000-000087210000}"/>
    <cellStyle name="Note 3 2 3 4 2 2 2" xfId="16747" xr:uid="{BC49B6A4-F0FF-4077-8FC3-593E78B19E85}"/>
    <cellStyle name="Note 3 2 3 4 2 2 3" xfId="25194" xr:uid="{A4EEF8EE-FA08-47B3-BC4C-81DBECB4B7B6}"/>
    <cellStyle name="Note 3 2 3 4 2 3" xfId="12529" xr:uid="{F2DD5050-9693-4080-AA97-3ED4C9E15C70}"/>
    <cellStyle name="Note 3 2 3 4 2 4" xfId="20977" xr:uid="{32359ABA-652A-4DEF-8DA2-915B7361AD18}"/>
    <cellStyle name="Note 3 2 3 4 3" xfId="6152" xr:uid="{00000000-0005-0000-0000-000088210000}"/>
    <cellStyle name="Note 3 2 3 4 3 2" xfId="14602" xr:uid="{5BFC8233-4B56-47A8-A99C-9DDE4D1F6EE4}"/>
    <cellStyle name="Note 3 2 3 4 3 3" xfId="23049" xr:uid="{9A579B9C-2B9E-4974-B6B2-D738D3E08A53}"/>
    <cellStyle name="Note 3 2 3 4 4" xfId="10384" xr:uid="{E4F6C289-40CA-4551-89D5-8AC8B9A1B23E}"/>
    <cellStyle name="Note 3 2 3 4 5" xfId="18832" xr:uid="{ABE6A5B9-9FB9-40DF-A58A-42B198A023FD}"/>
    <cellStyle name="Note 3 2 3 5" xfId="2259" xr:uid="{00000000-0005-0000-0000-000089210000}"/>
    <cellStyle name="Note 3 2 3 5 2" xfId="4488" xr:uid="{00000000-0005-0000-0000-00008A210000}"/>
    <cellStyle name="Note 3 2 3 5 2 2" xfId="8710" xr:uid="{00000000-0005-0000-0000-00008B210000}"/>
    <cellStyle name="Note 3 2 3 5 2 2 2" xfId="17160" xr:uid="{4518485E-D9B5-40B4-AE73-F2A493A4A4A0}"/>
    <cellStyle name="Note 3 2 3 5 2 2 3" xfId="25607" xr:uid="{566FB29A-5B74-4547-A70B-FB62BBB7CE3E}"/>
    <cellStyle name="Note 3 2 3 5 2 3" xfId="12942" xr:uid="{A457E4A9-6CF2-43A5-B798-5CC1311F0AA5}"/>
    <cellStyle name="Note 3 2 3 5 2 4" xfId="21390" xr:uid="{239B6F06-6C03-4C80-9E9E-6E5EF20D4F07}"/>
    <cellStyle name="Note 3 2 3 5 3" xfId="6565" xr:uid="{00000000-0005-0000-0000-00008C210000}"/>
    <cellStyle name="Note 3 2 3 5 3 2" xfId="15015" xr:uid="{EAF437AB-50FE-482C-BB70-CE6A29323D04}"/>
    <cellStyle name="Note 3 2 3 5 3 3" xfId="23462" xr:uid="{97036133-6C83-4BEC-9F79-22D2F8735FE1}"/>
    <cellStyle name="Note 3 2 3 5 4" xfId="10797" xr:uid="{923EE57F-80BC-4F1E-A9D8-DCB9DD869D15}"/>
    <cellStyle name="Note 3 2 3 5 5" xfId="19245" xr:uid="{DB37DCCA-FA06-44D9-8966-0AA5C055E057}"/>
    <cellStyle name="Note 3 2 3 6" xfId="2695" xr:uid="{00000000-0005-0000-0000-00008D210000}"/>
    <cellStyle name="Note 3 2 3 6 2" xfId="6978" xr:uid="{00000000-0005-0000-0000-00008E210000}"/>
    <cellStyle name="Note 3 2 3 6 2 2" xfId="15428" xr:uid="{C3607F32-7E4A-4F55-ABE0-E05D8910041E}"/>
    <cellStyle name="Note 3 2 3 6 2 3" xfId="23875" xr:uid="{E430EF0B-2508-495E-896E-51EF000F692D}"/>
    <cellStyle name="Note 3 2 3 6 3" xfId="11210" xr:uid="{CDC060CC-DD39-4DE4-9ACB-DC6A8CF5A2FB}"/>
    <cellStyle name="Note 3 2 3 6 4" xfId="19658" xr:uid="{2A1BC942-C7D2-4079-87E3-25B8C047CDBF}"/>
    <cellStyle name="Note 3 2 3 7" xfId="2754" xr:uid="{00000000-0005-0000-0000-00008F210000}"/>
    <cellStyle name="Note 3 2 3 8" xfId="2835" xr:uid="{00000000-0005-0000-0000-000090210000}"/>
    <cellStyle name="Note 3 2 3 8 2" xfId="7058" xr:uid="{00000000-0005-0000-0000-000091210000}"/>
    <cellStyle name="Note 3 2 3 8 2 2" xfId="15508" xr:uid="{0994E74E-89F5-48ED-8DA8-117F18826182}"/>
    <cellStyle name="Note 3 2 3 8 2 3" xfId="23955" xr:uid="{60E30DF1-EAF5-40FB-86E9-2F8CD525E2A8}"/>
    <cellStyle name="Note 3 2 3 8 3" xfId="11290" xr:uid="{999EB1E8-84CF-407F-8769-844C6DD90567}"/>
    <cellStyle name="Note 3 2 3 8 4" xfId="19738" xr:uid="{3D7E4AC9-7108-4ACD-BD3F-D158312F7FBB}"/>
    <cellStyle name="Note 3 2 3 9" xfId="4913" xr:uid="{00000000-0005-0000-0000-000092210000}"/>
    <cellStyle name="Note 3 2 3 9 2" xfId="13363" xr:uid="{E31FF552-3CF9-42B5-A89D-A93294AAFCD1}"/>
    <cellStyle name="Note 3 2 3 9 3" xfId="21810" xr:uid="{410E3D3B-A3DE-48DD-AAED-4B7ED560E974}"/>
    <cellStyle name="Note 3 2 4" xfId="1014" xr:uid="{00000000-0005-0000-0000-000093210000}"/>
    <cellStyle name="Note 3 2 4 2" xfId="3246" xr:uid="{00000000-0005-0000-0000-000094210000}"/>
    <cellStyle name="Note 3 2 4 2 2" xfId="7468" xr:uid="{00000000-0005-0000-0000-000095210000}"/>
    <cellStyle name="Note 3 2 4 2 2 2" xfId="15918" xr:uid="{48C525E3-3958-4739-8599-016A6B25C782}"/>
    <cellStyle name="Note 3 2 4 2 2 3" xfId="24365" xr:uid="{E181D4C3-0B24-445B-8FA8-75CD5317B07E}"/>
    <cellStyle name="Note 3 2 4 2 3" xfId="11700" xr:uid="{BE4C96F5-A917-4CC6-BA0B-553BBF80BD50}"/>
    <cellStyle name="Note 3 2 4 2 4" xfId="20148" xr:uid="{ED521298-3CC8-4C28-9D5A-4C59F89F9B69}"/>
    <cellStyle name="Note 3 2 4 3" xfId="5323" xr:uid="{00000000-0005-0000-0000-000096210000}"/>
    <cellStyle name="Note 3 2 4 3 2" xfId="13773" xr:uid="{D21FD3B5-4B90-492B-901E-1E5702964709}"/>
    <cellStyle name="Note 3 2 4 3 3" xfId="22220" xr:uid="{A3151D17-5C67-45DE-854A-05C7799D570E}"/>
    <cellStyle name="Note 3 2 4 4" xfId="9555" xr:uid="{8A32EFCC-B873-431C-B9D0-726D35D33128}"/>
    <cellStyle name="Note 3 2 4 5" xfId="18003" xr:uid="{9A97DDC3-F965-41A8-95E1-AB0ACDA7F84B}"/>
    <cellStyle name="Note 3 2 5" xfId="1429" xr:uid="{00000000-0005-0000-0000-000097210000}"/>
    <cellStyle name="Note 3 2 5 2" xfId="3659" xr:uid="{00000000-0005-0000-0000-000098210000}"/>
    <cellStyle name="Note 3 2 5 2 2" xfId="7881" xr:uid="{00000000-0005-0000-0000-000099210000}"/>
    <cellStyle name="Note 3 2 5 2 2 2" xfId="16331" xr:uid="{293A83A2-0030-4354-A1D7-EC1BDB73DD4D}"/>
    <cellStyle name="Note 3 2 5 2 2 3" xfId="24778" xr:uid="{8B33204D-C506-42AD-B1BF-63012AE66662}"/>
    <cellStyle name="Note 3 2 5 2 3" xfId="12113" xr:uid="{7554A10C-E534-4280-BD25-7EE8E2363A31}"/>
    <cellStyle name="Note 3 2 5 2 4" xfId="20561" xr:uid="{FDE4170F-E365-4F0D-AA3E-17E3D165C7AE}"/>
    <cellStyle name="Note 3 2 5 3" xfId="5736" xr:uid="{00000000-0005-0000-0000-00009A210000}"/>
    <cellStyle name="Note 3 2 5 3 2" xfId="14186" xr:uid="{FA8FB6CF-AA2A-4C30-A6AE-B65B77A6812E}"/>
    <cellStyle name="Note 3 2 5 3 3" xfId="22633" xr:uid="{A2A19CDE-6DA4-483B-A1C3-A0CC42F79FF1}"/>
    <cellStyle name="Note 3 2 5 4" xfId="9968" xr:uid="{5A46C6EA-95B5-4D95-9ED0-F113CAB018E8}"/>
    <cellStyle name="Note 3 2 5 5" xfId="18416" xr:uid="{48AD1E49-0D0F-4E08-8B93-8A7C536805B8}"/>
    <cellStyle name="Note 3 2 6" xfId="1843" xr:uid="{00000000-0005-0000-0000-00009B210000}"/>
    <cellStyle name="Note 3 2 6 2" xfId="4072" xr:uid="{00000000-0005-0000-0000-00009C210000}"/>
    <cellStyle name="Note 3 2 6 2 2" xfId="8294" xr:uid="{00000000-0005-0000-0000-00009D210000}"/>
    <cellStyle name="Note 3 2 6 2 2 2" xfId="16744" xr:uid="{C1F1F7D1-57AC-4160-BE42-206C0ABC3CD1}"/>
    <cellStyle name="Note 3 2 6 2 2 3" xfId="25191" xr:uid="{42A711DE-2E69-4F6A-9B22-106E7C93672F}"/>
    <cellStyle name="Note 3 2 6 2 3" xfId="12526" xr:uid="{040D280F-34E1-48CD-B83E-AF9F4C9BF544}"/>
    <cellStyle name="Note 3 2 6 2 4" xfId="20974" xr:uid="{EDD133E7-496B-466F-AB98-F40483C67212}"/>
    <cellStyle name="Note 3 2 6 3" xfId="6149" xr:uid="{00000000-0005-0000-0000-00009E210000}"/>
    <cellStyle name="Note 3 2 6 3 2" xfId="14599" xr:uid="{0948B6B0-DEDA-4FDA-8740-1FC2FCD01858}"/>
    <cellStyle name="Note 3 2 6 3 3" xfId="23046" xr:uid="{B46F5836-7675-458C-B5C9-0367CB764B64}"/>
    <cellStyle name="Note 3 2 6 4" xfId="10381" xr:uid="{8D4C1832-B51D-4465-8249-722C831A7336}"/>
    <cellStyle name="Note 3 2 6 5" xfId="18829" xr:uid="{21AE1141-570D-4F72-8E2D-7730A6D291B6}"/>
    <cellStyle name="Note 3 2 7" xfId="2256" xr:uid="{00000000-0005-0000-0000-00009F210000}"/>
    <cellStyle name="Note 3 2 7 2" xfId="4485" xr:uid="{00000000-0005-0000-0000-0000A0210000}"/>
    <cellStyle name="Note 3 2 7 2 2" xfId="8707" xr:uid="{00000000-0005-0000-0000-0000A1210000}"/>
    <cellStyle name="Note 3 2 7 2 2 2" xfId="17157" xr:uid="{1AAE7588-837E-4711-85FC-7B8D9E45BC35}"/>
    <cellStyle name="Note 3 2 7 2 2 3" xfId="25604" xr:uid="{7E478516-3E60-4645-A9F3-C36B309C6854}"/>
    <cellStyle name="Note 3 2 7 2 3" xfId="12939" xr:uid="{0FB2F882-853E-4EA7-A3BF-8C2119B91FEA}"/>
    <cellStyle name="Note 3 2 7 2 4" xfId="21387" xr:uid="{8A9D5C9E-40D3-4510-B437-9F18CD6B5731}"/>
    <cellStyle name="Note 3 2 7 3" xfId="6562" xr:uid="{00000000-0005-0000-0000-0000A2210000}"/>
    <cellStyle name="Note 3 2 7 3 2" xfId="15012" xr:uid="{49A88F3F-4738-4CB8-9471-10545BBAB7CB}"/>
    <cellStyle name="Note 3 2 7 3 3" xfId="23459" xr:uid="{40EFF7DA-CC91-4E42-BF54-F60F868A502B}"/>
    <cellStyle name="Note 3 2 7 4" xfId="10794" xr:uid="{EE98BF9E-EF36-4F68-9FCD-2631AF25169F}"/>
    <cellStyle name="Note 3 2 7 5" xfId="19242" xr:uid="{A27728ED-DA09-483E-91F9-026DD5D46501}"/>
    <cellStyle name="Note 3 2 8" xfId="2692" xr:uid="{00000000-0005-0000-0000-0000A3210000}"/>
    <cellStyle name="Note 3 2 8 2" xfId="6975" xr:uid="{00000000-0005-0000-0000-0000A4210000}"/>
    <cellStyle name="Note 3 2 8 2 2" xfId="15425" xr:uid="{4E132847-EA9D-4013-B6EB-914DF028D7E3}"/>
    <cellStyle name="Note 3 2 8 2 3" xfId="23872" xr:uid="{CF6F4E12-08AF-49E0-9B90-80554200C995}"/>
    <cellStyle name="Note 3 2 8 3" xfId="11207" xr:uid="{161678E9-699F-4ED6-919B-F4CAA701CFFD}"/>
    <cellStyle name="Note 3 2 8 4" xfId="19655" xr:uid="{E2D6797C-4F4B-4686-8913-0631FE802EE9}"/>
    <cellStyle name="Note 3 2 9" xfId="2751" xr:uid="{00000000-0005-0000-0000-0000A5210000}"/>
    <cellStyle name="Note 3 3" xfId="558" xr:uid="{00000000-0005-0000-0000-0000A6210000}"/>
    <cellStyle name="Note 3 3 10" xfId="4914" xr:uid="{00000000-0005-0000-0000-0000A7210000}"/>
    <cellStyle name="Note 3 3 10 2" xfId="13364" xr:uid="{68FFF609-F06B-40D1-B426-F31AEBA5821C}"/>
    <cellStyle name="Note 3 3 10 3" xfId="21811" xr:uid="{3CA488DA-80B0-4C00-B1AB-9FDB4F4F9332}"/>
    <cellStyle name="Note 3 3 11" xfId="9146" xr:uid="{79DE1513-5596-4362-8AC2-26A237F79CF2}"/>
    <cellStyle name="Note 3 3 12" xfId="17594" xr:uid="{D846C17A-8A56-4EF2-BCF8-FF52F7D82ADD}"/>
    <cellStyle name="Note 3 3 2" xfId="559" xr:uid="{00000000-0005-0000-0000-0000A8210000}"/>
    <cellStyle name="Note 3 3 2 10" xfId="9147" xr:uid="{54E8E282-9865-4151-A048-41FECE7D29DA}"/>
    <cellStyle name="Note 3 3 2 11" xfId="17595" xr:uid="{B37DB03C-6286-4977-990C-E37215B0DE8B}"/>
    <cellStyle name="Note 3 3 2 2" xfId="1019" xr:uid="{00000000-0005-0000-0000-0000A9210000}"/>
    <cellStyle name="Note 3 3 2 2 2" xfId="3251" xr:uid="{00000000-0005-0000-0000-0000AA210000}"/>
    <cellStyle name="Note 3 3 2 2 2 2" xfId="7473" xr:uid="{00000000-0005-0000-0000-0000AB210000}"/>
    <cellStyle name="Note 3 3 2 2 2 2 2" xfId="15923" xr:uid="{5C754C4C-7D3F-4965-BBFA-19AE683B8520}"/>
    <cellStyle name="Note 3 3 2 2 2 2 3" xfId="24370" xr:uid="{65977DCD-50FD-4F99-BEDE-68B3E652B616}"/>
    <cellStyle name="Note 3 3 2 2 2 3" xfId="11705" xr:uid="{682073FB-9E07-4A42-8E0F-3823733A1A94}"/>
    <cellStyle name="Note 3 3 2 2 2 4" xfId="20153" xr:uid="{493FF960-CCAF-4E2F-8A05-DD2D7ADE7816}"/>
    <cellStyle name="Note 3 3 2 2 3" xfId="5328" xr:uid="{00000000-0005-0000-0000-0000AC210000}"/>
    <cellStyle name="Note 3 3 2 2 3 2" xfId="13778" xr:uid="{8E54CC69-B76E-4DF2-96EB-611A0EE1DBD0}"/>
    <cellStyle name="Note 3 3 2 2 3 3" xfId="22225" xr:uid="{FC507A93-BFB5-43C0-924A-F0B930686DA4}"/>
    <cellStyle name="Note 3 3 2 2 4" xfId="9560" xr:uid="{1870C742-B7F2-474C-A60B-A913689ABDB7}"/>
    <cellStyle name="Note 3 3 2 2 5" xfId="18008" xr:uid="{A1B4D80F-622A-4CCA-ABE5-C26D08E4339D}"/>
    <cellStyle name="Note 3 3 2 3" xfId="1434" xr:uid="{00000000-0005-0000-0000-0000AD210000}"/>
    <cellStyle name="Note 3 3 2 3 2" xfId="3664" xr:uid="{00000000-0005-0000-0000-0000AE210000}"/>
    <cellStyle name="Note 3 3 2 3 2 2" xfId="7886" xr:uid="{00000000-0005-0000-0000-0000AF210000}"/>
    <cellStyle name="Note 3 3 2 3 2 2 2" xfId="16336" xr:uid="{E410FA69-5E7D-4D93-9A1B-225B0EEE4B05}"/>
    <cellStyle name="Note 3 3 2 3 2 2 3" xfId="24783" xr:uid="{AAF715DB-1C34-45AD-A268-2E6374A147A6}"/>
    <cellStyle name="Note 3 3 2 3 2 3" xfId="12118" xr:uid="{F4B6751D-3EC1-4388-87FF-09299601C235}"/>
    <cellStyle name="Note 3 3 2 3 2 4" xfId="20566" xr:uid="{B0D2F231-710A-4214-B61A-2AADDD1B5365}"/>
    <cellStyle name="Note 3 3 2 3 3" xfId="5741" xr:uid="{00000000-0005-0000-0000-0000B0210000}"/>
    <cellStyle name="Note 3 3 2 3 3 2" xfId="14191" xr:uid="{64202699-D634-4E66-9131-A1B3E43DD490}"/>
    <cellStyle name="Note 3 3 2 3 3 3" xfId="22638" xr:uid="{2A2E54EB-C05F-4DD0-9A51-3E0C3E9A7FEE}"/>
    <cellStyle name="Note 3 3 2 3 4" xfId="9973" xr:uid="{59CB6B83-10E9-477D-B799-BFF37F545C57}"/>
    <cellStyle name="Note 3 3 2 3 5" xfId="18421" xr:uid="{71B090F5-599F-4034-8444-3EAFE0AA7185}"/>
    <cellStyle name="Note 3 3 2 4" xfId="1848" xr:uid="{00000000-0005-0000-0000-0000B1210000}"/>
    <cellStyle name="Note 3 3 2 4 2" xfId="4077" xr:uid="{00000000-0005-0000-0000-0000B2210000}"/>
    <cellStyle name="Note 3 3 2 4 2 2" xfId="8299" xr:uid="{00000000-0005-0000-0000-0000B3210000}"/>
    <cellStyle name="Note 3 3 2 4 2 2 2" xfId="16749" xr:uid="{8DB2C7C1-1543-4D9D-B8F9-E9847C36EAD7}"/>
    <cellStyle name="Note 3 3 2 4 2 2 3" xfId="25196" xr:uid="{5B024030-4458-4C1B-A077-FB1FE4A6DF0D}"/>
    <cellStyle name="Note 3 3 2 4 2 3" xfId="12531" xr:uid="{E298741A-A8E6-4704-942A-24D081D3FD8D}"/>
    <cellStyle name="Note 3 3 2 4 2 4" xfId="20979" xr:uid="{99DFB06A-D088-49B9-9DCC-3769C103CCEA}"/>
    <cellStyle name="Note 3 3 2 4 3" xfId="6154" xr:uid="{00000000-0005-0000-0000-0000B4210000}"/>
    <cellStyle name="Note 3 3 2 4 3 2" xfId="14604" xr:uid="{F56DA616-BAF6-4AE6-8110-AB4BEB1E11D1}"/>
    <cellStyle name="Note 3 3 2 4 3 3" xfId="23051" xr:uid="{9ED839BE-7F22-4F0F-AD25-BB980862D3BA}"/>
    <cellStyle name="Note 3 3 2 4 4" xfId="10386" xr:uid="{94CABAE6-BD8C-4628-8B73-54634DC9DF20}"/>
    <cellStyle name="Note 3 3 2 4 5" xfId="18834" xr:uid="{34FB0F20-3014-460F-AC62-257F2C6A7F4C}"/>
    <cellStyle name="Note 3 3 2 5" xfId="2261" xr:uid="{00000000-0005-0000-0000-0000B5210000}"/>
    <cellStyle name="Note 3 3 2 5 2" xfId="4490" xr:uid="{00000000-0005-0000-0000-0000B6210000}"/>
    <cellStyle name="Note 3 3 2 5 2 2" xfId="8712" xr:uid="{00000000-0005-0000-0000-0000B7210000}"/>
    <cellStyle name="Note 3 3 2 5 2 2 2" xfId="17162" xr:uid="{9CDCE6D6-CEB2-4F5B-8F6A-4C5B76BCE707}"/>
    <cellStyle name="Note 3 3 2 5 2 2 3" xfId="25609" xr:uid="{19118CB7-E870-4793-824F-FD2C25C57D4D}"/>
    <cellStyle name="Note 3 3 2 5 2 3" xfId="12944" xr:uid="{201B6157-0794-4E96-9AB9-876ABB31EF62}"/>
    <cellStyle name="Note 3 3 2 5 2 4" xfId="21392" xr:uid="{A2C1B567-FC1A-4D1E-9CA6-A8B8B086DCC1}"/>
    <cellStyle name="Note 3 3 2 5 3" xfId="6567" xr:uid="{00000000-0005-0000-0000-0000B8210000}"/>
    <cellStyle name="Note 3 3 2 5 3 2" xfId="15017" xr:uid="{A302FFD8-AD24-48A6-A115-FC0128A7764C}"/>
    <cellStyle name="Note 3 3 2 5 3 3" xfId="23464" xr:uid="{3B92852E-CDAB-4BEA-B73A-FA39D4DAE54D}"/>
    <cellStyle name="Note 3 3 2 5 4" xfId="10799" xr:uid="{55C8B0BC-0D4A-47CD-A734-4AE1323A27FA}"/>
    <cellStyle name="Note 3 3 2 5 5" xfId="19247" xr:uid="{3E615E05-C078-49BC-87A8-07025F99BDA3}"/>
    <cellStyle name="Note 3 3 2 6" xfId="2697" xr:uid="{00000000-0005-0000-0000-0000B9210000}"/>
    <cellStyle name="Note 3 3 2 6 2" xfId="6980" xr:uid="{00000000-0005-0000-0000-0000BA210000}"/>
    <cellStyle name="Note 3 3 2 6 2 2" xfId="15430" xr:uid="{E8D65A63-7070-45DD-95F4-E5C0307C8B46}"/>
    <cellStyle name="Note 3 3 2 6 2 3" xfId="23877" xr:uid="{58076F1A-8CD8-467F-8F56-E40128B9EEB1}"/>
    <cellStyle name="Note 3 3 2 6 3" xfId="11212" xr:uid="{7C414D47-BD29-40E6-ACDB-096B0275CFFC}"/>
    <cellStyle name="Note 3 3 2 6 4" xfId="19660" xr:uid="{CBA68B34-ADD3-4A0C-A20B-79A68B76D368}"/>
    <cellStyle name="Note 3 3 2 7" xfId="2756" xr:uid="{00000000-0005-0000-0000-0000BB210000}"/>
    <cellStyle name="Note 3 3 2 8" xfId="2837" xr:uid="{00000000-0005-0000-0000-0000BC210000}"/>
    <cellStyle name="Note 3 3 2 8 2" xfId="7060" xr:uid="{00000000-0005-0000-0000-0000BD210000}"/>
    <cellStyle name="Note 3 3 2 8 2 2" xfId="15510" xr:uid="{7FC8CF4F-2402-488B-BC48-D874CF0F5792}"/>
    <cellStyle name="Note 3 3 2 8 2 3" xfId="23957" xr:uid="{23E29F6C-8881-4CDA-AA63-4A1344931847}"/>
    <cellStyle name="Note 3 3 2 8 3" xfId="11292" xr:uid="{F94FEA83-CC62-4EFA-B104-410209E5D475}"/>
    <cellStyle name="Note 3 3 2 8 4" xfId="19740" xr:uid="{0FAD304D-72E2-460E-805E-758C286B8344}"/>
    <cellStyle name="Note 3 3 2 9" xfId="4915" xr:uid="{00000000-0005-0000-0000-0000BE210000}"/>
    <cellStyle name="Note 3 3 2 9 2" xfId="13365" xr:uid="{EF4003EA-9CE1-492F-8610-14264FB86E7A}"/>
    <cellStyle name="Note 3 3 2 9 3" xfId="21812" xr:uid="{3FADCF2C-0BFA-40F1-8419-76031A55196B}"/>
    <cellStyle name="Note 3 3 3" xfId="1018" xr:uid="{00000000-0005-0000-0000-0000BF210000}"/>
    <cellStyle name="Note 3 3 3 2" xfId="3250" xr:uid="{00000000-0005-0000-0000-0000C0210000}"/>
    <cellStyle name="Note 3 3 3 2 2" xfId="7472" xr:uid="{00000000-0005-0000-0000-0000C1210000}"/>
    <cellStyle name="Note 3 3 3 2 2 2" xfId="15922" xr:uid="{57754471-C3E9-4B45-99C9-CA8B96006431}"/>
    <cellStyle name="Note 3 3 3 2 2 3" xfId="24369" xr:uid="{67DC633E-DC20-48A6-8A35-49125A9FE95A}"/>
    <cellStyle name="Note 3 3 3 2 3" xfId="11704" xr:uid="{EFA3C8CC-02A0-4EDD-904A-D8FCF1F9EE2D}"/>
    <cellStyle name="Note 3 3 3 2 4" xfId="20152" xr:uid="{7921D7FC-59A8-4D0A-944D-0C634C255734}"/>
    <cellStyle name="Note 3 3 3 3" xfId="5327" xr:uid="{00000000-0005-0000-0000-0000C2210000}"/>
    <cellStyle name="Note 3 3 3 3 2" xfId="13777" xr:uid="{B122A6A2-A5DB-4E21-A5CE-27CDFF098D2E}"/>
    <cellStyle name="Note 3 3 3 3 3" xfId="22224" xr:uid="{1EB33810-EA92-47BF-93FC-7E1971028AD4}"/>
    <cellStyle name="Note 3 3 3 4" xfId="9559" xr:uid="{52DADB29-BB8F-4589-B1F7-2986BC67EFE1}"/>
    <cellStyle name="Note 3 3 3 5" xfId="18007" xr:uid="{D4533734-C7A1-434E-A97A-263F11C1BF4A}"/>
    <cellStyle name="Note 3 3 4" xfId="1433" xr:uid="{00000000-0005-0000-0000-0000C3210000}"/>
    <cellStyle name="Note 3 3 4 2" xfId="3663" xr:uid="{00000000-0005-0000-0000-0000C4210000}"/>
    <cellStyle name="Note 3 3 4 2 2" xfId="7885" xr:uid="{00000000-0005-0000-0000-0000C5210000}"/>
    <cellStyle name="Note 3 3 4 2 2 2" xfId="16335" xr:uid="{E5FFB8AF-61AF-42B9-9C9E-6D69949B5A22}"/>
    <cellStyle name="Note 3 3 4 2 2 3" xfId="24782" xr:uid="{D9A9B2E7-D8C7-4D45-B4CE-F5AB53F8E32A}"/>
    <cellStyle name="Note 3 3 4 2 3" xfId="12117" xr:uid="{9399E22F-EB19-40C9-AD1C-89AFA7B47045}"/>
    <cellStyle name="Note 3 3 4 2 4" xfId="20565" xr:uid="{0E4AAF52-E1D8-4CBA-A3AD-558E14FB7A8B}"/>
    <cellStyle name="Note 3 3 4 3" xfId="5740" xr:uid="{00000000-0005-0000-0000-0000C6210000}"/>
    <cellStyle name="Note 3 3 4 3 2" xfId="14190" xr:uid="{9B445BC1-CF5B-4751-859C-43615067620E}"/>
    <cellStyle name="Note 3 3 4 3 3" xfId="22637" xr:uid="{5FEEB62F-FBB9-4DB1-8F19-20D3B4B8064E}"/>
    <cellStyle name="Note 3 3 4 4" xfId="9972" xr:uid="{FEBB7594-8FF5-434A-A010-6C9FD247A290}"/>
    <cellStyle name="Note 3 3 4 5" xfId="18420" xr:uid="{5B710BE9-9993-4020-B7BF-6750CBB7FCAB}"/>
    <cellStyle name="Note 3 3 5" xfId="1847" xr:uid="{00000000-0005-0000-0000-0000C7210000}"/>
    <cellStyle name="Note 3 3 5 2" xfId="4076" xr:uid="{00000000-0005-0000-0000-0000C8210000}"/>
    <cellStyle name="Note 3 3 5 2 2" xfId="8298" xr:uid="{00000000-0005-0000-0000-0000C9210000}"/>
    <cellStyle name="Note 3 3 5 2 2 2" xfId="16748" xr:uid="{7059997B-68E8-4D62-B415-4148C57DDDA7}"/>
    <cellStyle name="Note 3 3 5 2 2 3" xfId="25195" xr:uid="{CA57324C-A5EF-437B-A4E7-117D2697A0C1}"/>
    <cellStyle name="Note 3 3 5 2 3" xfId="12530" xr:uid="{DF4B1FA9-FD4D-40A6-8492-03BC56AAA189}"/>
    <cellStyle name="Note 3 3 5 2 4" xfId="20978" xr:uid="{4425A748-83E1-4241-BDA9-350A6D9722A4}"/>
    <cellStyle name="Note 3 3 5 3" xfId="6153" xr:uid="{00000000-0005-0000-0000-0000CA210000}"/>
    <cellStyle name="Note 3 3 5 3 2" xfId="14603" xr:uid="{3E77C7C0-BE2F-4F46-8752-2F8C7DBDDB4F}"/>
    <cellStyle name="Note 3 3 5 3 3" xfId="23050" xr:uid="{40E27B6C-2CE0-4C6D-8B8D-931DA10B225C}"/>
    <cellStyle name="Note 3 3 5 4" xfId="10385" xr:uid="{F3AB8511-32B3-4E38-90CD-132C4654C4C6}"/>
    <cellStyle name="Note 3 3 5 5" xfId="18833" xr:uid="{1DBA803D-14C4-4B02-990F-0D788EAD61A3}"/>
    <cellStyle name="Note 3 3 6" xfId="2260" xr:uid="{00000000-0005-0000-0000-0000CB210000}"/>
    <cellStyle name="Note 3 3 6 2" xfId="4489" xr:uid="{00000000-0005-0000-0000-0000CC210000}"/>
    <cellStyle name="Note 3 3 6 2 2" xfId="8711" xr:uid="{00000000-0005-0000-0000-0000CD210000}"/>
    <cellStyle name="Note 3 3 6 2 2 2" xfId="17161" xr:uid="{4852B91C-D58D-4442-B172-A84E8D3DDD69}"/>
    <cellStyle name="Note 3 3 6 2 2 3" xfId="25608" xr:uid="{06D75B93-F17B-42EE-B8D2-CEABA0A8D50B}"/>
    <cellStyle name="Note 3 3 6 2 3" xfId="12943" xr:uid="{EA98B5C0-A00A-4EFC-AAE9-3E3E80B5B278}"/>
    <cellStyle name="Note 3 3 6 2 4" xfId="21391" xr:uid="{101CC9FF-F075-4BAA-AF78-682FEA532C3F}"/>
    <cellStyle name="Note 3 3 6 3" xfId="6566" xr:uid="{00000000-0005-0000-0000-0000CE210000}"/>
    <cellStyle name="Note 3 3 6 3 2" xfId="15016" xr:uid="{5CFC875F-C615-41DF-A23C-BEB5410C0420}"/>
    <cellStyle name="Note 3 3 6 3 3" xfId="23463" xr:uid="{35D39614-62A7-4F33-82B8-49137BA67D4D}"/>
    <cellStyle name="Note 3 3 6 4" xfId="10798" xr:uid="{A490C4AC-39C8-414B-86F3-3E2055DB949D}"/>
    <cellStyle name="Note 3 3 6 5" xfId="19246" xr:uid="{6C466D08-12FF-4499-8C62-AEA208413AA2}"/>
    <cellStyle name="Note 3 3 7" xfId="2696" xr:uid="{00000000-0005-0000-0000-0000CF210000}"/>
    <cellStyle name="Note 3 3 7 2" xfId="6979" xr:uid="{00000000-0005-0000-0000-0000D0210000}"/>
    <cellStyle name="Note 3 3 7 2 2" xfId="15429" xr:uid="{13F622E7-ED1A-4A82-A504-2BC325974E23}"/>
    <cellStyle name="Note 3 3 7 2 3" xfId="23876" xr:uid="{BA2A44EA-9F43-4343-AC89-74C6E5F75EE0}"/>
    <cellStyle name="Note 3 3 7 3" xfId="11211" xr:uid="{2F3E0BEB-E271-4604-8461-38A0600CC2AB}"/>
    <cellStyle name="Note 3 3 7 4" xfId="19659" xr:uid="{167A8764-6060-46D7-85F3-037077842909}"/>
    <cellStyle name="Note 3 3 8" xfId="2755" xr:uid="{00000000-0005-0000-0000-0000D1210000}"/>
    <cellStyle name="Note 3 3 9" xfId="2836" xr:uid="{00000000-0005-0000-0000-0000D2210000}"/>
    <cellStyle name="Note 3 3 9 2" xfId="7059" xr:uid="{00000000-0005-0000-0000-0000D3210000}"/>
    <cellStyle name="Note 3 3 9 2 2" xfId="15509" xr:uid="{5A8B8631-2286-467B-9939-077C760D88E5}"/>
    <cellStyle name="Note 3 3 9 2 3" xfId="23956" xr:uid="{438684E0-5D60-4E68-BB2C-03E6178E8EF4}"/>
    <cellStyle name="Note 3 3 9 3" xfId="11291" xr:uid="{F13D3C0B-4444-4770-BB0E-AC41D8CFB414}"/>
    <cellStyle name="Note 3 3 9 4" xfId="19739" xr:uid="{CE592D46-AA42-4133-B491-754FB210D0AF}"/>
    <cellStyle name="Note 3 4" xfId="560" xr:uid="{00000000-0005-0000-0000-0000D4210000}"/>
    <cellStyle name="Note 3 4 10" xfId="9148" xr:uid="{4F7EFEC0-1670-42E3-9584-B714E089D06A}"/>
    <cellStyle name="Note 3 4 11" xfId="17596" xr:uid="{2F92E180-134A-49D4-AC3D-62F723F21C87}"/>
    <cellStyle name="Note 3 4 2" xfId="1020" xr:uid="{00000000-0005-0000-0000-0000D5210000}"/>
    <cellStyle name="Note 3 4 2 2" xfId="3252" xr:uid="{00000000-0005-0000-0000-0000D6210000}"/>
    <cellStyle name="Note 3 4 2 2 2" xfId="7474" xr:uid="{00000000-0005-0000-0000-0000D7210000}"/>
    <cellStyle name="Note 3 4 2 2 2 2" xfId="15924" xr:uid="{D52350FE-1CCA-4E77-933D-AFB874822418}"/>
    <cellStyle name="Note 3 4 2 2 2 3" xfId="24371" xr:uid="{FE084E4D-85A6-4EBF-AB85-9922F7DCBFFC}"/>
    <cellStyle name="Note 3 4 2 2 3" xfId="11706" xr:uid="{3E1D14A2-DC57-4910-8D1F-8D713B2E10BA}"/>
    <cellStyle name="Note 3 4 2 2 4" xfId="20154" xr:uid="{084960FA-3F19-4486-B424-CD9795C10B8A}"/>
    <cellStyle name="Note 3 4 2 3" xfId="5329" xr:uid="{00000000-0005-0000-0000-0000D8210000}"/>
    <cellStyle name="Note 3 4 2 3 2" xfId="13779" xr:uid="{EC5DC39D-CD57-4F22-B42E-9D2DE7CE32D7}"/>
    <cellStyle name="Note 3 4 2 3 3" xfId="22226" xr:uid="{6A95F548-E2E9-40D3-B97A-1D29DF3C8CC4}"/>
    <cellStyle name="Note 3 4 2 4" xfId="9561" xr:uid="{2059DF55-94C8-4383-B1D6-FF621C55E495}"/>
    <cellStyle name="Note 3 4 2 5" xfId="18009" xr:uid="{C3F5F76F-F0C2-4E6F-8EF8-877083D055DB}"/>
    <cellStyle name="Note 3 4 3" xfId="1435" xr:uid="{00000000-0005-0000-0000-0000D9210000}"/>
    <cellStyle name="Note 3 4 3 2" xfId="3665" xr:uid="{00000000-0005-0000-0000-0000DA210000}"/>
    <cellStyle name="Note 3 4 3 2 2" xfId="7887" xr:uid="{00000000-0005-0000-0000-0000DB210000}"/>
    <cellStyle name="Note 3 4 3 2 2 2" xfId="16337" xr:uid="{2993BDA9-27C1-4F35-A66C-FE7328B65C8F}"/>
    <cellStyle name="Note 3 4 3 2 2 3" xfId="24784" xr:uid="{E94DA00D-ACB8-4970-A788-0A1C79BBD18A}"/>
    <cellStyle name="Note 3 4 3 2 3" xfId="12119" xr:uid="{485D22CC-8BB8-4077-84A1-5EBAA2E756DE}"/>
    <cellStyle name="Note 3 4 3 2 4" xfId="20567" xr:uid="{C170A3C9-1C6C-4944-87AA-7D337923D787}"/>
    <cellStyle name="Note 3 4 3 3" xfId="5742" xr:uid="{00000000-0005-0000-0000-0000DC210000}"/>
    <cellStyle name="Note 3 4 3 3 2" xfId="14192" xr:uid="{738F58BA-C7BA-4D05-92C6-25A240CE7204}"/>
    <cellStyle name="Note 3 4 3 3 3" xfId="22639" xr:uid="{4FE0D36B-6422-46E6-B2D5-2C01A56CA3D4}"/>
    <cellStyle name="Note 3 4 3 4" xfId="9974" xr:uid="{3C3E0CF7-D8E6-4984-8AEE-FB51053427FC}"/>
    <cellStyle name="Note 3 4 3 5" xfId="18422" xr:uid="{237E96AB-F987-4188-BA55-DBC8A38F7C17}"/>
    <cellStyle name="Note 3 4 4" xfId="1849" xr:uid="{00000000-0005-0000-0000-0000DD210000}"/>
    <cellStyle name="Note 3 4 4 2" xfId="4078" xr:uid="{00000000-0005-0000-0000-0000DE210000}"/>
    <cellStyle name="Note 3 4 4 2 2" xfId="8300" xr:uid="{00000000-0005-0000-0000-0000DF210000}"/>
    <cellStyle name="Note 3 4 4 2 2 2" xfId="16750" xr:uid="{F9405F28-8E5C-49DE-8F39-BE5BD570F0C6}"/>
    <cellStyle name="Note 3 4 4 2 2 3" xfId="25197" xr:uid="{12E2473D-9736-4F6B-AAD0-AED635AD4193}"/>
    <cellStyle name="Note 3 4 4 2 3" xfId="12532" xr:uid="{D404E0D5-D733-47D6-BCD2-7D48E15AB3A9}"/>
    <cellStyle name="Note 3 4 4 2 4" xfId="20980" xr:uid="{1B2A7DB9-958A-4493-8837-AA224C761810}"/>
    <cellStyle name="Note 3 4 4 3" xfId="6155" xr:uid="{00000000-0005-0000-0000-0000E0210000}"/>
    <cellStyle name="Note 3 4 4 3 2" xfId="14605" xr:uid="{900A0ADB-4614-412A-95FC-3635FB213542}"/>
    <cellStyle name="Note 3 4 4 3 3" xfId="23052" xr:uid="{EE7EA618-B58B-4D06-AECC-323653830CCA}"/>
    <cellStyle name="Note 3 4 4 4" xfId="10387" xr:uid="{0F425483-ECF3-4A37-9280-063FFF787B94}"/>
    <cellStyle name="Note 3 4 4 5" xfId="18835" xr:uid="{DEA10170-D003-4217-87A2-88A37E026EF5}"/>
    <cellStyle name="Note 3 4 5" xfId="2262" xr:uid="{00000000-0005-0000-0000-0000E1210000}"/>
    <cellStyle name="Note 3 4 5 2" xfId="4491" xr:uid="{00000000-0005-0000-0000-0000E2210000}"/>
    <cellStyle name="Note 3 4 5 2 2" xfId="8713" xr:uid="{00000000-0005-0000-0000-0000E3210000}"/>
    <cellStyle name="Note 3 4 5 2 2 2" xfId="17163" xr:uid="{26F709FC-7BF8-4382-A292-876CFA3A2E7C}"/>
    <cellStyle name="Note 3 4 5 2 2 3" xfId="25610" xr:uid="{D84BD307-16AF-45C4-82A5-C52602D86B6B}"/>
    <cellStyle name="Note 3 4 5 2 3" xfId="12945" xr:uid="{1BF97442-6755-4BFE-8C3D-9A91C4A74396}"/>
    <cellStyle name="Note 3 4 5 2 4" xfId="21393" xr:uid="{E592675E-7786-4B03-9BE8-0CA731B54D59}"/>
    <cellStyle name="Note 3 4 5 3" xfId="6568" xr:uid="{00000000-0005-0000-0000-0000E4210000}"/>
    <cellStyle name="Note 3 4 5 3 2" xfId="15018" xr:uid="{6EB8DA70-B12C-4747-B3F4-A507EE4A04F9}"/>
    <cellStyle name="Note 3 4 5 3 3" xfId="23465" xr:uid="{370A536F-EC81-4BBC-AFA1-F8021AFDF050}"/>
    <cellStyle name="Note 3 4 5 4" xfId="10800" xr:uid="{2F1511BF-2E5B-45F8-B662-E9FB77B1F3E6}"/>
    <cellStyle name="Note 3 4 5 5" xfId="19248" xr:uid="{B0BAEF07-B1DC-4203-9180-BE00BEE878A9}"/>
    <cellStyle name="Note 3 4 6" xfId="2698" xr:uid="{00000000-0005-0000-0000-0000E5210000}"/>
    <cellStyle name="Note 3 4 6 2" xfId="6981" xr:uid="{00000000-0005-0000-0000-0000E6210000}"/>
    <cellStyle name="Note 3 4 6 2 2" xfId="15431" xr:uid="{23433F98-FF6F-4942-9034-2823BF7B9468}"/>
    <cellStyle name="Note 3 4 6 2 3" xfId="23878" xr:uid="{1C66CB3F-A2D9-40A3-B991-C9CFC725ABDF}"/>
    <cellStyle name="Note 3 4 6 3" xfId="11213" xr:uid="{506B24CE-AAEE-4415-BDD0-3CBF05B5AD5F}"/>
    <cellStyle name="Note 3 4 6 4" xfId="19661" xr:uid="{5477770F-E694-4B2A-BDB7-51CE6AB471F6}"/>
    <cellStyle name="Note 3 4 7" xfId="2757" xr:uid="{00000000-0005-0000-0000-0000E7210000}"/>
    <cellStyle name="Note 3 4 8" xfId="2838" xr:uid="{00000000-0005-0000-0000-0000E8210000}"/>
    <cellStyle name="Note 3 4 8 2" xfId="7061" xr:uid="{00000000-0005-0000-0000-0000E9210000}"/>
    <cellStyle name="Note 3 4 8 2 2" xfId="15511" xr:uid="{8B27C91B-E53D-41D8-B9B3-CAFA7F93C6B5}"/>
    <cellStyle name="Note 3 4 8 2 3" xfId="23958" xr:uid="{D4107E27-DEC5-4AFF-8125-E21CCD8602B2}"/>
    <cellStyle name="Note 3 4 8 3" xfId="11293" xr:uid="{231B4A29-FD12-4CB4-B941-6F356FC8107B}"/>
    <cellStyle name="Note 3 4 8 4" xfId="19741" xr:uid="{E84A14C7-BF51-4D44-A22E-CEC651A387E7}"/>
    <cellStyle name="Note 3 4 9" xfId="4916" xr:uid="{00000000-0005-0000-0000-0000EA210000}"/>
    <cellStyle name="Note 3 4 9 2" xfId="13366" xr:uid="{1592043E-0962-46A9-8F00-E7F8BE96E2C9}"/>
    <cellStyle name="Note 3 4 9 3" xfId="21813" xr:uid="{6896C0ED-9DF5-437C-8AA6-625808DB7C1D}"/>
    <cellStyle name="Note 3 5" xfId="561" xr:uid="{00000000-0005-0000-0000-0000EB210000}"/>
    <cellStyle name="Note 3 5 10" xfId="9149" xr:uid="{8998DD18-74C6-41EA-8C11-3793AC35E7F1}"/>
    <cellStyle name="Note 3 5 11" xfId="17597" xr:uid="{289146D4-0FA1-45EC-9B1C-472E5E62F7F6}"/>
    <cellStyle name="Note 3 5 2" xfId="1021" xr:uid="{00000000-0005-0000-0000-0000EC210000}"/>
    <cellStyle name="Note 3 5 2 2" xfId="3253" xr:uid="{00000000-0005-0000-0000-0000ED210000}"/>
    <cellStyle name="Note 3 5 2 2 2" xfId="7475" xr:uid="{00000000-0005-0000-0000-0000EE210000}"/>
    <cellStyle name="Note 3 5 2 2 2 2" xfId="15925" xr:uid="{EB0B3ED5-54C2-4C96-807B-F84BDCE3CB89}"/>
    <cellStyle name="Note 3 5 2 2 2 3" xfId="24372" xr:uid="{E851034A-F354-439F-ADAF-0DA8EC1F5E07}"/>
    <cellStyle name="Note 3 5 2 2 3" xfId="11707" xr:uid="{D2FA2800-21BA-4140-B19C-048911720DA5}"/>
    <cellStyle name="Note 3 5 2 2 4" xfId="20155" xr:uid="{8268270D-EC93-4364-A4DE-93BA86E748C8}"/>
    <cellStyle name="Note 3 5 2 3" xfId="5330" xr:uid="{00000000-0005-0000-0000-0000EF210000}"/>
    <cellStyle name="Note 3 5 2 3 2" xfId="13780" xr:uid="{25EF15D9-3E75-48A3-B70E-514340A3CCA9}"/>
    <cellStyle name="Note 3 5 2 3 3" xfId="22227" xr:uid="{392DC2E3-E640-4249-BF4F-905BD76A3427}"/>
    <cellStyle name="Note 3 5 2 4" xfId="9562" xr:uid="{3A317AD9-1A8D-4FD0-9EF0-69C0EC1B95AC}"/>
    <cellStyle name="Note 3 5 2 5" xfId="18010" xr:uid="{5D8F1C94-E066-4212-9356-10B7D8684B64}"/>
    <cellStyle name="Note 3 5 3" xfId="1436" xr:uid="{00000000-0005-0000-0000-0000F0210000}"/>
    <cellStyle name="Note 3 5 3 2" xfId="3666" xr:uid="{00000000-0005-0000-0000-0000F1210000}"/>
    <cellStyle name="Note 3 5 3 2 2" xfId="7888" xr:uid="{00000000-0005-0000-0000-0000F2210000}"/>
    <cellStyle name="Note 3 5 3 2 2 2" xfId="16338" xr:uid="{8ADE0B39-3652-45AE-8B21-D7C427E173A5}"/>
    <cellStyle name="Note 3 5 3 2 2 3" xfId="24785" xr:uid="{09BA8FEA-C3C8-4847-898A-CBE121E1C190}"/>
    <cellStyle name="Note 3 5 3 2 3" xfId="12120" xr:uid="{23B862AA-64FC-4685-8218-F3DDAD95007B}"/>
    <cellStyle name="Note 3 5 3 2 4" xfId="20568" xr:uid="{1C7B27DD-BB4C-4D98-86C3-79B77A8B720C}"/>
    <cellStyle name="Note 3 5 3 3" xfId="5743" xr:uid="{00000000-0005-0000-0000-0000F3210000}"/>
    <cellStyle name="Note 3 5 3 3 2" xfId="14193" xr:uid="{DF08D7CA-9802-4F73-A1FD-48F615EDB670}"/>
    <cellStyle name="Note 3 5 3 3 3" xfId="22640" xr:uid="{B7AF12E5-646B-499D-8444-7EE363A045AA}"/>
    <cellStyle name="Note 3 5 3 4" xfId="9975" xr:uid="{3A937884-3EC3-42F8-BD3A-DEBB21063956}"/>
    <cellStyle name="Note 3 5 3 5" xfId="18423" xr:uid="{707B2884-3E5F-4D2C-BE86-CFF5F95E50EF}"/>
    <cellStyle name="Note 3 5 4" xfId="1850" xr:uid="{00000000-0005-0000-0000-0000F4210000}"/>
    <cellStyle name="Note 3 5 4 2" xfId="4079" xr:uid="{00000000-0005-0000-0000-0000F5210000}"/>
    <cellStyle name="Note 3 5 4 2 2" xfId="8301" xr:uid="{00000000-0005-0000-0000-0000F6210000}"/>
    <cellStyle name="Note 3 5 4 2 2 2" xfId="16751" xr:uid="{84980573-33D9-4158-9A12-B2383F58BCD9}"/>
    <cellStyle name="Note 3 5 4 2 2 3" xfId="25198" xr:uid="{8E197A48-3CE7-438F-B207-A7AADAB0B3CD}"/>
    <cellStyle name="Note 3 5 4 2 3" xfId="12533" xr:uid="{211B120D-AA11-4D8E-9E0E-C48D0F894292}"/>
    <cellStyle name="Note 3 5 4 2 4" xfId="20981" xr:uid="{D91D2197-C9EC-46B2-A55F-7E01E72A9095}"/>
    <cellStyle name="Note 3 5 4 3" xfId="6156" xr:uid="{00000000-0005-0000-0000-0000F7210000}"/>
    <cellStyle name="Note 3 5 4 3 2" xfId="14606" xr:uid="{EC0C9561-EEA1-42E0-A379-12C9C873BEF4}"/>
    <cellStyle name="Note 3 5 4 3 3" xfId="23053" xr:uid="{82294303-F418-41D7-ABCA-ADC4FDE18363}"/>
    <cellStyle name="Note 3 5 4 4" xfId="10388" xr:uid="{4FE32D04-146E-49EB-8D18-CF7249A5DB37}"/>
    <cellStyle name="Note 3 5 4 5" xfId="18836" xr:uid="{D565FB6F-92F6-4C48-9E9C-2D4E88F20CAB}"/>
    <cellStyle name="Note 3 5 5" xfId="2263" xr:uid="{00000000-0005-0000-0000-0000F8210000}"/>
    <cellStyle name="Note 3 5 5 2" xfId="4492" xr:uid="{00000000-0005-0000-0000-0000F9210000}"/>
    <cellStyle name="Note 3 5 5 2 2" xfId="8714" xr:uid="{00000000-0005-0000-0000-0000FA210000}"/>
    <cellStyle name="Note 3 5 5 2 2 2" xfId="17164" xr:uid="{8388DE05-EB07-43C0-BAAB-81F766A290BE}"/>
    <cellStyle name="Note 3 5 5 2 2 3" xfId="25611" xr:uid="{A90ABAA4-A819-4FF3-889B-F4DE0223DDA2}"/>
    <cellStyle name="Note 3 5 5 2 3" xfId="12946" xr:uid="{8B1E0C73-6856-4CE5-9E77-45E69C079AE7}"/>
    <cellStyle name="Note 3 5 5 2 4" xfId="21394" xr:uid="{5F5C6FCC-CD5B-45FA-BF28-3A2B45AD42E4}"/>
    <cellStyle name="Note 3 5 5 3" xfId="6569" xr:uid="{00000000-0005-0000-0000-0000FB210000}"/>
    <cellStyle name="Note 3 5 5 3 2" xfId="15019" xr:uid="{66BF19BA-8831-4402-93BA-4A2FB1773D47}"/>
    <cellStyle name="Note 3 5 5 3 3" xfId="23466" xr:uid="{F3E723E0-72D0-4E6B-A1B3-A7E158EA22EE}"/>
    <cellStyle name="Note 3 5 5 4" xfId="10801" xr:uid="{D50EE541-0363-4554-A4BE-6C3936B5B652}"/>
    <cellStyle name="Note 3 5 5 5" xfId="19249" xr:uid="{70889FEF-93DB-4B16-9209-D192E77B7238}"/>
    <cellStyle name="Note 3 5 6" xfId="2699" xr:uid="{00000000-0005-0000-0000-0000FC210000}"/>
    <cellStyle name="Note 3 5 6 2" xfId="6982" xr:uid="{00000000-0005-0000-0000-0000FD210000}"/>
    <cellStyle name="Note 3 5 6 2 2" xfId="15432" xr:uid="{E7E74139-1369-4BD2-8075-F140852F4577}"/>
    <cellStyle name="Note 3 5 6 2 3" xfId="23879" xr:uid="{23211C2B-2474-486E-8387-1429B8F42E9B}"/>
    <cellStyle name="Note 3 5 6 3" xfId="11214" xr:uid="{F6DE5A69-B501-4CF1-8F2E-B7E1ACD3382E}"/>
    <cellStyle name="Note 3 5 6 4" xfId="19662" xr:uid="{90D4F8C6-76D1-4D4F-8987-1FC21C7DCEA8}"/>
    <cellStyle name="Note 3 5 7" xfId="2758" xr:uid="{00000000-0005-0000-0000-0000FE210000}"/>
    <cellStyle name="Note 3 5 8" xfId="2839" xr:uid="{00000000-0005-0000-0000-0000FF210000}"/>
    <cellStyle name="Note 3 5 8 2" xfId="7062" xr:uid="{00000000-0005-0000-0000-000000220000}"/>
    <cellStyle name="Note 3 5 8 2 2" xfId="15512" xr:uid="{CCEE4A91-F69C-4F52-8B92-C2EA8A031A8D}"/>
    <cellStyle name="Note 3 5 8 2 3" xfId="23959" xr:uid="{9FE350EC-9777-4D48-B6CA-D4F0F1C76B14}"/>
    <cellStyle name="Note 3 5 8 3" xfId="11294" xr:uid="{47BF4C3C-D2A5-47FA-BA7D-29D2C0F245C1}"/>
    <cellStyle name="Note 3 5 8 4" xfId="19742" xr:uid="{70E8A451-19D4-4A87-BBC5-8DFF82729D67}"/>
    <cellStyle name="Note 3 5 9" xfId="4917" xr:uid="{00000000-0005-0000-0000-000001220000}"/>
    <cellStyle name="Note 3 5 9 2" xfId="13367" xr:uid="{7FE1684D-B92D-4B71-83B4-8A6E9CE093AF}"/>
    <cellStyle name="Note 3 5 9 3" xfId="21814" xr:uid="{DC46F9E3-A2AC-4E98-B255-2A6959AB1B4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D0CA49A0-E2A8-429E-956C-6D0BE50449E5}"/>
    <cellStyle name="Percent 3 3" xfId="21397" xr:uid="{70B37EEC-2DCD-4917-B7A4-4C4D13E0E40B}"/>
    <cellStyle name="Percent 4" xfId="4502" xr:uid="{00000000-0005-0000-0000-000007220000}"/>
    <cellStyle name="Percent 4 2" xfId="8717" xr:uid="{00000000-0005-0000-0000-000008220000}"/>
    <cellStyle name="Percent 4 2 2" xfId="17167" xr:uid="{B0599F05-379C-4A3F-BC4C-AFF7181DC8F9}"/>
    <cellStyle name="Percent 4 2 3" xfId="25614" xr:uid="{D27BF9B5-6CB6-4D86-BE7C-1CE6B51B0CC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20E8A2C1-22F7-4671-9459-F76CE4CDE823}"/>
    <cellStyle name="Percent 4 3 2 2 2 2 3" xfId="25630" xr:uid="{22907AB0-E01F-445D-A131-1B3B24A8F8F5}"/>
    <cellStyle name="Percent 4 3 2 2 2 3" xfId="17180" xr:uid="{D61E16F6-A50D-4148-8974-B323E60B8882}"/>
    <cellStyle name="Percent 4 3 2 2 2 4" xfId="25627" xr:uid="{0B2FF04E-B8C9-4295-BF9D-9AA33F862DD7}"/>
    <cellStyle name="Percent 4 3 2 2 3" xfId="17176" xr:uid="{6379DFC4-68F6-4829-AD5D-B02AC69B6478}"/>
    <cellStyle name="Percent 4 3 2 2 4" xfId="25623" xr:uid="{8AB6BBA7-3CDB-427F-9EEB-0A1A513E9D06}"/>
    <cellStyle name="Percent 4 3 2 3" xfId="17173" xr:uid="{EA22449A-5524-42B4-BDF1-0EFB48E06FE7}"/>
    <cellStyle name="Percent 4 3 2 4" xfId="25620" xr:uid="{20467DA1-693F-4E14-A4CD-D67A3713B96F}"/>
    <cellStyle name="Percent 4 3 3" xfId="17170" xr:uid="{083DA45D-E793-41B2-BD15-616BC510A9FC}"/>
    <cellStyle name="Percent 4 3 4" xfId="25617" xr:uid="{331F3EDD-A61A-4C8A-9245-F4C2C9A42CD5}"/>
    <cellStyle name="Percent 4 4" xfId="12953" xr:uid="{CE2F219E-441A-4081-BD18-7703E421BF01}"/>
    <cellStyle name="Percent 4 5" xfId="21400" xr:uid="{2E0C8381-4EFE-4928-BD04-459575E5BFA8}"/>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93517</xdr:colOff>
      <xdr:row>0</xdr:row>
      <xdr:rowOff>121229</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0335" y="121229"/>
          <a:ext cx="1258745" cy="103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6" zoomScale="140" zoomScaleNormal="14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64" t="s">
        <v>2036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6"/>
    </row>
    <row r="8" spans="1:38">
      <c r="A8" s="205"/>
      <c r="B8" s="205"/>
      <c r="C8" s="206"/>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6"/>
    </row>
    <row r="9" spans="1:38">
      <c r="A9" s="205"/>
      <c r="B9" s="205"/>
      <c r="C9" s="206"/>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4" t="s">
        <v>2037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6"/>
    </row>
    <row r="12" spans="1:38">
      <c r="A12" s="205"/>
      <c r="B12" s="205"/>
      <c r="C12" s="206"/>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6"/>
    </row>
    <row r="13" spans="1:38">
      <c r="A13" s="205"/>
      <c r="B13" s="205"/>
      <c r="C13" s="206"/>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64" t="s">
        <v>2607</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6"/>
    </row>
    <row r="16" spans="1:38" ht="13.35" customHeight="1">
      <c r="A16" s="205"/>
      <c r="B16" s="205"/>
      <c r="C16" s="206"/>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6"/>
    </row>
    <row r="17" spans="1:38">
      <c r="A17" s="205"/>
      <c r="B17" s="205"/>
      <c r="C17" s="206"/>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6"/>
    </row>
    <row r="18" spans="1:38">
      <c r="A18" s="205"/>
      <c r="B18" s="205"/>
      <c r="C18" s="206"/>
      <c r="D18" s="520" t="s">
        <v>2606</v>
      </c>
      <c r="E18" s="442"/>
      <c r="G18" s="442"/>
      <c r="H18" s="442"/>
      <c r="I18" s="442"/>
      <c r="J18" s="1266" t="s">
        <v>2605</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64" t="s">
        <v>2038</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5"/>
    </row>
    <row r="21" spans="1:38">
      <c r="A21" s="205"/>
      <c r="B21" s="205"/>
      <c r="C21" s="206"/>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5"/>
    </row>
    <row r="22" spans="1:38">
      <c r="A22" s="205"/>
      <c r="B22" s="205"/>
      <c r="C22" s="206"/>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5"/>
    </row>
    <row r="23" spans="1:38" ht="13.35" customHeight="1">
      <c r="A23" s="205"/>
      <c r="B23" s="205"/>
      <c r="C23" s="206"/>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5"/>
    </row>
    <row r="24" spans="1:38">
      <c r="A24" s="205"/>
      <c r="B24" s="205"/>
      <c r="C24" s="206"/>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5"/>
    </row>
    <row r="25" spans="1:38">
      <c r="A25" s="205"/>
      <c r="B25" s="205"/>
      <c r="C25" s="206"/>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5"/>
    </row>
    <row r="26" spans="1:38">
      <c r="A26" s="205"/>
      <c r="B26" s="205"/>
      <c r="C26" s="206"/>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5"/>
    </row>
    <row r="27" spans="1:38">
      <c r="A27" s="205"/>
      <c r="B27" s="205"/>
      <c r="C27" s="206"/>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5"/>
    </row>
    <row r="28" spans="1:38">
      <c r="A28" s="205"/>
      <c r="B28" s="205"/>
      <c r="C28" s="206"/>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64" t="s">
        <v>2039</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5"/>
    </row>
    <row r="31" spans="1:38">
      <c r="A31" s="205"/>
      <c r="B31" s="205"/>
      <c r="C31" s="206"/>
      <c r="D31" s="456"/>
      <c r="E31" s="1272" t="s">
        <v>2521</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5"/>
    </row>
    <row r="32" spans="1:38">
      <c r="A32" s="4"/>
      <c r="C32" s="2"/>
    </row>
    <row r="33" spans="1:38">
      <c r="A33" s="4"/>
      <c r="D33" s="1265" t="s">
        <v>2143</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2046</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2047</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35" customHeight="1">
      <c r="A40" s="4"/>
      <c r="B40"/>
      <c r="C40" s="2"/>
      <c r="D40" s="4"/>
      <c r="E40" s="4" t="s">
        <v>653</v>
      </c>
      <c r="F40" s="1264" t="s">
        <v>1164</v>
      </c>
    </row>
    <row r="41" spans="1:38" s="1264" customFormat="1" ht="13.35"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3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2041</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3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7" t="s">
        <v>575</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509</v>
      </c>
      <c r="G57" s="1267" t="s">
        <v>2042</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3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zoomScale="110" zoomScaleNormal="11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62" t="s">
        <v>1585</v>
      </c>
      <c r="B1" s="2662"/>
      <c r="C1" s="2662"/>
      <c r="D1" s="2662"/>
      <c r="E1" s="2662"/>
      <c r="F1" s="2662"/>
      <c r="G1" s="2662"/>
      <c r="H1" s="2662"/>
      <c r="I1" s="2662"/>
      <c r="J1" s="2662"/>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28216262</v>
      </c>
      <c r="I3" s="1107"/>
    </row>
    <row r="4" spans="1:13" s="1052" customFormat="1" ht="20.100000000000001" customHeight="1">
      <c r="B4" s="1096"/>
      <c r="D4" s="1110"/>
      <c r="F4" s="1094" t="s">
        <v>1993</v>
      </c>
      <c r="G4" s="1093" t="s">
        <v>1992</v>
      </c>
      <c r="H4" s="1095">
        <f>I18</f>
        <v>23381465.849673204</v>
      </c>
      <c r="I4" s="1097"/>
      <c r="K4" s="1056"/>
    </row>
    <row r="5" spans="1:13" s="1052" customFormat="1" ht="20.100000000000001" customHeight="1" thickBot="1">
      <c r="B5" s="1098"/>
      <c r="C5" s="1099"/>
      <c r="D5" s="1111"/>
      <c r="E5" s="1100"/>
      <c r="F5" s="1111" t="s">
        <v>1942</v>
      </c>
      <c r="G5" s="1112"/>
      <c r="H5" s="1108">
        <f>IFERROR(H3/H4,0)</f>
        <v>1.2067790010006738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5" t="s">
        <v>1940</v>
      </c>
      <c r="C8" s="2666"/>
      <c r="D8" s="2666"/>
      <c r="E8" s="2667"/>
      <c r="G8" s="2668" t="s">
        <v>1941</v>
      </c>
      <c r="H8" s="2669"/>
      <c r="I8" s="2670"/>
      <c r="K8" s="1058"/>
    </row>
    <row r="9" spans="1:13" ht="15" customHeight="1">
      <c r="A9" s="1047"/>
      <c r="B9" s="2663" t="s">
        <v>1974</v>
      </c>
      <c r="C9" s="2663"/>
      <c r="D9" s="2663"/>
      <c r="E9" s="1060">
        <f>G33</f>
        <v>3812500</v>
      </c>
      <c r="G9" s="2671" t="s">
        <v>1972</v>
      </c>
      <c r="H9" s="2671"/>
      <c r="I9" s="1061">
        <f>Application!AM554</f>
        <v>32378000</v>
      </c>
      <c r="K9" s="1062"/>
      <c r="M9" s="1063"/>
    </row>
    <row r="10" spans="1:13" ht="15" customHeight="1" thickBot="1">
      <c r="A10" s="1047"/>
      <c r="B10" s="2663" t="s">
        <v>1975</v>
      </c>
      <c r="C10" s="2663"/>
      <c r="D10" s="2663"/>
      <c r="E10" s="1061">
        <f>G47</f>
        <v>18487512</v>
      </c>
      <c r="G10" s="2675" t="s">
        <v>1943</v>
      </c>
      <c r="H10" s="2675"/>
      <c r="I10" s="1142">
        <f>'Basis &amp; Credits'!AB78</f>
        <v>0</v>
      </c>
      <c r="M10" s="1063"/>
    </row>
    <row r="11" spans="1:13" ht="15" customHeight="1">
      <c r="A11" s="1047"/>
      <c r="B11" s="2679" t="s">
        <v>2266</v>
      </c>
      <c r="C11" s="2680"/>
      <c r="D11" s="2681"/>
      <c r="E11" s="1061">
        <f>SUM(E12,E13)</f>
        <v>960000</v>
      </c>
      <c r="G11" s="2678" t="s">
        <v>1983</v>
      </c>
      <c r="H11" s="2678"/>
      <c r="I11" s="1141">
        <f>I9+I10</f>
        <v>32378000</v>
      </c>
      <c r="M11" s="1063"/>
    </row>
    <row r="12" spans="1:13" ht="15" customHeight="1">
      <c r="A12" s="1064"/>
      <c r="B12" s="2664" t="s">
        <v>2268</v>
      </c>
      <c r="C12" s="2664"/>
      <c r="D12" s="2664"/>
      <c r="E12" s="1167">
        <f>G56</f>
        <v>320000</v>
      </c>
      <c r="M12" s="1063"/>
    </row>
    <row r="13" spans="1:13" ht="15" customHeight="1">
      <c r="A13" s="1050"/>
      <c r="B13" s="2664" t="s">
        <v>2269</v>
      </c>
      <c r="C13" s="2664"/>
      <c r="D13" s="2664"/>
      <c r="E13" s="1167">
        <f>G65</f>
        <v>640000</v>
      </c>
      <c r="G13" s="2668" t="s">
        <v>2007</v>
      </c>
      <c r="H13" s="2669"/>
      <c r="I13" s="2670"/>
      <c r="M13" s="1063"/>
    </row>
    <row r="14" spans="1:13" ht="15" customHeight="1">
      <c r="A14" s="1050"/>
      <c r="B14" s="2679" t="s">
        <v>2267</v>
      </c>
      <c r="C14" s="2680"/>
      <c r="D14" s="2681"/>
      <c r="E14" s="1169">
        <f>MAX(E15,E16)+E17</f>
        <v>4956250</v>
      </c>
      <c r="G14" s="2671" t="s">
        <v>139</v>
      </c>
      <c r="H14" s="2671"/>
      <c r="I14" s="1065">
        <f>15%*(AND(G120="Yes",G122&lt;&gt;""))</f>
        <v>0.15</v>
      </c>
      <c r="M14" s="1063"/>
    </row>
    <row r="15" spans="1:13" ht="15" customHeight="1">
      <c r="A15" s="1050"/>
      <c r="B15" s="2682" t="s">
        <v>2273</v>
      </c>
      <c r="C15" s="2683"/>
      <c r="D15" s="2684"/>
      <c r="E15" s="1167">
        <f>G80</f>
        <v>0</v>
      </c>
      <c r="G15" s="1139" t="s">
        <v>1984</v>
      </c>
      <c r="H15" s="1139"/>
      <c r="I15" s="1065">
        <f>IF(Application!AJ1032&gt;0,10%,IF(Application!AJ1036&gt;0,5%,0))</f>
        <v>0</v>
      </c>
      <c r="M15" s="1063"/>
    </row>
    <row r="16" spans="1:13" ht="15" customHeight="1">
      <c r="A16" s="1050"/>
      <c r="B16" s="2682" t="s">
        <v>2272</v>
      </c>
      <c r="C16" s="2683"/>
      <c r="D16" s="2684"/>
      <c r="E16" s="1167">
        <f>G90</f>
        <v>0</v>
      </c>
      <c r="G16" s="2671" t="s">
        <v>1985</v>
      </c>
      <c r="H16" s="2671"/>
      <c r="I16" s="1065">
        <f>G132</f>
        <v>0.127859477124183</v>
      </c>
    </row>
    <row r="17" spans="1:21" ht="15" customHeight="1" thickBot="1">
      <c r="A17" s="1050"/>
      <c r="B17" s="2682" t="s">
        <v>2271</v>
      </c>
      <c r="C17" s="2683"/>
      <c r="D17" s="2684"/>
      <c r="E17" s="1167">
        <f>G115</f>
        <v>4956250</v>
      </c>
      <c r="G17" s="2671" t="s">
        <v>2281</v>
      </c>
      <c r="H17" s="2671"/>
      <c r="I17" s="1065">
        <f>IF(AND(G139="Yes",OR(G136,G137)),IF(G143&gt;15%,15%,G143),0)</f>
        <v>0</v>
      </c>
    </row>
    <row r="18" spans="1:21" ht="15" customHeight="1">
      <c r="A18" s="1047"/>
      <c r="B18" s="2674" t="s">
        <v>1939</v>
      </c>
      <c r="C18" s="2674"/>
      <c r="D18" s="2674"/>
      <c r="E18" s="1113">
        <f>SUM(E9:E11,E14)</f>
        <v>28216262</v>
      </c>
      <c r="G18" s="1140" t="s">
        <v>1973</v>
      </c>
      <c r="H18" s="1140"/>
      <c r="I18" s="1114">
        <f>I11-((I11*I14)+(I11*I15)+(I11*I16)+(I11*I17))</f>
        <v>23381465.849673204</v>
      </c>
      <c r="M18" s="1066">
        <f>SUM(Cdlac[Quantity])</f>
        <v>65</v>
      </c>
      <c r="O18" s="1086" t="s">
        <v>582</v>
      </c>
      <c r="P18" s="1045">
        <f>MATCH(Application!T189,Application!CB160:CB217,0)</f>
        <v>43</v>
      </c>
      <c r="T18" s="1066">
        <f>SUM(Cdlac[Population])</f>
        <v>33</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10</v>
      </c>
      <c r="N20" s="1072">
        <f>Application!AC718</f>
        <v>0.3</v>
      </c>
      <c r="O20" s="1072">
        <f>IF(Cdlac[[#This Row],[Quantity]]&gt;0,IF(Cdlac[[#This Row],[Federal]],30%,IF(AND(OR(NOT($G$38),$G$38=""),$G$43),40%,Cdlac[[#This Row],[iAMI]])),"")</f>
        <v>0.3</v>
      </c>
      <c r="P20" s="1066" cm="1">
        <f t="array" ref="P20">IF(Cdlac[[#This Row],[Quantity]]&gt;0,INDEX(TcacRents,$P$18,Cdlac[[#This Row],[Bedrooms]]+1)*Cdlac[[#This Row],[AMI]],"")</f>
        <v>967.8</v>
      </c>
      <c r="Q20" s="1166"/>
      <c r="R20" s="1066" cm="1">
        <f t="array" ref="R20">IF(Cdlac[[#This Row],[Quantity]]&gt;0,INDEX(HudFmrs,$P$18,Cdlac[[#This Row],[Bedrooms]]+1),"")</f>
        <v>2383</v>
      </c>
      <c r="S20" s="1066">
        <f>IF(Cdlac[[#This Row],[Quantity]]&gt;0,MAX(0,Cdlac[[#This Row],[Fair Market Rent]]-IF(AND($G$37,$G$38,$G$38&lt;&gt;"",NOT(Cdlac[[#This Row],[Federal]]),Cdlac[[#This Row],[Preservation Rent]]&lt;&gt;""),Cdlac[[#This Row],[Preservation Rent]],Cdlac[[#This Row],[Restricted Rent]])),"")</f>
        <v>1415.2</v>
      </c>
      <c r="T20" s="1045">
        <f>IF(Cdlac[[#This Row],[Quantity]]&gt;0,AND(Application!AK718&lt;&gt;"N/A",Application!AK718&lt;&gt;"")*Cdlac[[#This Row],[Quantity]],"")</f>
        <v>10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1</v>
      </c>
      <c r="N21" s="1072">
        <f>Application!AC719</f>
        <v>0.3</v>
      </c>
      <c r="O21" s="1072">
        <f>IF(Cdlac[[#This Row],[Quantity]]&gt;0,IF(Cdlac[[#This Row],[Federal]],30%,IF(AND(OR(NOT($G$38),$G$38=""),$G$43),40%,Cdlac[[#This Row],[iAMI]])),"")</f>
        <v>0.3</v>
      </c>
      <c r="P21" s="1066" cm="1">
        <f t="array" ref="P21">IF(Cdlac[[#This Row],[Quantity]]&gt;0,INDEX(TcacRents,$P$18,Cdlac[[#This Row],[Bedrooms]]+1)*Cdlac[[#This Row],[AMI]],"")</f>
        <v>967.8</v>
      </c>
      <c r="Q21" s="1166"/>
      <c r="R21" s="1066" cm="1">
        <f t="array" ref="R21">IF(Cdlac[[#This Row],[Quantity]]&gt;0,INDEX(HudFmrs,$P$18,Cdlac[[#This Row],[Bedrooms]]+1),"")</f>
        <v>2383</v>
      </c>
      <c r="S21" s="1066">
        <f>IF(Cdlac[[#This Row],[Quantity]]&gt;0,MAX(0,Cdlac[[#This Row],[Fair Market Rent]]-IF(AND($G$37,$G$38,$G$38&lt;&gt;"",NOT(Cdlac[[#This Row],[Federal]]),Cdlac[[#This Row],[Preservation Rent]]&lt;&gt;""),Cdlac[[#This Row],[Preservation Rent]],Cdlac[[#This Row],[Restricted Rent]])),"")</f>
        <v>1415.2</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72" t="s">
        <v>1987</v>
      </c>
      <c r="D22" s="2672" t="s">
        <v>1988</v>
      </c>
      <c r="E22" s="2672" t="s">
        <v>1989</v>
      </c>
      <c r="F22" s="2672" t="s">
        <v>1990</v>
      </c>
      <c r="G22" s="2672" t="s">
        <v>1986</v>
      </c>
      <c r="H22" s="1071"/>
      <c r="I22" s="1070"/>
      <c r="L22" s="1045">
        <f>IFERROR(MIN(4,MATCH(Application!B720,UnitSizes,0)-1),"")</f>
        <v>0</v>
      </c>
      <c r="M22" s="1066">
        <f>Application!G720</f>
        <v>4</v>
      </c>
      <c r="N22" s="1072">
        <f>Application!AC720</f>
        <v>0.5</v>
      </c>
      <c r="O22" s="1072">
        <f>IF(Cdlac[[#This Row],[Quantity]]&gt;0,IF(Cdlac[[#This Row],[Federal]],30%,IF(AND(OR(NOT($G$38),$G$38=""),$G$43),40%,Cdlac[[#This Row],[iAMI]])),"")</f>
        <v>0.5</v>
      </c>
      <c r="P22" s="1066" cm="1">
        <f t="array" ref="P22">IF(Cdlac[[#This Row],[Quantity]]&gt;0,INDEX(TcacRents,$P$18,Cdlac[[#This Row],[Bedrooms]]+1)*Cdlac[[#This Row],[AMI]],"")</f>
        <v>1613</v>
      </c>
      <c r="Q22" s="1166"/>
      <c r="R22" s="1066" cm="1">
        <f t="array" ref="R22">IF(Cdlac[[#This Row],[Quantity]]&gt;0,INDEX(HudFmrs,$P$18,Cdlac[[#This Row],[Bedrooms]]+1),"")</f>
        <v>2383</v>
      </c>
      <c r="S22" s="1066">
        <f>IF(Cdlac[[#This Row],[Quantity]]&gt;0,MAX(0,Cdlac[[#This Row],[Fair Market Rent]]-IF(AND($G$37,$G$38,$G$38&lt;&gt;"",NOT(Cdlac[[#This Row],[Federal]]),Cdlac[[#This Row],[Preservation Rent]]&lt;&gt;""),Cdlac[[#This Row],[Preservation Rent]],Cdlac[[#This Row],[Restricted Rent]])),"")</f>
        <v>770</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73"/>
      <c r="D23" s="2673"/>
      <c r="E23" s="2673"/>
      <c r="F23" s="2673"/>
      <c r="G23" s="2673"/>
      <c r="H23" s="1071"/>
      <c r="I23" s="1070"/>
      <c r="L23" s="1045">
        <f>IFERROR(MIN(4,MATCH(Application!B721,UnitSizes,0)-1),"")</f>
        <v>1</v>
      </c>
      <c r="M23" s="1066">
        <f>Application!G721</f>
        <v>1</v>
      </c>
      <c r="N23" s="1072">
        <f>Application!AC721</f>
        <v>0.3</v>
      </c>
      <c r="O23" s="1072">
        <f>IF(Cdlac[[#This Row],[Quantity]]&gt;0,IF(Cdlac[[#This Row],[Federal]],30%,IF(AND(OR(NOT($G$38),$G$38=""),$G$43),40%,Cdlac[[#This Row],[iAMI]])),"")</f>
        <v>0.3</v>
      </c>
      <c r="P23" s="1066" cm="1">
        <f t="array" ref="P23">IF(Cdlac[[#This Row],[Quantity]]&gt;0,INDEX(TcacRents,$P$18,Cdlac[[#This Row],[Bedrooms]]+1)*Cdlac[[#This Row],[AMI]],"")</f>
        <v>1036.8</v>
      </c>
      <c r="Q23" s="1166"/>
      <c r="R23" s="1066" cm="1">
        <f t="array" ref="R23">IF(Cdlac[[#This Row],[Quantity]]&gt;0,INDEX(HudFmrs,$P$18,Cdlac[[#This Row],[Bedrooms]]+1),"")</f>
        <v>2694</v>
      </c>
      <c r="S23" s="1066">
        <f>IF(Cdlac[[#This Row],[Quantity]]&gt;0,MAX(0,Cdlac[[#This Row],[Fair Market Rent]]-IF(AND($G$37,$G$38,$G$38&lt;&gt;"",NOT(Cdlac[[#This Row],[Federal]]),Cdlac[[#This Row],[Preservation Rent]]&lt;&gt;""),Cdlac[[#This Row],[Preservation Rent]],Cdlac[[#This Row],[Restricted Rent]])),"")</f>
        <v>1657.2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15</v>
      </c>
      <c r="F24" s="1073">
        <f>E24</f>
        <v>15</v>
      </c>
      <c r="G24" s="1073">
        <f>D24*F24</f>
        <v>13.5</v>
      </c>
      <c r="L24" s="1045">
        <f>IFERROR(MIN(4,MATCH(Application!B722,UnitSizes,0)-1),"")</f>
        <v>1</v>
      </c>
      <c r="M24" s="1066">
        <f>Application!G722</f>
        <v>7</v>
      </c>
      <c r="N24" s="1072">
        <f>Application!AC722</f>
        <v>0.5</v>
      </c>
      <c r="O24" s="1072">
        <f>IF(Cdlac[[#This Row],[Quantity]]&gt;0,IF(Cdlac[[#This Row],[Federal]],30%,IF(AND(OR(NOT($G$38),$G$38=""),$G$43),40%,Cdlac[[#This Row],[iAMI]])),"")</f>
        <v>0.3</v>
      </c>
      <c r="P24" s="1066" cm="1">
        <f t="array" ref="P24">IF(Cdlac[[#This Row],[Quantity]]&gt;0,INDEX(TcacRents,$P$18,Cdlac[[#This Row],[Bedrooms]]+1)*Cdlac[[#This Row],[AMI]],"")</f>
        <v>1036.8</v>
      </c>
      <c r="Q24" s="1166"/>
      <c r="R24" s="1066" cm="1">
        <f t="array" ref="R24">IF(Cdlac[[#This Row],[Quantity]]&gt;0,INDEX(HudFmrs,$P$18,Cdlac[[#This Row],[Bedrooms]]+1),"")</f>
        <v>2694</v>
      </c>
      <c r="S24" s="1066">
        <f>IF(Cdlac[[#This Row],[Quantity]]&gt;0,MAX(0,Cdlac[[#This Row],[Fair Market Rent]]-IF(AND($G$37,$G$38,$G$38&lt;&gt;"",NOT(Cdlac[[#This Row],[Federal]]),Cdlac[[#This Row],[Preservation Rent]]&lt;&gt;""),Cdlac[[#This Row],[Preservation Rent]],Cdlac[[#This Row],[Restricted Rent]])),"")</f>
        <v>1657.2</v>
      </c>
      <c r="T24" s="1045">
        <f>IF(Cdlac[[#This Row],[Quantity]]&gt;0,AND(Application!AK722&lt;&gt;"N/A",Application!AK722&lt;&gt;"")*Cdlac[[#This Row],[Quantity]],"")</f>
        <v>7</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16</v>
      </c>
      <c r="F25" s="1073">
        <f>E25</f>
        <v>16</v>
      </c>
      <c r="G25" s="1073">
        <f>D25*F25</f>
        <v>16</v>
      </c>
      <c r="L25" s="1045">
        <f>IFERROR(MIN(4,MATCH(Application!B723,UnitSizes,0)-1),"")</f>
        <v>1</v>
      </c>
      <c r="M25" s="1066">
        <f>Application!G723</f>
        <v>8</v>
      </c>
      <c r="N25" s="1072">
        <f>Application!AC723</f>
        <v>0.5</v>
      </c>
      <c r="O25" s="1072">
        <f>IF(Cdlac[[#This Row],[Quantity]]&gt;0,IF(Cdlac[[#This Row],[Federal]],30%,IF(AND(OR(NOT($G$38),$G$38=""),$G$43),40%,Cdlac[[#This Row],[iAMI]])),"")</f>
        <v>0.5</v>
      </c>
      <c r="P25" s="1066" cm="1">
        <f t="array" ref="P25">IF(Cdlac[[#This Row],[Quantity]]&gt;0,INDEX(TcacRents,$P$18,Cdlac[[#This Row],[Bedrooms]]+1)*Cdlac[[#This Row],[AMI]],"")</f>
        <v>1728</v>
      </c>
      <c r="Q25" s="1166"/>
      <c r="R25" s="1066" cm="1">
        <f t="array" ref="R25">IF(Cdlac[[#This Row],[Quantity]]&gt;0,INDEX(HudFmrs,$P$18,Cdlac[[#This Row],[Bedrooms]]+1),"")</f>
        <v>2694</v>
      </c>
      <c r="S25" s="1066">
        <f>IF(Cdlac[[#This Row],[Quantity]]&gt;0,MAX(0,Cdlac[[#This Row],[Fair Market Rent]]-IF(AND($G$37,$G$38,$G$38&lt;&gt;"",NOT(Cdlac[[#This Row],[Federal]]),Cdlac[[#This Row],[Preservation Rent]]&lt;&gt;""),Cdlac[[#This Row],[Preservation Rent]],Cdlac[[#This Row],[Restricted Rent]])),"")</f>
        <v>966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17</v>
      </c>
      <c r="F26" s="1076">
        <f>SUM(E26:E28)-SUM(F27:F28)</f>
        <v>17</v>
      </c>
      <c r="G26" s="1073">
        <f>D26*F26</f>
        <v>21.25</v>
      </c>
      <c r="H26" s="1075"/>
      <c r="I26" s="1075"/>
      <c r="L26" s="1045">
        <f>IFERROR(MIN(4,MATCH(Application!B724,UnitSizes,0)-1),"")</f>
        <v>2</v>
      </c>
      <c r="M26" s="1066">
        <f>Application!G724</f>
        <v>8</v>
      </c>
      <c r="N26" s="1072">
        <f>Application!AC724</f>
        <v>0.3</v>
      </c>
      <c r="O26" s="1072">
        <f>IF(Cdlac[[#This Row],[Quantity]]&gt;0,IF(Cdlac[[#This Row],[Federal]],30%,IF(AND(OR(NOT($G$38),$G$38=""),$G$43),40%,Cdlac[[#This Row],[iAMI]])),"")</f>
        <v>0.3</v>
      </c>
      <c r="P26" s="1066" cm="1">
        <f t="array" ref="P26">IF(Cdlac[[#This Row],[Quantity]]&gt;0,INDEX(TcacRents,$P$18,Cdlac[[#This Row],[Bedrooms]]+1)*Cdlac[[#This Row],[AMI]],"")</f>
        <v>1243.8</v>
      </c>
      <c r="Q26" s="1166"/>
      <c r="R26" s="1066" cm="1">
        <f t="array" ref="R26">IF(Cdlac[[#This Row],[Quantity]]&gt;0,INDEX(HudFmrs,$P$18,Cdlac[[#This Row],[Bedrooms]]+1),"")</f>
        <v>3132</v>
      </c>
      <c r="S26" s="1066">
        <f>IF(Cdlac[[#This Row],[Quantity]]&gt;0,MAX(0,Cdlac[[#This Row],[Fair Market Rent]]-IF(AND($G$37,$G$38,$G$38&lt;&gt;"",NOT(Cdlac[[#This Row],[Federal]]),Cdlac[[#This Row],[Preservation Rent]]&lt;&gt;""),Cdlac[[#This Row],[Preservation Rent]],Cdlac[[#This Row],[Restricted Rent]])),"")</f>
        <v>1888.2</v>
      </c>
      <c r="T26" s="1045">
        <f>IF(Cdlac[[#This Row],[Quantity]]&gt;0,AND(Application!AK724&lt;&gt;"N/A",Application!AK724&lt;&gt;"")*Cdlac[[#This Row],[Quantity]],"")</f>
        <v>8</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17</v>
      </c>
      <c r="F27" s="1076">
        <f>MIN(E27,ROUNDDOWN(E29*30%,0))</f>
        <v>17</v>
      </c>
      <c r="G27" s="1073">
        <f>D27*F27</f>
        <v>25.5</v>
      </c>
      <c r="H27" s="1075"/>
      <c r="I27" s="1075"/>
      <c r="L27" s="1045">
        <f>IFERROR(MIN(4,MATCH(Application!B725,UnitSizes,0)-1),"")</f>
        <v>2</v>
      </c>
      <c r="M27" s="1066">
        <f>Application!G725</f>
        <v>4</v>
      </c>
      <c r="N27" s="1072">
        <f>Application!AC725</f>
        <v>0.3</v>
      </c>
      <c r="O27" s="1072">
        <f>IF(Cdlac[[#This Row],[Quantity]]&gt;0,IF(Cdlac[[#This Row],[Federal]],30%,IF(AND(OR(NOT($G$38),$G$38=""),$G$43),40%,Cdlac[[#This Row],[iAMI]])),"")</f>
        <v>0.3</v>
      </c>
      <c r="P27" s="1066" cm="1">
        <f t="array" ref="P27">IF(Cdlac[[#This Row],[Quantity]]&gt;0,INDEX(TcacRents,$P$18,Cdlac[[#This Row],[Bedrooms]]+1)*Cdlac[[#This Row],[AMI]],"")</f>
        <v>1243.8</v>
      </c>
      <c r="Q27" s="1166"/>
      <c r="R27" s="1066" cm="1">
        <f t="array" ref="R27">IF(Cdlac[[#This Row],[Quantity]]&gt;0,INDEX(HudFmrs,$P$18,Cdlac[[#This Row],[Bedrooms]]+1),"")</f>
        <v>3132</v>
      </c>
      <c r="S27" s="1066">
        <f>IF(Cdlac[[#This Row],[Quantity]]&gt;0,MAX(0,Cdlac[[#This Row],[Fair Market Rent]]-IF(AND($G$37,$G$38,$G$38&lt;&gt;"",NOT(Cdlac[[#This Row],[Federal]]),Cdlac[[#This Row],[Preservation Rent]]&lt;&gt;""),Cdlac[[#This Row],[Preservation Rent]],Cdlac[[#This Row],[Restricted Rent]])),"")</f>
        <v>1888.2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5</v>
      </c>
      <c r="N28" s="1072">
        <f>Application!AC726</f>
        <v>0.5</v>
      </c>
      <c r="O28" s="1072">
        <f>IF(Cdlac[[#This Row],[Quantity]]&gt;0,IF(Cdlac[[#This Row],[Federal]],30%,IF(AND(OR(NOT($G$38),$G$38=""),$G$43),40%,Cdlac[[#This Row],[iAMI]])),"")</f>
        <v>0.5</v>
      </c>
      <c r="P28" s="1066" cm="1">
        <f t="array" ref="P28">IF(Cdlac[[#This Row],[Quantity]]&gt;0,INDEX(TcacRents,$P$18,Cdlac[[#This Row],[Bedrooms]]+1)*Cdlac[[#This Row],[AMI]],"")</f>
        <v>2073</v>
      </c>
      <c r="Q28" s="1166"/>
      <c r="R28" s="1066" cm="1">
        <f t="array" ref="R28">IF(Cdlac[[#This Row],[Quantity]]&gt;0,INDEX(HudFmrs,$P$18,Cdlac[[#This Row],[Bedrooms]]+1),"")</f>
        <v>3132</v>
      </c>
      <c r="S28" s="1066">
        <f>IF(Cdlac[[#This Row],[Quantity]]&gt;0,MAX(0,Cdlac[[#This Row],[Fair Market Rent]]-IF(AND($G$37,$G$38,$G$38&lt;&gt;"",NOT(Cdlac[[#This Row],[Federal]]),Cdlac[[#This Row],[Preservation Rent]]&lt;&gt;""),Cdlac[[#This Row],[Preservation Rent]],Cdlac[[#This Row],[Restricted Rent]])),"")</f>
        <v>1059</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6" t="s">
        <v>1586</v>
      </c>
      <c r="D29" s="2687"/>
      <c r="E29" s="1091">
        <f>SUM(E24:E28)</f>
        <v>65</v>
      </c>
      <c r="F29" s="1091">
        <f>SUM(F24:F28)</f>
        <v>65</v>
      </c>
      <c r="G29" s="1092">
        <f>SUMPRODUCT(D24:D28,F24:F28)</f>
        <v>76.25</v>
      </c>
      <c r="H29" s="1075"/>
      <c r="I29" s="1075"/>
      <c r="L29" s="1045">
        <f>IFERROR(MIN(4,MATCH(Application!B727,UnitSizes,0)-1),"")</f>
        <v>3</v>
      </c>
      <c r="M29" s="1066">
        <f>Application!G727</f>
        <v>8</v>
      </c>
      <c r="N29" s="1072">
        <f>Application!AC727</f>
        <v>0.3</v>
      </c>
      <c r="O29" s="1072">
        <f>IF(Cdlac[[#This Row],[Quantity]]&gt;0,IF(Cdlac[[#This Row],[Federal]],30%,IF(AND(OR(NOT($G$38),$G$38=""),$G$43),40%,Cdlac[[#This Row],[iAMI]])),"")</f>
        <v>0.3</v>
      </c>
      <c r="P29" s="1066" cm="1">
        <f t="array" ref="P29">IF(Cdlac[[#This Row],[Quantity]]&gt;0,INDEX(TcacRents,$P$18,Cdlac[[#This Row],[Bedrooms]]+1)*Cdlac[[#This Row],[AMI]],"")</f>
        <v>1437.6</v>
      </c>
      <c r="Q29" s="1166"/>
      <c r="R29" s="1066" cm="1">
        <f t="array" ref="R29">IF(Cdlac[[#This Row],[Quantity]]&gt;0,INDEX(HudFmrs,$P$18,Cdlac[[#This Row],[Bedrooms]]+1),"")</f>
        <v>4011</v>
      </c>
      <c r="S29" s="1066">
        <f>IF(Cdlac[[#This Row],[Quantity]]&gt;0,MAX(0,Cdlac[[#This Row],[Fair Market Rent]]-IF(AND($G$37,$G$38,$G$38&lt;&gt;"",NOT(Cdlac[[#This Row],[Federal]]),Cdlac[[#This Row],[Preservation Rent]]&lt;&gt;""),Cdlac[[#This Row],[Preservation Rent]],Cdlac[[#This Row],[Restricted Rent]])),"")</f>
        <v>2573.4</v>
      </c>
      <c r="T29" s="1045">
        <f>IF(Cdlac[[#This Row],[Quantity]]&gt;0,AND(Application!AK727&lt;&gt;"N/A",Application!AK727&lt;&gt;"")*Cdlac[[#This Row],[Quantity]],"")</f>
        <v>8</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3</v>
      </c>
      <c r="M30" s="1066">
        <f>Application!G728</f>
        <v>9</v>
      </c>
      <c r="N30" s="1072">
        <f>Application!AC728</f>
        <v>0.5</v>
      </c>
      <c r="O30" s="1072">
        <f>IF(Cdlac[[#This Row],[Quantity]]&gt;0,IF(Cdlac[[#This Row],[Federal]],30%,IF(AND(OR(NOT($G$38),$G$38=""),$G$43),40%,Cdlac[[#This Row],[iAMI]])),"")</f>
        <v>0.5</v>
      </c>
      <c r="P30" s="1066" cm="1">
        <f t="array" ref="P30">IF(Cdlac[[#This Row],[Quantity]]&gt;0,INDEX(TcacRents,$P$18,Cdlac[[#This Row],[Bedrooms]]+1)*Cdlac[[#This Row],[AMI]],"")</f>
        <v>2396</v>
      </c>
      <c r="Q30" s="1166"/>
      <c r="R30" s="1066" cm="1">
        <f t="array" ref="R30">IF(Cdlac[[#This Row],[Quantity]]&gt;0,INDEX(HudFmrs,$P$18,Cdlac[[#This Row],[Bedrooms]]+1),"")</f>
        <v>4011</v>
      </c>
      <c r="S30" s="1066">
        <f>IF(Cdlac[[#This Row],[Quantity]]&gt;0,MAX(0,Cdlac[[#This Row],[Fair Market Rent]]-IF(AND($G$37,$G$38,$G$38&lt;&gt;"",NOT(Cdlac[[#This Row],[Federal]]),Cdlac[[#This Row],[Preservation Rent]]&lt;&gt;""),Cdlac[[#This Row],[Preservation Rent]],Cdlac[[#This Row],[Restricted Rent]])),"")</f>
        <v>1615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76.25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3812500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0.42380952380952375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102708.40000000001</v>
      </c>
    </row>
    <row r="46" spans="1:21" ht="15" customHeight="1">
      <c r="E46" s="1119" t="s">
        <v>2006</v>
      </c>
      <c r="F46" s="1115" t="s">
        <v>1994</v>
      </c>
      <c r="G46" s="1123">
        <f>12*15</f>
        <v>180</v>
      </c>
    </row>
    <row r="47" spans="1:21" ht="15" customHeight="1">
      <c r="E47" s="1124" t="s">
        <v>1944</v>
      </c>
      <c r="F47" s="1047"/>
      <c r="G47" s="1125">
        <f>G45*G46</f>
        <v>18487512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33</v>
      </c>
    </row>
    <row r="52" spans="2:9" ht="15" customHeight="1">
      <c r="E52" s="1119" t="s">
        <v>1996</v>
      </c>
      <c r="G52" s="1116">
        <f>ROUNDDOWN(E29*50%,0)</f>
        <v>32</v>
      </c>
    </row>
    <row r="53" spans="2:9" ht="15" customHeight="1">
      <c r="E53" s="1119"/>
      <c r="G53" s="1127"/>
    </row>
    <row r="54" spans="2:9" ht="15" customHeight="1">
      <c r="E54" s="1119" t="s">
        <v>1955</v>
      </c>
      <c r="G54" s="1116">
        <f>MIN(G51:G52)</f>
        <v>32</v>
      </c>
    </row>
    <row r="55" spans="2:9" ht="15" customHeight="1">
      <c r="E55" s="1119" t="s">
        <v>1945</v>
      </c>
      <c r="F55" s="1115" t="s">
        <v>1994</v>
      </c>
      <c r="G55" s="1126">
        <v>10000</v>
      </c>
    </row>
    <row r="56" spans="2:9" ht="15" customHeight="1">
      <c r="E56" s="1120" t="s">
        <v>1978</v>
      </c>
      <c r="F56" s="1047"/>
      <c r="G56" s="1125">
        <f>G54*G55</f>
        <v>320000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32</v>
      </c>
    </row>
    <row r="61" spans="2:9" ht="15" customHeight="1">
      <c r="E61" s="1119" t="s">
        <v>1996</v>
      </c>
      <c r="G61" s="1080">
        <f>ROUNDDOWN(E29*50%,0)</f>
        <v>32</v>
      </c>
    </row>
    <row r="62" spans="2:9" ht="15" customHeight="1">
      <c r="E62" s="1119"/>
      <c r="G62" s="1080"/>
    </row>
    <row r="63" spans="2:9" ht="15" customHeight="1">
      <c r="E63" s="1119" t="s">
        <v>1955</v>
      </c>
      <c r="G63" s="1116">
        <f>MIN(G60:G61)</f>
        <v>32</v>
      </c>
    </row>
    <row r="64" spans="2:9" ht="15" customHeight="1">
      <c r="E64" s="1119" t="s">
        <v>1945</v>
      </c>
      <c r="F64" s="1115" t="s">
        <v>1994</v>
      </c>
      <c r="G64" s="1126">
        <v>20000</v>
      </c>
    </row>
    <row r="65" spans="2:14" ht="15" customHeight="1">
      <c r="E65" s="1120" t="s">
        <v>1977</v>
      </c>
      <c r="F65" s="1047"/>
      <c r="G65" s="1125">
        <f>G63*G64</f>
        <v>640000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59" t="s">
        <v>1970</v>
      </c>
      <c r="M72" s="2660"/>
      <c r="N72" s="1133">
        <v>30000</v>
      </c>
    </row>
    <row r="73" spans="2:14" ht="15" customHeight="1">
      <c r="C73" s="2661" t="s">
        <v>2265</v>
      </c>
      <c r="D73" s="2661"/>
      <c r="E73" s="2661"/>
      <c r="F73" s="2661"/>
      <c r="G73" s="1044" t="s">
        <v>669</v>
      </c>
      <c r="L73" s="2676" t="s">
        <v>1938</v>
      </c>
      <c r="M73" s="2677"/>
      <c r="N73" s="1134">
        <v>20000</v>
      </c>
    </row>
    <row r="74" spans="2:14" ht="15" customHeight="1" thickBot="1">
      <c r="C74" s="2661"/>
      <c r="D74" s="2661"/>
      <c r="E74" s="2661"/>
      <c r="F74" s="2661"/>
      <c r="L74" s="2651" t="s">
        <v>1971</v>
      </c>
      <c r="M74" s="2652"/>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76.25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76.25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76.25</v>
      </c>
    </row>
    <row r="97" spans="2:14" ht="15" customHeight="1">
      <c r="E97" s="1120" t="s">
        <v>1962</v>
      </c>
      <c r="F97" s="1047"/>
      <c r="G97" s="1125">
        <f>G94*G95*G96</f>
        <v>2135000</v>
      </c>
      <c r="L97" s="1129" t="str">
        <f>'Points System'!H638</f>
        <v>(i)</v>
      </c>
      <c r="M97" s="2657" t="s">
        <v>1405</v>
      </c>
      <c r="N97" s="2658"/>
    </row>
    <row r="98" spans="2:14" ht="15" customHeight="1">
      <c r="C98" s="1078"/>
      <c r="G98" s="1116"/>
      <c r="L98" s="1130" t="str">
        <f>'Points System'!H650</f>
        <v>(ii)</v>
      </c>
      <c r="M98" s="2653" t="s">
        <v>1957</v>
      </c>
      <c r="N98" s="2654"/>
    </row>
    <row r="99" spans="2:14" ht="15" customHeight="1">
      <c r="E99" s="1086" t="s">
        <v>1999</v>
      </c>
      <c r="G99" s="1128">
        <f>COUNTIFS(L97:L104,"(i)")</f>
        <v>3</v>
      </c>
      <c r="L99" s="1130" t="str">
        <f>'Points System'!H685</f>
        <v>(i)</v>
      </c>
      <c r="M99" s="2653" t="s">
        <v>1958</v>
      </c>
      <c r="N99" s="2654"/>
    </row>
    <row r="100" spans="2:14" ht="15" customHeight="1">
      <c r="E100" s="1086" t="s">
        <v>1945</v>
      </c>
      <c r="F100" s="1115" t="s">
        <v>1994</v>
      </c>
      <c r="G100" s="1126">
        <v>4000</v>
      </c>
      <c r="L100" s="1130" t="str">
        <f>IF(OR('Points System'!H709="(ii)",'Points System'!H709="(i)"),"(i)","N/A")</f>
        <v>(i)</v>
      </c>
      <c r="M100" s="2653" t="s">
        <v>1959</v>
      </c>
      <c r="N100" s="2654"/>
    </row>
    <row r="101" spans="2:14" ht="15" customHeight="1">
      <c r="E101" s="1120" t="s">
        <v>1963</v>
      </c>
      <c r="F101" s="1047"/>
      <c r="G101" s="1125">
        <f>G96*G99*G100</f>
        <v>915000</v>
      </c>
      <c r="L101" s="1131" t="str">
        <f>'Points System'!H723</f>
        <v>N/A</v>
      </c>
      <c r="M101" s="2653" t="s">
        <v>1431</v>
      </c>
      <c r="N101" s="2654"/>
    </row>
    <row r="102" spans="2:14" ht="15" customHeight="1">
      <c r="L102" s="1130" t="str">
        <f>'Points System'!H735</f>
        <v>N/A</v>
      </c>
      <c r="M102" s="2653" t="s">
        <v>1960</v>
      </c>
      <c r="N102" s="2654"/>
    </row>
    <row r="103" spans="2:14" ht="15" customHeight="1">
      <c r="C103" s="1081" t="s">
        <v>1965</v>
      </c>
      <c r="L103" s="1130" t="str">
        <f>'Points System'!H751</f>
        <v>N/A</v>
      </c>
      <c r="M103" s="2653" t="s">
        <v>1961</v>
      </c>
      <c r="N103" s="2654"/>
    </row>
    <row r="104" spans="2:14" ht="15" customHeight="1" thickBot="1">
      <c r="C104" s="1078" t="s">
        <v>1966</v>
      </c>
      <c r="G104" s="1044"/>
      <c r="L104" s="1132" t="str">
        <f>'Points System'!H763</f>
        <v>(ii)</v>
      </c>
      <c r="M104" s="2655" t="s">
        <v>1434</v>
      </c>
      <c r="N104" s="2656"/>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76.25</v>
      </c>
    </row>
    <row r="112" spans="2:14" ht="15" customHeight="1">
      <c r="E112" s="1086" t="s">
        <v>1945</v>
      </c>
      <c r="F112" s="1115" t="s">
        <v>1994</v>
      </c>
      <c r="G112" s="1126">
        <v>25000</v>
      </c>
    </row>
    <row r="113" spans="2:9" ht="15" customHeight="1">
      <c r="E113" s="1120" t="s">
        <v>1964</v>
      </c>
      <c r="F113" s="1047"/>
      <c r="G113" s="1125">
        <f>G109*G112*G96</f>
        <v>1906250</v>
      </c>
    </row>
    <row r="114" spans="2:9" ht="15" customHeight="1">
      <c r="C114" s="1078"/>
      <c r="E114" s="1078"/>
    </row>
    <row r="115" spans="2:9" ht="15" customHeight="1">
      <c r="E115" s="1120" t="s">
        <v>2275</v>
      </c>
      <c r="G115" s="1125">
        <f>G113+G101+G97</f>
        <v>4956250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8" t="s">
        <v>2230</v>
      </c>
      <c r="D119" s="2688"/>
      <c r="E119" s="2688"/>
      <c r="F119" s="2688"/>
    </row>
    <row r="120" spans="2:9" ht="15" customHeight="1">
      <c r="C120" s="2688"/>
      <c r="D120" s="2688"/>
      <c r="E120" s="2688"/>
      <c r="F120" s="2688"/>
      <c r="G120" s="1044" t="s">
        <v>545</v>
      </c>
    </row>
    <row r="121" spans="2:9" ht="15" customHeight="1"/>
    <row r="122" spans="2:9" ht="15" customHeight="1">
      <c r="C122" s="1045" t="s">
        <v>2232</v>
      </c>
      <c r="G122" s="2690" t="s">
        <v>2704</v>
      </c>
      <c r="H122" s="2690"/>
    </row>
    <row r="123" spans="2:9" ht="15" customHeight="1">
      <c r="G123" s="2690"/>
      <c r="H123" s="2690"/>
    </row>
    <row r="124" spans="2:9" ht="15" customHeight="1">
      <c r="G124" s="2691"/>
      <c r="H124" s="2691"/>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2002</v>
      </c>
      <c r="G131" s="1079">
        <f>MEDIAN((Application!CU160:CU217))</f>
        <v>489600</v>
      </c>
    </row>
    <row r="132" spans="2:9" ht="15">
      <c r="D132" s="1047"/>
      <c r="E132" s="1120" t="s">
        <v>2004</v>
      </c>
      <c r="F132" s="1136"/>
      <c r="G132" s="1137">
        <f>((G130-G131)/G131)*0.25</f>
        <v>0.127859477124183</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85" t="s">
        <v>2278</v>
      </c>
      <c r="D138" s="2685"/>
      <c r="E138" s="2685"/>
      <c r="F138" s="2685"/>
    </row>
    <row r="139" spans="2:9">
      <c r="B139" s="1046"/>
      <c r="C139" s="2685"/>
      <c r="D139" s="2685"/>
      <c r="E139" s="2685"/>
      <c r="F139" s="2685"/>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4856700</v>
      </c>
    </row>
  </sheetData>
  <sheetProtection algorithmName="SHA-512" hashValue="A9iaZAH1A3mDbuYAnN4dgaheb+2ZrwrYSPJATXhbOqXUyJdayqhToi4m/AUeFn8XEtopr1+RiE9eTGD37Q5hsQ==" saltValue="OQcX4dn1eishpQi2nyRIC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30" zoomScaleNormal="130" workbookViewId="0">
      <selection activeCell="I8" sqref="I8"/>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10</v>
      </c>
      <c r="C4" s="1164"/>
      <c r="D4" s="429">
        <f>Application!O718</f>
        <v>918</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1</v>
      </c>
      <c r="C5" s="1164"/>
      <c r="D5" s="429">
        <f>Application!O719</f>
        <v>918</v>
      </c>
      <c r="E5" s="430"/>
      <c r="F5" s="1085"/>
      <c r="G5" s="429">
        <f t="shared" ref="G5:G38" si="2">F5*B5</f>
        <v>0</v>
      </c>
      <c r="H5" s="430"/>
      <c r="I5" s="429" t="str">
        <f t="shared" si="0"/>
        <v/>
      </c>
      <c r="J5" s="429" t="str">
        <f t="shared" si="1"/>
        <v/>
      </c>
      <c r="K5" s="205"/>
      <c r="L5" s="306"/>
    </row>
    <row r="6" spans="1:12">
      <c r="A6" s="429" t="str">
        <f>Application!B720</f>
        <v>SRO/Studio</v>
      </c>
      <c r="B6" s="1084">
        <f>Application!G720</f>
        <v>4</v>
      </c>
      <c r="C6" s="1164"/>
      <c r="D6" s="429">
        <f>Application!O720</f>
        <v>1563</v>
      </c>
      <c r="E6" s="430"/>
      <c r="F6" s="1085"/>
      <c r="G6" s="429">
        <f t="shared" si="2"/>
        <v>0</v>
      </c>
      <c r="H6" s="430"/>
      <c r="I6" s="429" t="str">
        <f t="shared" si="0"/>
        <v/>
      </c>
      <c r="J6" s="429" t="str">
        <f t="shared" si="1"/>
        <v/>
      </c>
      <c r="K6" s="205"/>
      <c r="L6" s="306"/>
    </row>
    <row r="7" spans="1:12">
      <c r="A7" s="429" t="str">
        <f>Application!B721</f>
        <v>1 Bedroom</v>
      </c>
      <c r="B7" s="1084">
        <f>Application!G721</f>
        <v>1</v>
      </c>
      <c r="C7" s="1164"/>
      <c r="D7" s="429">
        <f>Application!O721</f>
        <v>978</v>
      </c>
      <c r="E7" s="430"/>
      <c r="F7" s="1085"/>
      <c r="G7" s="429">
        <f t="shared" si="2"/>
        <v>0</v>
      </c>
      <c r="H7" s="430"/>
      <c r="I7" s="429" t="str">
        <f t="shared" si="0"/>
        <v/>
      </c>
      <c r="J7" s="429" t="str">
        <f t="shared" si="1"/>
        <v/>
      </c>
      <c r="K7" s="205"/>
      <c r="L7" s="306"/>
    </row>
    <row r="8" spans="1:12">
      <c r="A8" s="429" t="str">
        <f>Application!B722</f>
        <v>1 Bedroom</v>
      </c>
      <c r="B8" s="1084">
        <f>Application!G722</f>
        <v>7</v>
      </c>
      <c r="C8" s="1164" t="s">
        <v>384</v>
      </c>
      <c r="D8" s="429">
        <f>Application!O722</f>
        <v>1669</v>
      </c>
      <c r="E8" s="430"/>
      <c r="F8" s="1085">
        <f>2969-Application!Q832</f>
        <v>2910</v>
      </c>
      <c r="G8" s="429">
        <f t="shared" si="2"/>
        <v>20370</v>
      </c>
      <c r="H8" s="430"/>
      <c r="I8" s="429">
        <f t="shared" si="0"/>
        <v>1241</v>
      </c>
      <c r="J8" s="429">
        <f t="shared" si="1"/>
        <v>8687</v>
      </c>
      <c r="K8" s="205"/>
      <c r="L8" s="306"/>
    </row>
    <row r="9" spans="1:12">
      <c r="A9" s="429" t="str">
        <f>Application!B723</f>
        <v>1 Bedroom</v>
      </c>
      <c r="B9" s="1084">
        <f>Application!G723</f>
        <v>8</v>
      </c>
      <c r="C9" s="1164"/>
      <c r="D9" s="429">
        <f>Application!O723</f>
        <v>1669</v>
      </c>
      <c r="E9" s="430"/>
      <c r="F9" s="1085"/>
      <c r="G9" s="429">
        <f t="shared" si="2"/>
        <v>0</v>
      </c>
      <c r="H9" s="430"/>
      <c r="I9" s="429" t="str">
        <f t="shared" si="0"/>
        <v/>
      </c>
      <c r="J9" s="429" t="str">
        <f t="shared" si="1"/>
        <v/>
      </c>
      <c r="K9" s="205"/>
      <c r="L9" s="306"/>
    </row>
    <row r="10" spans="1:12">
      <c r="A10" s="429" t="str">
        <f>Application!B724</f>
        <v>2 Bedrooms</v>
      </c>
      <c r="B10" s="1084">
        <f>Application!G724</f>
        <v>8</v>
      </c>
      <c r="C10" s="1164" t="s">
        <v>384</v>
      </c>
      <c r="D10" s="429">
        <f>Application!O724</f>
        <v>1164</v>
      </c>
      <c r="E10" s="430"/>
      <c r="F10" s="1085">
        <f>3445</f>
        <v>3445</v>
      </c>
      <c r="G10" s="429">
        <f t="shared" si="2"/>
        <v>27560</v>
      </c>
      <c r="H10" s="430"/>
      <c r="I10" s="429">
        <f t="shared" si="0"/>
        <v>2281</v>
      </c>
      <c r="J10" s="429">
        <f t="shared" si="1"/>
        <v>18248</v>
      </c>
      <c r="K10" s="205"/>
      <c r="L10" s="306"/>
    </row>
    <row r="11" spans="1:12">
      <c r="A11" s="429" t="str">
        <f>Application!B725</f>
        <v>2 Bedrooms</v>
      </c>
      <c r="B11" s="1084">
        <f>Application!G725</f>
        <v>4</v>
      </c>
      <c r="C11" s="1164"/>
      <c r="D11" s="429">
        <f>Application!O725</f>
        <v>1164</v>
      </c>
      <c r="E11" s="430"/>
      <c r="F11" s="1085"/>
      <c r="G11" s="429">
        <f t="shared" si="2"/>
        <v>0</v>
      </c>
      <c r="H11" s="430"/>
      <c r="I11" s="429" t="str">
        <f t="shared" si="0"/>
        <v/>
      </c>
      <c r="J11" s="429" t="str">
        <f t="shared" si="1"/>
        <v/>
      </c>
      <c r="K11" s="205"/>
      <c r="L11" s="306"/>
    </row>
    <row r="12" spans="1:12">
      <c r="A12" s="429" t="str">
        <f>Application!B726</f>
        <v>2 Bedrooms</v>
      </c>
      <c r="B12" s="1084">
        <f>Application!G726</f>
        <v>5</v>
      </c>
      <c r="C12" s="1164"/>
      <c r="D12" s="429">
        <f>Application!O726</f>
        <v>1993</v>
      </c>
      <c r="E12" s="430"/>
      <c r="F12" s="1085"/>
      <c r="G12" s="429">
        <f t="shared" si="2"/>
        <v>0</v>
      </c>
      <c r="H12" s="430"/>
      <c r="I12" s="429" t="str">
        <f t="shared" si="0"/>
        <v/>
      </c>
      <c r="J12" s="429" t="str">
        <f t="shared" si="1"/>
        <v/>
      </c>
      <c r="K12" s="205"/>
      <c r="L12" s="306"/>
    </row>
    <row r="13" spans="1:12">
      <c r="A13" s="429" t="str">
        <f>Application!B727</f>
        <v>3 Bedrooms</v>
      </c>
      <c r="B13" s="1084">
        <f>Application!G727</f>
        <v>8</v>
      </c>
      <c r="C13" s="1164" t="s">
        <v>384</v>
      </c>
      <c r="D13" s="429">
        <f>Application!O727</f>
        <v>1335</v>
      </c>
      <c r="E13" s="430"/>
      <c r="F13" s="1085">
        <f>4158</f>
        <v>4158</v>
      </c>
      <c r="G13" s="429">
        <f t="shared" si="2"/>
        <v>33264</v>
      </c>
      <c r="H13" s="430"/>
      <c r="I13" s="429">
        <f t="shared" si="0"/>
        <v>2823</v>
      </c>
      <c r="J13" s="429">
        <f t="shared" si="1"/>
        <v>22584</v>
      </c>
      <c r="K13" s="205"/>
      <c r="L13" s="306"/>
    </row>
    <row r="14" spans="1:12">
      <c r="A14" s="429" t="str">
        <f>Application!B728</f>
        <v>3 Bedrooms</v>
      </c>
      <c r="B14" s="1084">
        <f>Application!G728</f>
        <v>9</v>
      </c>
      <c r="C14" s="1164"/>
      <c r="D14" s="429">
        <f>Application!O728</f>
        <v>2293</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97613</v>
      </c>
      <c r="E40" s="430"/>
      <c r="F40" s="430"/>
      <c r="G40" s="433">
        <f>SUM(G4:G38)*12</f>
        <v>974328</v>
      </c>
      <c r="H40" s="434"/>
      <c r="I40" s="432"/>
      <c r="J40" s="433">
        <f>SUM(J4:J38)*12</f>
        <v>594228</v>
      </c>
      <c r="K40" s="205"/>
      <c r="L40" s="307"/>
    </row>
    <row r="41" spans="1:12" ht="15">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disablePrompts="1"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election activeCell="G39" sqref="G39"/>
    </sheetView>
  </sheetViews>
  <sheetFormatPr defaultColWidth="0" defaultRowHeight="12.75" zeroHeight="1"/>
  <cols>
    <col min="1" max="1" width="3.7109375" customWidth="1"/>
    <col min="2" max="2" width="30.42578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1171356</v>
      </c>
      <c r="G4" s="220">
        <f>E4*$C$4</f>
        <v>1200639.8999999999</v>
      </c>
      <c r="I4" s="220">
        <f>G4*$C$4</f>
        <v>1230655.8974999997</v>
      </c>
      <c r="K4" s="220">
        <f>I4*$C$4</f>
        <v>1261422.2949374996</v>
      </c>
      <c r="M4" s="220">
        <f>K4*$C$4</f>
        <v>1292957.8523109369</v>
      </c>
      <c r="O4" s="220">
        <f>M4*$C$4</f>
        <v>1325281.7986187101</v>
      </c>
      <c r="Q4" s="220">
        <f>O4*$C$4</f>
        <v>1358413.8435841778</v>
      </c>
      <c r="S4" s="220">
        <f>Q4*$C$4</f>
        <v>1392374.1896737821</v>
      </c>
      <c r="U4" s="220">
        <f>S4*$C$4</f>
        <v>1427183.5444156264</v>
      </c>
      <c r="W4" s="220">
        <f>U4*$C$4</f>
        <v>1462863.1330260169</v>
      </c>
      <c r="Y4" s="220">
        <f>W4*$C$4</f>
        <v>1499434.7113516671</v>
      </c>
      <c r="AA4" s="220">
        <f>Y4*$C$4</f>
        <v>1536920.5791354587</v>
      </c>
      <c r="AC4" s="220">
        <f>AA4*$C$4</f>
        <v>1575343.5936138451</v>
      </c>
      <c r="AE4" s="220">
        <f>AC4*$C$4</f>
        <v>1614727.1834541911</v>
      </c>
      <c r="AG4" s="220">
        <f>AE4*$C$4</f>
        <v>1655095.3630405457</v>
      </c>
    </row>
    <row r="5" spans="1:34" s="211" customFormat="1" ht="14.25">
      <c r="B5" s="211" t="s">
        <v>838</v>
      </c>
      <c r="C5" s="239">
        <f>IF(Application!$D$211="Special Needs",(((0.1*Application!$T$212)+(0.05*(1-Application!$T$212)))),0.05)*0+5.77%</f>
        <v>5.7699999999999994E-2</v>
      </c>
      <c r="E5" s="222">
        <f>-E4*$C$5</f>
        <v>-67587.241199999989</v>
      </c>
      <c r="F5" s="222"/>
      <c r="G5" s="222">
        <f>-G4*$C$5</f>
        <v>-69276.922229999982</v>
      </c>
      <c r="H5" s="222"/>
      <c r="I5" s="222">
        <f>-I4*$C$5</f>
        <v>-71008.84528574998</v>
      </c>
      <c r="J5" s="222"/>
      <c r="K5" s="222">
        <f>-K4*$C$5</f>
        <v>-72784.066417893715</v>
      </c>
      <c r="L5" s="222"/>
      <c r="M5" s="222">
        <f>-M4*$C$5</f>
        <v>-74603.668078341056</v>
      </c>
      <c r="N5" s="222"/>
      <c r="O5" s="222">
        <f>-O4*$C$5</f>
        <v>-76468.759780299573</v>
      </c>
      <c r="P5" s="222"/>
      <c r="Q5" s="222">
        <f>-Q4*$C$5</f>
        <v>-78380.478774807052</v>
      </c>
      <c r="R5" s="222"/>
      <c r="S5" s="222">
        <f>-S4*$C$5</f>
        <v>-80339.990744177223</v>
      </c>
      <c r="T5" s="222"/>
      <c r="U5" s="222">
        <f>-U4*$C$5</f>
        <v>-82348.490512781631</v>
      </c>
      <c r="V5" s="222"/>
      <c r="W5" s="222">
        <f>-W4*$C$5</f>
        <v>-84407.202775601167</v>
      </c>
      <c r="X5" s="222"/>
      <c r="Y5" s="222">
        <f>-Y4*$C$5</f>
        <v>-86517.382844991182</v>
      </c>
      <c r="Z5" s="222"/>
      <c r="AA5" s="222">
        <f>-AA4*$C$5</f>
        <v>-88680.317416115955</v>
      </c>
      <c r="AB5" s="222"/>
      <c r="AC5" s="222">
        <f>-AC4*$C$5</f>
        <v>-90897.325351518855</v>
      </c>
      <c r="AD5" s="222"/>
      <c r="AE5" s="222">
        <f>-AE4*$C$5</f>
        <v>-93169.758485306811</v>
      </c>
      <c r="AF5" s="222"/>
      <c r="AG5" s="222">
        <f>-AG4*$C$5</f>
        <v>-95499.002447439474</v>
      </c>
    </row>
    <row r="6" spans="1:34" s="211" customFormat="1" ht="14.25">
      <c r="A6" s="211" t="s">
        <v>836</v>
      </c>
      <c r="C6" s="238">
        <v>1.0249999999999999</v>
      </c>
      <c r="E6" s="223">
        <f>Application!Z809</f>
        <v>594228</v>
      </c>
      <c r="F6" s="223"/>
      <c r="G6" s="223">
        <f>E6*$C$6</f>
        <v>609083.69999999995</v>
      </c>
      <c r="H6" s="223"/>
      <c r="I6" s="223">
        <f>G6*$C$6</f>
        <v>624310.79249999986</v>
      </c>
      <c r="J6" s="223"/>
      <c r="K6" s="223">
        <f>I6*$C$6</f>
        <v>639918.56231249985</v>
      </c>
      <c r="L6" s="223"/>
      <c r="M6" s="223">
        <f>K6*$C$6</f>
        <v>655916.52637031232</v>
      </c>
      <c r="N6" s="223"/>
      <c r="O6" s="223">
        <f>M6*$C$6</f>
        <v>672314.43952957005</v>
      </c>
      <c r="P6" s="223"/>
      <c r="Q6" s="223">
        <f>O6*$C$6</f>
        <v>689122.30051780923</v>
      </c>
      <c r="R6" s="223"/>
      <c r="S6" s="223">
        <f>Q6*$C$6</f>
        <v>706350.35803075437</v>
      </c>
      <c r="T6" s="223"/>
      <c r="U6" s="223">
        <f>S6*$C$6</f>
        <v>724009.11698152323</v>
      </c>
      <c r="V6" s="223"/>
      <c r="W6" s="223">
        <f>U6*$C$6</f>
        <v>742109.34490606119</v>
      </c>
      <c r="X6" s="223"/>
      <c r="Y6" s="223">
        <f>W6*$C$6</f>
        <v>760662.07852871262</v>
      </c>
      <c r="Z6" s="223"/>
      <c r="AA6" s="223">
        <f>Y6*$C$6</f>
        <v>779678.63049193041</v>
      </c>
      <c r="AB6" s="223"/>
      <c r="AC6" s="223">
        <f>AA6*$C$6</f>
        <v>799170.59625422861</v>
      </c>
      <c r="AD6" s="223"/>
      <c r="AE6" s="223">
        <f>AC6*$C$6</f>
        <v>819149.86116058426</v>
      </c>
      <c r="AF6" s="223"/>
      <c r="AG6" s="223">
        <f>AE6*$C$6</f>
        <v>839628.60768959881</v>
      </c>
    </row>
    <row r="7" spans="1:34" s="211" customFormat="1" ht="14.25">
      <c r="B7" s="211" t="s">
        <v>838</v>
      </c>
      <c r="C7" s="239">
        <f>IF(Application!$D$211="Special Needs",(((0.1*Application!$T$212)+(0.05*(1-Application!$T$212)))),0.05)*0+5%</f>
        <v>0.05</v>
      </c>
      <c r="E7" s="222">
        <f>-E6*$C$7</f>
        <v>-29711.4</v>
      </c>
      <c r="F7" s="222"/>
      <c r="G7" s="222">
        <f>-G6*$C$7</f>
        <v>-30454.184999999998</v>
      </c>
      <c r="H7" s="222"/>
      <c r="I7" s="222">
        <f>-I6*$C$7</f>
        <v>-31215.539624999994</v>
      </c>
      <c r="J7" s="222"/>
      <c r="K7" s="222">
        <f>-K6*$C$7</f>
        <v>-31995.928115624993</v>
      </c>
      <c r="L7" s="222"/>
      <c r="M7" s="222">
        <f>-M6*$C$7</f>
        <v>-32795.826318515617</v>
      </c>
      <c r="N7" s="222"/>
      <c r="O7" s="222">
        <f>-O6*$C$7</f>
        <v>-33615.721976478504</v>
      </c>
      <c r="P7" s="222"/>
      <c r="Q7" s="222">
        <f>-Q6*$C$7</f>
        <v>-34456.11502589046</v>
      </c>
      <c r="R7" s="222"/>
      <c r="S7" s="222">
        <f>-S6*$C$7</f>
        <v>-35317.517901537722</v>
      </c>
      <c r="T7" s="222"/>
      <c r="U7" s="222">
        <f>-U6*$C$7</f>
        <v>-36200.455849076163</v>
      </c>
      <c r="V7" s="222"/>
      <c r="W7" s="222">
        <f>-W6*$C$7</f>
        <v>-37105.467245303058</v>
      </c>
      <c r="X7" s="222"/>
      <c r="Y7" s="222">
        <f>-Y6*$C$7</f>
        <v>-38033.10392643563</v>
      </c>
      <c r="Z7" s="222"/>
      <c r="AA7" s="222">
        <f>-AA6*$C$7</f>
        <v>-38983.931524596519</v>
      </c>
      <c r="AB7" s="222"/>
      <c r="AC7" s="222">
        <f>-AC6*$C$7</f>
        <v>-39958.529812711437</v>
      </c>
      <c r="AD7" s="222"/>
      <c r="AE7" s="222">
        <f>-AE6*$C$7</f>
        <v>-40957.493058029213</v>
      </c>
      <c r="AF7" s="222"/>
      <c r="AG7" s="222">
        <f>-AG6*$C$7</f>
        <v>-41981.430384479943</v>
      </c>
    </row>
    <row r="8" spans="1:34" s="211" customFormat="1" ht="14.25">
      <c r="A8" s="211" t="s">
        <v>287</v>
      </c>
      <c r="C8" s="238">
        <v>1.0249999999999999</v>
      </c>
      <c r="E8" s="223">
        <f>Application!Z817</f>
        <v>7128</v>
      </c>
      <c r="F8" s="223"/>
      <c r="G8" s="223">
        <f>E8*$C$8</f>
        <v>7306.2</v>
      </c>
      <c r="H8" s="223"/>
      <c r="I8" s="223">
        <f>G8*$C$8</f>
        <v>7488.8549999999996</v>
      </c>
      <c r="J8" s="223"/>
      <c r="K8" s="223">
        <f>I8*$C$8</f>
        <v>7676.0763749999987</v>
      </c>
      <c r="L8" s="223"/>
      <c r="M8" s="223">
        <f>K8*$C$8</f>
        <v>7867.9782843749981</v>
      </c>
      <c r="N8" s="223"/>
      <c r="O8" s="223">
        <f>M8*$C$8</f>
        <v>8064.6777414843727</v>
      </c>
      <c r="P8" s="223"/>
      <c r="Q8" s="223">
        <f>O8*$C$8</f>
        <v>8266.2946850214812</v>
      </c>
      <c r="R8" s="223"/>
      <c r="S8" s="223">
        <f>Q8*$C$8</f>
        <v>8472.9520521470167</v>
      </c>
      <c r="T8" s="223"/>
      <c r="U8" s="223">
        <f>S8*$C$8</f>
        <v>8684.775853450692</v>
      </c>
      <c r="V8" s="223"/>
      <c r="W8" s="223">
        <f>U8*$C$8</f>
        <v>8901.8952497869577</v>
      </c>
      <c r="X8" s="223"/>
      <c r="Y8" s="223">
        <f>W8*$C$8</f>
        <v>9124.4426310316303</v>
      </c>
      <c r="Z8" s="223"/>
      <c r="AA8" s="223">
        <f>Y8*$C$8</f>
        <v>9352.5536968074211</v>
      </c>
      <c r="AB8" s="223"/>
      <c r="AC8" s="223">
        <f>AA8*$C$8</f>
        <v>9586.3675392276054</v>
      </c>
      <c r="AD8" s="223"/>
      <c r="AE8" s="223">
        <f>AC8*$C$8</f>
        <v>9826.0267277082949</v>
      </c>
      <c r="AF8" s="223"/>
      <c r="AG8" s="223">
        <f>AE8*$C$8</f>
        <v>10071.677395901001</v>
      </c>
    </row>
    <row r="9" spans="1:34" s="211" customFormat="1" ht="14.25">
      <c r="B9" s="211" t="s">
        <v>838</v>
      </c>
      <c r="C9" s="239">
        <f>IF(Application!$D$211="Special Needs",(((0.1*Application!$T$212)+(0.05*(1-Application!$T$212)))),0.05)*0+5.77%</f>
        <v>5.7699999999999994E-2</v>
      </c>
      <c r="E9" s="222">
        <f>-E8*$C$9</f>
        <v>-411.28559999999999</v>
      </c>
      <c r="F9" s="222"/>
      <c r="G9" s="222">
        <f>-G8*$C$9</f>
        <v>-421.56773999999996</v>
      </c>
      <c r="H9" s="222"/>
      <c r="I9" s="222">
        <f>-I8*$C$9</f>
        <v>-432.10693349999991</v>
      </c>
      <c r="J9" s="222"/>
      <c r="K9" s="222">
        <f>-K8*$C$9</f>
        <v>-442.90960683749989</v>
      </c>
      <c r="L9" s="222"/>
      <c r="M9" s="222">
        <f>-M8*$C$9</f>
        <v>-453.98234700843733</v>
      </c>
      <c r="N9" s="222"/>
      <c r="O9" s="222">
        <f>-O8*$C$9</f>
        <v>-465.33190568364824</v>
      </c>
      <c r="P9" s="222"/>
      <c r="Q9" s="222">
        <f>-Q8*$C$9</f>
        <v>-476.96520332573942</v>
      </c>
      <c r="R9" s="222"/>
      <c r="S9" s="222">
        <f>-S8*$C$9</f>
        <v>-488.88933340888281</v>
      </c>
      <c r="T9" s="222"/>
      <c r="U9" s="222">
        <f>-U8*$C$9</f>
        <v>-501.11156674410489</v>
      </c>
      <c r="V9" s="222"/>
      <c r="W9" s="222">
        <f>-W8*$C$9</f>
        <v>-513.6393559127074</v>
      </c>
      <c r="X9" s="222"/>
      <c r="Y9" s="222">
        <f>-Y8*$C$9</f>
        <v>-526.48033981052504</v>
      </c>
      <c r="Z9" s="222"/>
      <c r="AA9" s="222">
        <f>-AA8*$C$9</f>
        <v>-539.64234830578812</v>
      </c>
      <c r="AB9" s="222"/>
      <c r="AC9" s="222">
        <f>-AC8*$C$9</f>
        <v>-553.13340701343282</v>
      </c>
      <c r="AD9" s="222"/>
      <c r="AE9" s="222">
        <f>-AE8*$C$9</f>
        <v>-566.96174218876854</v>
      </c>
      <c r="AF9" s="222"/>
      <c r="AG9" s="222">
        <f>-AG8*$C$9</f>
        <v>-581.13578574348765</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1675002.0732</v>
      </c>
      <c r="G11" s="224">
        <f>SUM(G4:G10)</f>
        <v>1716877.1250299998</v>
      </c>
      <c r="I11" s="224">
        <f>SUM(I4:I10)</f>
        <v>1759799.0531557496</v>
      </c>
      <c r="K11" s="224">
        <f>SUM(K4:K10)</f>
        <v>1803794.0294846434</v>
      </c>
      <c r="M11" s="224">
        <f>SUM(M4:M10)</f>
        <v>1848888.880221759</v>
      </c>
      <c r="O11" s="224">
        <f>SUM(O4:O10)</f>
        <v>1895111.1022273027</v>
      </c>
      <c r="Q11" s="224">
        <f>SUM(Q4:Q10)</f>
        <v>1942488.8797829854</v>
      </c>
      <c r="S11" s="224">
        <f>SUM(S4:S10)</f>
        <v>1991051.1017775598</v>
      </c>
      <c r="U11" s="224">
        <f>SUM(U4:U10)</f>
        <v>2040827.3793219985</v>
      </c>
      <c r="W11" s="224">
        <f>SUM(W4:W10)</f>
        <v>2091848.0638050481</v>
      </c>
      <c r="Y11" s="224">
        <f>SUM(Y4:Y10)</f>
        <v>2144144.2654001741</v>
      </c>
      <c r="AA11" s="224">
        <f>SUM(AA4:AA10)</f>
        <v>2197747.8720351784</v>
      </c>
      <c r="AC11" s="224">
        <f>SUM(AC4:AC10)</f>
        <v>2252691.5688360576</v>
      </c>
      <c r="AE11" s="224">
        <f>SUM(AE4:AE10)</f>
        <v>2309008.8580569592</v>
      </c>
      <c r="AG11" s="224">
        <f>SUM(AG4:AG10)</f>
        <v>2366734.0795083828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91238</v>
      </c>
      <c r="G15" s="220">
        <f>E15*$C$14</f>
        <v>94431.329999999987</v>
      </c>
      <c r="I15" s="220">
        <f>G15*$C$14</f>
        <v>97736.426549999975</v>
      </c>
      <c r="K15" s="220">
        <f>I15*$C$14</f>
        <v>101157.20147924997</v>
      </c>
      <c r="M15" s="220">
        <f>K15*$C$14</f>
        <v>104697.70353102371</v>
      </c>
      <c r="O15" s="220">
        <f>M15*$C$14</f>
        <v>108362.12315460954</v>
      </c>
      <c r="Q15" s="220">
        <f>O15*$C$14</f>
        <v>112154.79746502086</v>
      </c>
      <c r="S15" s="220">
        <f>Q15*$C$14</f>
        <v>116080.21537629659</v>
      </c>
      <c r="U15" s="220">
        <f>S15*$C$14</f>
        <v>120143.02291446696</v>
      </c>
      <c r="W15" s="220">
        <f>U15*$C$14</f>
        <v>124348.02871647329</v>
      </c>
      <c r="Y15" s="220">
        <f>W15*$C$14</f>
        <v>128700.20972154984</v>
      </c>
      <c r="AA15" s="220">
        <f>Y15*$C$14</f>
        <v>133204.71706180408</v>
      </c>
      <c r="AC15" s="220">
        <f>AA15*$C$14</f>
        <v>137866.88215896723</v>
      </c>
      <c r="AE15" s="220">
        <f>AC15*$C$14</f>
        <v>142692.22303453108</v>
      </c>
      <c r="AG15" s="220">
        <f>AE15*$C$14</f>
        <v>147686.45084073965</v>
      </c>
    </row>
    <row r="16" spans="1:34" s="211" customFormat="1" ht="14.25">
      <c r="A16" s="211" t="s">
        <v>343</v>
      </c>
      <c r="C16" s="234"/>
      <c r="E16" s="223">
        <f>Application!W849</f>
        <v>59400</v>
      </c>
      <c r="F16" s="223"/>
      <c r="G16" s="223">
        <f t="shared" ref="G16:AG21" si="0">E16*$C$14</f>
        <v>61478.999999999993</v>
      </c>
      <c r="H16" s="223"/>
      <c r="I16" s="223">
        <f t="shared" si="0"/>
        <v>63630.764999999985</v>
      </c>
      <c r="J16" s="223"/>
      <c r="K16" s="223">
        <f t="shared" si="0"/>
        <v>65857.841774999979</v>
      </c>
      <c r="L16" s="223"/>
      <c r="M16" s="223">
        <f t="shared" si="0"/>
        <v>68162.866237124967</v>
      </c>
      <c r="N16" s="223"/>
      <c r="O16" s="223">
        <f t="shared" si="0"/>
        <v>70548.566555424331</v>
      </c>
      <c r="P16" s="223"/>
      <c r="Q16" s="223">
        <f t="shared" si="0"/>
        <v>73017.766384864182</v>
      </c>
      <c r="R16" s="223"/>
      <c r="S16" s="223">
        <f t="shared" si="0"/>
        <v>75573.388208334422</v>
      </c>
      <c r="T16" s="223"/>
      <c r="U16" s="223">
        <f t="shared" si="0"/>
        <v>78218.456795626116</v>
      </c>
      <c r="V16" s="223"/>
      <c r="W16" s="223">
        <f t="shared" si="0"/>
        <v>80956.102783473019</v>
      </c>
      <c r="X16" s="223"/>
      <c r="Y16" s="223">
        <f t="shared" si="0"/>
        <v>83789.566380894568</v>
      </c>
      <c r="Z16" s="223"/>
      <c r="AA16" s="223">
        <f t="shared" si="0"/>
        <v>86722.201204225872</v>
      </c>
      <c r="AB16" s="223"/>
      <c r="AC16" s="223">
        <f t="shared" si="0"/>
        <v>89757.478246373765</v>
      </c>
      <c r="AD16" s="223"/>
      <c r="AE16" s="223">
        <f t="shared" si="0"/>
        <v>92898.989984996835</v>
      </c>
      <c r="AF16" s="223"/>
      <c r="AG16" s="223">
        <f t="shared" si="0"/>
        <v>96150.454634471724</v>
      </c>
    </row>
    <row r="17" spans="1:33" s="211" customFormat="1" ht="14.25">
      <c r="A17" s="211" t="s">
        <v>561</v>
      </c>
      <c r="C17" s="234"/>
      <c r="E17" s="223">
        <f>Application!W855</f>
        <v>95519</v>
      </c>
      <c r="F17" s="223"/>
      <c r="G17" s="223">
        <f t="shared" si="0"/>
        <v>98862.164999999994</v>
      </c>
      <c r="H17" s="223"/>
      <c r="I17" s="223">
        <f t="shared" si="0"/>
        <v>102322.34077499999</v>
      </c>
      <c r="J17" s="223"/>
      <c r="K17" s="223">
        <f t="shared" si="0"/>
        <v>105903.62270212498</v>
      </c>
      <c r="L17" s="223"/>
      <c r="M17" s="223">
        <f t="shared" si="0"/>
        <v>109610.24949669934</v>
      </c>
      <c r="N17" s="223"/>
      <c r="O17" s="223">
        <f t="shared" si="0"/>
        <v>113446.60822908381</v>
      </c>
      <c r="P17" s="223"/>
      <c r="Q17" s="223">
        <f t="shared" si="0"/>
        <v>117417.23951710173</v>
      </c>
      <c r="R17" s="223"/>
      <c r="S17" s="223">
        <f t="shared" si="0"/>
        <v>121526.84290020028</v>
      </c>
      <c r="T17" s="223"/>
      <c r="U17" s="223">
        <f t="shared" si="0"/>
        <v>125780.28240170729</v>
      </c>
      <c r="V17" s="223"/>
      <c r="W17" s="223">
        <f t="shared" si="0"/>
        <v>130182.59228576702</v>
      </c>
      <c r="X17" s="223"/>
      <c r="Y17" s="223">
        <f t="shared" si="0"/>
        <v>134738.98301576887</v>
      </c>
      <c r="Z17" s="223"/>
      <c r="AA17" s="223">
        <f t="shared" si="0"/>
        <v>139454.84742132077</v>
      </c>
      <c r="AB17" s="223"/>
      <c r="AC17" s="223">
        <f t="shared" si="0"/>
        <v>144335.767081067</v>
      </c>
      <c r="AD17" s="223"/>
      <c r="AE17" s="223">
        <f t="shared" si="0"/>
        <v>149387.51892890432</v>
      </c>
      <c r="AF17" s="223"/>
      <c r="AG17" s="223">
        <f t="shared" si="0"/>
        <v>154616.08209141597</v>
      </c>
    </row>
    <row r="18" spans="1:33" s="211" customFormat="1" ht="14.25">
      <c r="A18" s="211" t="s">
        <v>842</v>
      </c>
      <c r="C18" s="234"/>
      <c r="E18" s="223">
        <f>Application!W862</f>
        <v>197482</v>
      </c>
      <c r="F18" s="223"/>
      <c r="G18" s="223">
        <f t="shared" si="0"/>
        <v>204393.87</v>
      </c>
      <c r="H18" s="223"/>
      <c r="I18" s="223">
        <f t="shared" si="0"/>
        <v>211547.65544999999</v>
      </c>
      <c r="J18" s="223"/>
      <c r="K18" s="223">
        <f t="shared" si="0"/>
        <v>218951.82339074998</v>
      </c>
      <c r="L18" s="223"/>
      <c r="M18" s="223">
        <f t="shared" si="0"/>
        <v>226615.1372094262</v>
      </c>
      <c r="N18" s="223"/>
      <c r="O18" s="223">
        <f t="shared" si="0"/>
        <v>234546.6670117561</v>
      </c>
      <c r="P18" s="223"/>
      <c r="Q18" s="223">
        <f t="shared" si="0"/>
        <v>242755.80035716755</v>
      </c>
      <c r="R18" s="223"/>
      <c r="S18" s="223">
        <f t="shared" si="0"/>
        <v>251252.25336966838</v>
      </c>
      <c r="T18" s="223"/>
      <c r="U18" s="223">
        <f t="shared" si="0"/>
        <v>260046.08223760675</v>
      </c>
      <c r="V18" s="223"/>
      <c r="W18" s="223">
        <f t="shared" si="0"/>
        <v>269147.69511592295</v>
      </c>
      <c r="X18" s="223"/>
      <c r="Y18" s="223">
        <f t="shared" si="0"/>
        <v>278567.86444498022</v>
      </c>
      <c r="Z18" s="223"/>
      <c r="AA18" s="223">
        <f t="shared" si="0"/>
        <v>288317.73970055452</v>
      </c>
      <c r="AB18" s="223"/>
      <c r="AC18" s="223">
        <f t="shared" si="0"/>
        <v>298408.86059007392</v>
      </c>
      <c r="AD18" s="223"/>
      <c r="AE18" s="223">
        <f t="shared" si="0"/>
        <v>308853.17071072647</v>
      </c>
      <c r="AF18" s="223"/>
      <c r="AG18" s="223">
        <f t="shared" si="0"/>
        <v>319663.03168560186</v>
      </c>
    </row>
    <row r="19" spans="1:33" s="211" customFormat="1" ht="14.25">
      <c r="A19" s="211" t="s">
        <v>155</v>
      </c>
      <c r="C19" s="234"/>
      <c r="E19" s="223">
        <f>Application!W863</f>
        <v>64581</v>
      </c>
      <c r="F19" s="223"/>
      <c r="G19" s="223">
        <f t="shared" si="0"/>
        <v>66841.334999999992</v>
      </c>
      <c r="H19" s="223"/>
      <c r="I19" s="223">
        <f t="shared" si="0"/>
        <v>69180.781724999993</v>
      </c>
      <c r="J19" s="223"/>
      <c r="K19" s="223">
        <f t="shared" si="0"/>
        <v>71602.109085374992</v>
      </c>
      <c r="L19" s="223"/>
      <c r="M19" s="223">
        <f t="shared" si="0"/>
        <v>74108.182903363107</v>
      </c>
      <c r="N19" s="223"/>
      <c r="O19" s="223">
        <f t="shared" si="0"/>
        <v>76701.969304980812</v>
      </c>
      <c r="P19" s="223"/>
      <c r="Q19" s="223">
        <f t="shared" si="0"/>
        <v>79386.538230655133</v>
      </c>
      <c r="R19" s="223"/>
      <c r="S19" s="223">
        <f t="shared" si="0"/>
        <v>82165.067068728051</v>
      </c>
      <c r="T19" s="223"/>
      <c r="U19" s="223">
        <f t="shared" si="0"/>
        <v>85040.844416133521</v>
      </c>
      <c r="V19" s="223"/>
      <c r="W19" s="223">
        <f t="shared" si="0"/>
        <v>88017.273970698181</v>
      </c>
      <c r="X19" s="223"/>
      <c r="Y19" s="223">
        <f t="shared" si="0"/>
        <v>91097.878559672608</v>
      </c>
      <c r="Z19" s="223"/>
      <c r="AA19" s="223">
        <f t="shared" si="0"/>
        <v>94286.304309261148</v>
      </c>
      <c r="AB19" s="223"/>
      <c r="AC19" s="223">
        <f t="shared" si="0"/>
        <v>97586.324960085287</v>
      </c>
      <c r="AD19" s="223"/>
      <c r="AE19" s="223">
        <f t="shared" si="0"/>
        <v>101001.84633368827</v>
      </c>
      <c r="AF19" s="223"/>
      <c r="AG19" s="223">
        <f t="shared" si="0"/>
        <v>104536.91095536735</v>
      </c>
    </row>
    <row r="20" spans="1:33" s="211" customFormat="1" ht="14.25">
      <c r="A20" s="211" t="s">
        <v>389</v>
      </c>
      <c r="C20" s="234"/>
      <c r="E20" s="223">
        <f>Application!W872</f>
        <v>135100</v>
      </c>
      <c r="F20" s="223"/>
      <c r="G20" s="223">
        <f t="shared" si="0"/>
        <v>139828.5</v>
      </c>
      <c r="H20" s="223"/>
      <c r="I20" s="223">
        <f t="shared" si="0"/>
        <v>144722.4975</v>
      </c>
      <c r="J20" s="223"/>
      <c r="K20" s="223">
        <f t="shared" si="0"/>
        <v>149787.78491249998</v>
      </c>
      <c r="L20" s="223"/>
      <c r="M20" s="223">
        <f t="shared" si="0"/>
        <v>155030.35738443746</v>
      </c>
      <c r="N20" s="223"/>
      <c r="O20" s="223">
        <f t="shared" si="0"/>
        <v>160456.41989289277</v>
      </c>
      <c r="P20" s="223"/>
      <c r="Q20" s="223">
        <f t="shared" si="0"/>
        <v>166072.39458914401</v>
      </c>
      <c r="R20" s="223"/>
      <c r="S20" s="223">
        <f t="shared" si="0"/>
        <v>171884.92839976403</v>
      </c>
      <c r="T20" s="223"/>
      <c r="U20" s="223">
        <f t="shared" si="0"/>
        <v>177900.90089375575</v>
      </c>
      <c r="V20" s="223"/>
      <c r="W20" s="223">
        <f t="shared" si="0"/>
        <v>184127.4324250372</v>
      </c>
      <c r="X20" s="223"/>
      <c r="Y20" s="223">
        <f t="shared" si="0"/>
        <v>190571.89255991348</v>
      </c>
      <c r="Z20" s="223"/>
      <c r="AA20" s="223">
        <f t="shared" si="0"/>
        <v>197241.90879951045</v>
      </c>
      <c r="AB20" s="223"/>
      <c r="AC20" s="223">
        <f t="shared" si="0"/>
        <v>204145.3756074933</v>
      </c>
      <c r="AD20" s="223"/>
      <c r="AE20" s="223">
        <f t="shared" si="0"/>
        <v>211290.46375375555</v>
      </c>
      <c r="AF20" s="223"/>
      <c r="AG20" s="223">
        <f t="shared" si="0"/>
        <v>218685.62998513697</v>
      </c>
    </row>
    <row r="21" spans="1:33" s="211" customFormat="1" ht="14.25">
      <c r="A21" s="227" t="s">
        <v>962</v>
      </c>
      <c r="B21" s="227"/>
      <c r="C21" s="234"/>
      <c r="E21" s="233">
        <f>Application!W879</f>
        <v>5900</v>
      </c>
      <c r="F21" s="223"/>
      <c r="G21" s="233">
        <f t="shared" si="0"/>
        <v>6106.4999999999991</v>
      </c>
      <c r="H21" s="223"/>
      <c r="I21" s="233">
        <f t="shared" si="0"/>
        <v>6320.2274999999981</v>
      </c>
      <c r="J21" s="223"/>
      <c r="K21" s="233">
        <f t="shared" si="0"/>
        <v>6541.4354624999978</v>
      </c>
      <c r="L21" s="223"/>
      <c r="M21" s="233">
        <f t="shared" si="0"/>
        <v>6770.385703687497</v>
      </c>
      <c r="N21" s="223"/>
      <c r="O21" s="233">
        <f t="shared" si="0"/>
        <v>7007.3492033165585</v>
      </c>
      <c r="P21" s="223"/>
      <c r="Q21" s="233">
        <f t="shared" si="0"/>
        <v>7252.6064254326375</v>
      </c>
      <c r="R21" s="223"/>
      <c r="S21" s="233">
        <f t="shared" si="0"/>
        <v>7506.4476503227788</v>
      </c>
      <c r="T21" s="223"/>
      <c r="U21" s="233">
        <f t="shared" si="0"/>
        <v>7769.1733180840756</v>
      </c>
      <c r="V21" s="223"/>
      <c r="W21" s="233">
        <f t="shared" si="0"/>
        <v>8041.0943842170173</v>
      </c>
      <c r="X21" s="223"/>
      <c r="Y21" s="233">
        <f t="shared" si="0"/>
        <v>8322.5326876646122</v>
      </c>
      <c r="Z21" s="223"/>
      <c r="AA21" s="233">
        <f t="shared" si="0"/>
        <v>8613.8213317328737</v>
      </c>
      <c r="AB21" s="223"/>
      <c r="AC21" s="233">
        <f t="shared" si="0"/>
        <v>8915.3050783435228</v>
      </c>
      <c r="AD21" s="223"/>
      <c r="AE21" s="233">
        <f t="shared" si="0"/>
        <v>9227.3407560855449</v>
      </c>
      <c r="AF21" s="223"/>
      <c r="AG21" s="233">
        <f t="shared" si="0"/>
        <v>9550.2976825485384</v>
      </c>
    </row>
    <row r="22" spans="1:33" s="224" customFormat="1" ht="15">
      <c r="A22" s="224" t="s">
        <v>843</v>
      </c>
      <c r="C22" s="234"/>
      <c r="E22" s="224">
        <f>SUM(E15:E21)</f>
        <v>649220</v>
      </c>
      <c r="G22" s="224">
        <f>SUM(G15:G21)</f>
        <v>671942.7</v>
      </c>
      <c r="I22" s="224">
        <f>SUM(I15:I21)</f>
        <v>695460.69449999998</v>
      </c>
      <c r="K22" s="224">
        <f>SUM(K15:K21)</f>
        <v>719801.81880749983</v>
      </c>
      <c r="M22" s="224">
        <f>SUM(M15:M21)</f>
        <v>744994.8824657622</v>
      </c>
      <c r="O22" s="224">
        <f>SUM(O15:O21)</f>
        <v>771069.70335206401</v>
      </c>
      <c r="Q22" s="224">
        <f>SUM(Q15:Q21)</f>
        <v>798057.14296938619</v>
      </c>
      <c r="S22" s="224">
        <f>SUM(S15:S21)</f>
        <v>825989.14297331451</v>
      </c>
      <c r="U22" s="224">
        <f>SUM(U15:U21)</f>
        <v>854898.76297738042</v>
      </c>
      <c r="W22" s="224">
        <f>SUM(W15:W21)</f>
        <v>884820.21968158882</v>
      </c>
      <c r="Y22" s="224">
        <f>SUM(Y15:Y21)</f>
        <v>915788.92737044417</v>
      </c>
      <c r="AA22" s="224">
        <f>SUM(AA15:AA21)</f>
        <v>947841.53982840979</v>
      </c>
      <c r="AC22" s="224">
        <f>SUM(AC15:AC21)</f>
        <v>981015.99372240412</v>
      </c>
      <c r="AE22" s="224">
        <f>SUM(AE15:AE21)</f>
        <v>1015351.5535026881</v>
      </c>
      <c r="AG22" s="224">
        <f>SUM(AG15:AG21)</f>
        <v>1050888.8578752822</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141794</v>
      </c>
      <c r="F27" s="223"/>
      <c r="G27" s="223">
        <f>E27*$C$27</f>
        <v>146756.78999999998</v>
      </c>
      <c r="H27" s="223"/>
      <c r="I27" s="223">
        <f>G27*$C$27</f>
        <v>151893.27764999997</v>
      </c>
      <c r="J27" s="223"/>
      <c r="K27" s="223">
        <f>I27*$C$27</f>
        <v>157209.54236774996</v>
      </c>
      <c r="L27" s="223"/>
      <c r="M27" s="223">
        <f>K27*$C$27</f>
        <v>162711.8763506212</v>
      </c>
      <c r="N27" s="223"/>
      <c r="O27" s="223">
        <f>M27*$C$27</f>
        <v>168406.79202289291</v>
      </c>
      <c r="P27" s="223"/>
      <c r="Q27" s="223">
        <f>O27*$C$27</f>
        <v>174301.02974369415</v>
      </c>
      <c r="R27" s="223"/>
      <c r="S27" s="223">
        <f>Q27*$C$27</f>
        <v>180401.56578472344</v>
      </c>
      <c r="T27" s="223"/>
      <c r="U27" s="223">
        <f>S27*$C$27</f>
        <v>186715.62058718875</v>
      </c>
      <c r="V27" s="223"/>
      <c r="W27" s="223">
        <f>U27*$C$27</f>
        <v>193250.66730774034</v>
      </c>
      <c r="X27" s="223"/>
      <c r="Y27" s="223">
        <f>W27*$C$27</f>
        <v>200014.44066351122</v>
      </c>
      <c r="Z27" s="223"/>
      <c r="AA27" s="223">
        <f>Y27*$C$27</f>
        <v>207014.9460867341</v>
      </c>
      <c r="AB27" s="223"/>
      <c r="AC27" s="223">
        <f>AA27*$C$27</f>
        <v>214260.46919976978</v>
      </c>
      <c r="AD27" s="223"/>
      <c r="AE27" s="223">
        <f>AC27*$C$27</f>
        <v>221759.58562176171</v>
      </c>
      <c r="AF27" s="223"/>
      <c r="AG27" s="223">
        <f>AE27*$C$27</f>
        <v>229521.17111852334</v>
      </c>
    </row>
    <row r="28" spans="1:33" s="211" customFormat="1" ht="14.25">
      <c r="A28" s="211" t="s">
        <v>846</v>
      </c>
      <c r="C28" s="238"/>
      <c r="E28" s="223">
        <f>Application!AC889</f>
        <v>19800</v>
      </c>
      <c r="F28" s="223"/>
      <c r="G28" s="223">
        <f>$E$28</f>
        <v>19800</v>
      </c>
      <c r="H28" s="223"/>
      <c r="I28" s="223">
        <f>$E$28</f>
        <v>19800</v>
      </c>
      <c r="J28" s="223"/>
      <c r="K28" s="223">
        <f>$E$28</f>
        <v>19800</v>
      </c>
      <c r="L28" s="223"/>
      <c r="M28" s="223">
        <f>$E$28</f>
        <v>19800</v>
      </c>
      <c r="N28" s="223"/>
      <c r="O28" s="223">
        <f>$E$28</f>
        <v>19800</v>
      </c>
      <c r="P28" s="223"/>
      <c r="Q28" s="223">
        <f>$E$28</f>
        <v>19800</v>
      </c>
      <c r="R28" s="223"/>
      <c r="S28" s="223">
        <f>$E$28</f>
        <v>19800</v>
      </c>
      <c r="T28" s="223"/>
      <c r="U28" s="223">
        <f>$E$28</f>
        <v>19800</v>
      </c>
      <c r="V28" s="223"/>
      <c r="W28" s="223">
        <f>$E$28</f>
        <v>19800</v>
      </c>
      <c r="X28" s="223"/>
      <c r="Y28" s="223">
        <f>$E$28</f>
        <v>19800</v>
      </c>
      <c r="Z28" s="223"/>
      <c r="AA28" s="223">
        <f>$E$28</f>
        <v>19800</v>
      </c>
      <c r="AB28" s="223"/>
      <c r="AC28" s="223">
        <f>$E$28</f>
        <v>19800</v>
      </c>
      <c r="AD28" s="223"/>
      <c r="AE28" s="223">
        <f>$E$28</f>
        <v>19800</v>
      </c>
      <c r="AF28" s="223"/>
      <c r="AG28" s="223">
        <f>$E$28</f>
        <v>19800</v>
      </c>
    </row>
    <row r="29" spans="1:33" s="211" customFormat="1" ht="14.25">
      <c r="A29" s="211" t="s">
        <v>1680</v>
      </c>
      <c r="C29" s="238">
        <v>1.0349999999999999</v>
      </c>
      <c r="E29" s="223">
        <f>Application!AC890</f>
        <v>6600</v>
      </c>
      <c r="F29" s="223"/>
      <c r="G29" s="223">
        <f>E29*$C$29</f>
        <v>6830.9999999999991</v>
      </c>
      <c r="H29" s="223"/>
      <c r="I29" s="223">
        <f>G29*$C$29</f>
        <v>7070.0849999999982</v>
      </c>
      <c r="J29" s="223"/>
      <c r="K29" s="223">
        <f>I29*$C$29</f>
        <v>7317.5379749999975</v>
      </c>
      <c r="L29" s="223"/>
      <c r="M29" s="223">
        <f>K29*$C$29</f>
        <v>7573.6518041249965</v>
      </c>
      <c r="N29" s="223"/>
      <c r="O29" s="223">
        <f>M29*$C$29</f>
        <v>7838.7296172693705</v>
      </c>
      <c r="P29" s="223"/>
      <c r="Q29" s="223">
        <f>O29*$C$29</f>
        <v>8113.0851538737979</v>
      </c>
      <c r="R29" s="223"/>
      <c r="S29" s="223">
        <f>Q29*$C$29</f>
        <v>8397.0431342593802</v>
      </c>
      <c r="T29" s="223"/>
      <c r="U29" s="223">
        <f>S29*$C$29</f>
        <v>8690.939643958458</v>
      </c>
      <c r="V29" s="223"/>
      <c r="W29" s="223">
        <f>U29*$C$29</f>
        <v>8995.1225314970034</v>
      </c>
      <c r="X29" s="223"/>
      <c r="Y29" s="223">
        <f>W29*$C$29</f>
        <v>9309.9518200993971</v>
      </c>
      <c r="Z29" s="223"/>
      <c r="AA29" s="223">
        <f>Y29*$C$29</f>
        <v>9635.8001338028753</v>
      </c>
      <c r="AB29" s="223"/>
      <c r="AC29" s="223">
        <f>AA29*$C$29</f>
        <v>9973.0531384859751</v>
      </c>
      <c r="AD29" s="223"/>
      <c r="AE29" s="223">
        <f>AC29*$C$29</f>
        <v>10322.109998332984</v>
      </c>
      <c r="AF29" s="223"/>
      <c r="AG29" s="223">
        <f>AE29*$C$29</f>
        <v>10683.383848274638</v>
      </c>
    </row>
    <row r="30" spans="1:33" s="211" customFormat="1" ht="14.25">
      <c r="A30" s="211" t="s">
        <v>844</v>
      </c>
      <c r="C30" s="238">
        <v>1.02</v>
      </c>
      <c r="E30" s="223">
        <f>Application!AC891</f>
        <v>2950</v>
      </c>
      <c r="F30" s="223"/>
      <c r="G30" s="223">
        <f>E30*$C$30</f>
        <v>3009</v>
      </c>
      <c r="H30" s="223"/>
      <c r="I30" s="223">
        <f>G30*$C$30</f>
        <v>3069.18</v>
      </c>
      <c r="J30" s="223"/>
      <c r="K30" s="223">
        <f>I30*$C$30</f>
        <v>3130.5636</v>
      </c>
      <c r="L30" s="223"/>
      <c r="M30" s="223">
        <f>K30*$C$30</f>
        <v>3193.1748720000001</v>
      </c>
      <c r="N30" s="223"/>
      <c r="O30" s="223">
        <f>M30*$C$30</f>
        <v>3257.0383694400002</v>
      </c>
      <c r="P30" s="223"/>
      <c r="Q30" s="223">
        <f>O30*$C$30</f>
        <v>3322.1791368288004</v>
      </c>
      <c r="R30" s="223"/>
      <c r="S30" s="223">
        <f>Q30*$C$30</f>
        <v>3388.6227195653764</v>
      </c>
      <c r="T30" s="223"/>
      <c r="U30" s="223">
        <f>S30*$C$30</f>
        <v>3456.3951739566842</v>
      </c>
      <c r="V30" s="223"/>
      <c r="W30" s="223">
        <f>U30*$C$30</f>
        <v>3525.5230774358179</v>
      </c>
      <c r="X30" s="223"/>
      <c r="Y30" s="223">
        <f>W30*$C$30</f>
        <v>3596.0335389845341</v>
      </c>
      <c r="Z30" s="223"/>
      <c r="AA30" s="223">
        <f>Y30*$C$30</f>
        <v>3667.9542097642247</v>
      </c>
      <c r="AB30" s="223"/>
      <c r="AC30" s="223">
        <f>AA30*$C$30</f>
        <v>3741.3132939595093</v>
      </c>
      <c r="AD30" s="223"/>
      <c r="AE30" s="223">
        <f>AC30*$C$30</f>
        <v>3816.1395598386994</v>
      </c>
      <c r="AF30" s="223"/>
      <c r="AG30" s="223">
        <f>AE30*$C$30</f>
        <v>3892.4623510354736</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(Bond Issuer Annual Fee):</v>
      </c>
      <c r="C32" s="317">
        <v>1</v>
      </c>
      <c r="E32" s="223">
        <f>Application!AC894</f>
        <v>5275</v>
      </c>
      <c r="F32" s="223"/>
      <c r="G32" s="223">
        <f>E32*$C$32</f>
        <v>5275</v>
      </c>
      <c r="H32" s="223"/>
      <c r="I32" s="223">
        <f>G32*$C$32</f>
        <v>5275</v>
      </c>
      <c r="J32" s="223"/>
      <c r="K32" s="223">
        <f>I32*$C$32</f>
        <v>5275</v>
      </c>
      <c r="L32" s="223"/>
      <c r="M32" s="223">
        <f>K32*$C$32</f>
        <v>5275</v>
      </c>
      <c r="N32" s="223"/>
      <c r="O32" s="223">
        <f>M32*$C$32</f>
        <v>5275</v>
      </c>
      <c r="P32" s="223"/>
      <c r="Q32" s="223">
        <f>O32*$C$32</f>
        <v>5275</v>
      </c>
      <c r="R32" s="223"/>
      <c r="S32" s="223">
        <f>Q32*$C$32</f>
        <v>5275</v>
      </c>
      <c r="T32" s="223"/>
      <c r="U32" s="223">
        <f>S32*$C$32</f>
        <v>5275</v>
      </c>
      <c r="V32" s="223"/>
      <c r="W32" s="223">
        <f>U32*$C$32</f>
        <v>5275</v>
      </c>
      <c r="X32" s="223"/>
      <c r="Y32" s="223">
        <f>W32*$C$32</f>
        <v>5275</v>
      </c>
      <c r="Z32" s="223"/>
      <c r="AA32" s="223">
        <f>Y32*$C$32</f>
        <v>5275</v>
      </c>
      <c r="AB32" s="223"/>
      <c r="AC32" s="223">
        <f>AA32*$C$32</f>
        <v>5275</v>
      </c>
      <c r="AD32" s="223"/>
      <c r="AE32" s="223">
        <f>AC32*$C$32</f>
        <v>5275</v>
      </c>
      <c r="AF32" s="223"/>
      <c r="AG32" s="223">
        <f>AE32*$C$32</f>
        <v>5275</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825639</v>
      </c>
      <c r="G35" s="224">
        <f>SUM(G22:G33)</f>
        <v>853614.49</v>
      </c>
      <c r="I35" s="224">
        <f>SUM(I22:I33)</f>
        <v>882568.23714999994</v>
      </c>
      <c r="K35" s="224">
        <f>SUM(K22:K33)</f>
        <v>912534.46275024978</v>
      </c>
      <c r="M35" s="224">
        <f>SUM(M22:M33)</f>
        <v>943548.58549250849</v>
      </c>
      <c r="O35" s="224">
        <f>SUM(O22:O33)</f>
        <v>975647.26336166624</v>
      </c>
      <c r="Q35" s="224">
        <f>SUM(Q22:Q33)</f>
        <v>1008868.4370037828</v>
      </c>
      <c r="S35" s="224">
        <f>SUM(S22:S33)</f>
        <v>1043251.3746118628</v>
      </c>
      <c r="U35" s="224">
        <f>SUM(U22:U33)</f>
        <v>1078836.718382484</v>
      </c>
      <c r="W35" s="224">
        <f>SUM(W22:W33)</f>
        <v>1115666.532598262</v>
      </c>
      <c r="Y35" s="224">
        <f>SUM(Y22:Y33)</f>
        <v>1153784.3533930394</v>
      </c>
      <c r="AA35" s="224">
        <f>SUM(AA22:AA33)</f>
        <v>1193235.2402587112</v>
      </c>
      <c r="AC35" s="224">
        <f>SUM(AC22:AC33)</f>
        <v>1234065.8293546194</v>
      </c>
      <c r="AE35" s="224">
        <f>SUM(AE22:AE33)</f>
        <v>1276324.3886826215</v>
      </c>
      <c r="AG35" s="224">
        <f>SUM(AG22:AG33)</f>
        <v>1320060.8751931156</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849363.07319999998</v>
      </c>
      <c r="G37" s="224">
        <f>G11-G35</f>
        <v>863262.63502999977</v>
      </c>
      <c r="I37" s="224">
        <f>I11-I35</f>
        <v>877230.81600574963</v>
      </c>
      <c r="K37" s="224">
        <f>K11-K35</f>
        <v>891259.56673439359</v>
      </c>
      <c r="M37" s="224">
        <f>M11-M35</f>
        <v>905340.29472925048</v>
      </c>
      <c r="O37" s="224">
        <f>O11-O35</f>
        <v>919463.8388656365</v>
      </c>
      <c r="Q37" s="224">
        <f>Q11-Q35</f>
        <v>933620.4427792026</v>
      </c>
      <c r="S37" s="224">
        <f>S11-S35</f>
        <v>947799.72716569703</v>
      </c>
      <c r="U37" s="224">
        <f>U11-U35</f>
        <v>961990.6609395144</v>
      </c>
      <c r="W37" s="224">
        <f>W11-W35</f>
        <v>976181.53120678617</v>
      </c>
      <c r="Y37" s="224">
        <f>Y11-Y35</f>
        <v>990359.91200713464</v>
      </c>
      <c r="AA37" s="224">
        <f>AA11-AA35</f>
        <v>1004512.6317764672</v>
      </c>
      <c r="AC37" s="224">
        <f>AC11-AC35</f>
        <v>1018625.7394814382</v>
      </c>
      <c r="AE37" s="224">
        <f>AE11-AE35</f>
        <v>1032684.4693743377</v>
      </c>
      <c r="AG37" s="224">
        <f>AG11-AG35</f>
        <v>1046673.2043152673</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Citibank Perm Loan</v>
      </c>
      <c r="B40" s="227"/>
      <c r="C40" s="221"/>
      <c r="E40" s="223">
        <f>Application!AF627</f>
        <v>738145.62657607242</v>
      </c>
      <c r="F40" s="223"/>
      <c r="G40" s="223">
        <f>$E$40</f>
        <v>738145.62657607242</v>
      </c>
      <c r="H40" s="223"/>
      <c r="I40" s="223">
        <f>$E$40</f>
        <v>738145.62657607242</v>
      </c>
      <c r="J40" s="223"/>
      <c r="K40" s="223">
        <f>$E$40</f>
        <v>738145.62657607242</v>
      </c>
      <c r="L40" s="223"/>
      <c r="M40" s="223">
        <f>$E$40</f>
        <v>738145.62657607242</v>
      </c>
      <c r="N40" s="223"/>
      <c r="O40" s="223">
        <f>$E$40</f>
        <v>738145.62657607242</v>
      </c>
      <c r="P40" s="223"/>
      <c r="Q40" s="223">
        <f>$E$40</f>
        <v>738145.62657607242</v>
      </c>
      <c r="R40" s="223"/>
      <c r="S40" s="223">
        <f>$E$40</f>
        <v>738145.62657607242</v>
      </c>
      <c r="T40" s="223"/>
      <c r="U40" s="223">
        <f>$E$40</f>
        <v>738145.62657607242</v>
      </c>
      <c r="V40" s="223"/>
      <c r="W40" s="223">
        <f>$E$40</f>
        <v>738145.62657607242</v>
      </c>
      <c r="X40" s="223"/>
      <c r="Y40" s="223">
        <f>$E$40</f>
        <v>738145.62657607242</v>
      </c>
      <c r="Z40" s="223"/>
      <c r="AA40" s="223">
        <f>$E$40</f>
        <v>738145.62657607242</v>
      </c>
      <c r="AB40" s="223"/>
      <c r="AC40" s="223">
        <f>$E$40</f>
        <v>738145.62657607242</v>
      </c>
      <c r="AD40" s="223"/>
      <c r="AE40" s="223">
        <f>$E$40</f>
        <v>738145.62657607242</v>
      </c>
      <c r="AF40" s="223"/>
      <c r="AG40" s="223">
        <f>$E$40</f>
        <v>738145.62657607242</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738145.62657607242</v>
      </c>
      <c r="G43" s="224">
        <f>SUM(G40:G42)</f>
        <v>738145.62657607242</v>
      </c>
      <c r="I43" s="224">
        <f>SUM(I40:I42)</f>
        <v>738145.62657607242</v>
      </c>
      <c r="K43" s="224">
        <f>SUM(K40:K42)</f>
        <v>738145.62657607242</v>
      </c>
      <c r="M43" s="224">
        <f>SUM(M40:M42)</f>
        <v>738145.62657607242</v>
      </c>
      <c r="O43" s="224">
        <f>SUM(O40:O42)</f>
        <v>738145.62657607242</v>
      </c>
      <c r="Q43" s="224">
        <f>SUM(Q40:Q42)</f>
        <v>738145.62657607242</v>
      </c>
      <c r="S43" s="224">
        <f>SUM(S40:S42)</f>
        <v>738145.62657607242</v>
      </c>
      <c r="U43" s="224">
        <f>SUM(U40:U42)</f>
        <v>738145.62657607242</v>
      </c>
      <c r="W43" s="224">
        <f>SUM(W40:W42)</f>
        <v>738145.62657607242</v>
      </c>
      <c r="Y43" s="224">
        <f>SUM(Y40:Y42)</f>
        <v>738145.62657607242</v>
      </c>
      <c r="AA43" s="224">
        <f>SUM(AA40:AA42)</f>
        <v>738145.62657607242</v>
      </c>
      <c r="AC43" s="224">
        <f>SUM(AC40:AC42)</f>
        <v>738145.62657607242</v>
      </c>
      <c r="AE43" s="224">
        <f>SUM(AE40:AE42)</f>
        <v>738145.62657607242</v>
      </c>
      <c r="AG43" s="224">
        <f>SUM(AG40:AG42)</f>
        <v>738145.62657607242</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111217.44662392756</v>
      </c>
      <c r="G45" s="224">
        <f>G37-G43</f>
        <v>125117.00845392735</v>
      </c>
      <c r="I45" s="224">
        <f>I37-I43</f>
        <v>139085.18942967721</v>
      </c>
      <c r="K45" s="224">
        <f>K37-K43</f>
        <v>153113.94015832117</v>
      </c>
      <c r="M45" s="224">
        <f>M37-M43</f>
        <v>167194.66815317806</v>
      </c>
      <c r="O45" s="224">
        <f>O37-O43</f>
        <v>181318.21228956408</v>
      </c>
      <c r="Q45" s="224">
        <f>Q37-Q43</f>
        <v>195474.81620313018</v>
      </c>
      <c r="S45" s="224">
        <f>S37-S43</f>
        <v>209654.10058962461</v>
      </c>
      <c r="U45" s="224">
        <f>U37-U43</f>
        <v>223845.03436344198</v>
      </c>
      <c r="W45" s="224">
        <f>W37-W43</f>
        <v>238035.90463071375</v>
      </c>
      <c r="Y45" s="224">
        <f>Y37-Y43</f>
        <v>252214.28543106222</v>
      </c>
      <c r="AA45" s="224">
        <f>AA37-AA43</f>
        <v>266367.00520039478</v>
      </c>
      <c r="AC45" s="224">
        <f>AC37-AC43</f>
        <v>280480.11290536576</v>
      </c>
      <c r="AE45" s="224">
        <f>AE37-AE43</f>
        <v>294538.84279826528</v>
      </c>
      <c r="AG45" s="224">
        <f>AG37-AG43</f>
        <v>308527.57773919485</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6.2738587330557677E-2</v>
      </c>
      <c r="G47" s="228">
        <f>G45/(G4+G6+G8)</f>
        <v>6.8857983756748162E-2</v>
      </c>
      <c r="I47" s="228">
        <f>I45/(I4+I6+I8)</f>
        <v>7.4678394232318313E-2</v>
      </c>
      <c r="K47" s="228">
        <f>K45/(K4+K6+K8)</f>
        <v>8.0205647975880312E-2</v>
      </c>
      <c r="M47" s="228">
        <f>M45/(M4+M6+M8)</f>
        <v>8.5445417766931542E-2</v>
      </c>
      <c r="O47" s="228">
        <f>O45/(O4+O6+O8)</f>
        <v>9.0403223622237502E-2</v>
      </c>
      <c r="Q47" s="228">
        <f>Q45/(Q4+Q6+Q8)</f>
        <v>9.5084436381185911E-2</v>
      </c>
      <c r="S47" s="228">
        <f>S45/(S4+S6+S8)</f>
        <v>9.9494281202323565E-2</v>
      </c>
      <c r="U47" s="228">
        <f>U45/(U4+U6+U8)</f>
        <v>0.10363784097322847</v>
      </c>
      <c r="W47" s="228">
        <f>W45/(W4+W6+W8)</f>
        <v>0.10752005963581369</v>
      </c>
      <c r="Y47" s="228">
        <f>Y45/(Y4+Y6+Y8)</f>
        <v>0.11114574542911777</v>
      </c>
      <c r="AA47" s="228">
        <f>AA45/(AA4+AA6+AA8)</f>
        <v>0.11451957405157415</v>
      </c>
      <c r="AC47" s="228">
        <f>AC45/(AC4+AC6+AC8)</f>
        <v>0.11764609174471509</v>
      </c>
      <c r="AE47" s="228">
        <f>AE45/(AE4+AE6+AE8)</f>
        <v>0.12052971830020907</v>
      </c>
      <c r="AG47" s="228">
        <f>AG45/(AG4+AG6+AG8)</f>
        <v>0.12317474999208766</v>
      </c>
    </row>
    <row r="48" spans="1:33" s="228" customFormat="1" ht="14.25">
      <c r="A48" s="228" t="s">
        <v>852</v>
      </c>
      <c r="C48" s="221"/>
      <c r="E48" s="228">
        <f>E45/E43</f>
        <v>0.15067141580153443</v>
      </c>
      <c r="G48" s="228">
        <f>G45/G43</f>
        <v>0.16950179469908833</v>
      </c>
      <c r="I48" s="228">
        <f>I45/I43</f>
        <v>0.18842513512520723</v>
      </c>
      <c r="K48" s="228">
        <f>K45/K43</f>
        <v>0.20743053219531801</v>
      </c>
      <c r="M48" s="228">
        <f>M45/M43</f>
        <v>0.22650634527053881</v>
      </c>
      <c r="O48" s="228">
        <f>O45/O43</f>
        <v>0.24564016335180119</v>
      </c>
      <c r="Q48" s="228">
        <f>Q45/Q43</f>
        <v>0.26481876904134821</v>
      </c>
      <c r="S48" s="228">
        <f>S45/S43</f>
        <v>0.28402810101594217</v>
      </c>
      <c r="U48" s="228">
        <f>U45/U43</f>
        <v>0.30325321495401797</v>
      </c>
      <c r="W48" s="228">
        <f>W45/W43</f>
        <v>0.32247824285684101</v>
      </c>
      <c r="Y48" s="228">
        <f>Y45/Y43</f>
        <v>0.3416863507015161</v>
      </c>
      <c r="AA48" s="228">
        <f>AA45/AA43</f>
        <v>0.36085969436133114</v>
      </c>
      <c r="AC48" s="228">
        <f>AC45/AC43</f>
        <v>0.37997937372654716</v>
      </c>
      <c r="AE48" s="228">
        <f>AE45/AE43</f>
        <v>0.39902538495621698</v>
      </c>
      <c r="AG48" s="228">
        <f>AG45/AG43</f>
        <v>0.4179765707890411</v>
      </c>
    </row>
    <row r="49" spans="1:34" s="229" customFormat="1" ht="14.25">
      <c r="A49" s="229" t="s">
        <v>850</v>
      </c>
      <c r="C49" s="230"/>
      <c r="E49" s="229">
        <f>E37/E43</f>
        <v>1.1506714158015343</v>
      </c>
      <c r="G49" s="229">
        <f>G37/G43</f>
        <v>1.1695017946990884</v>
      </c>
      <c r="I49" s="229">
        <f>I37/I43</f>
        <v>1.1884251351252073</v>
      </c>
      <c r="K49" s="229">
        <f>K37/K43</f>
        <v>1.207430532195318</v>
      </c>
      <c r="M49" s="229">
        <f>M37/M43</f>
        <v>1.2265063452705387</v>
      </c>
      <c r="O49" s="229">
        <f>O37/O43</f>
        <v>1.2456401633518013</v>
      </c>
      <c r="Q49" s="229">
        <f>Q37/Q43</f>
        <v>1.2648187690413482</v>
      </c>
      <c r="S49" s="229">
        <f>S37/S43</f>
        <v>1.2840281010159422</v>
      </c>
      <c r="U49" s="229">
        <f>U37/U43</f>
        <v>1.3032532149540179</v>
      </c>
      <c r="W49" s="229">
        <f>W37/W43</f>
        <v>1.3224782428568409</v>
      </c>
      <c r="Y49" s="229">
        <f>Y37/Y43</f>
        <v>1.3416863507015162</v>
      </c>
      <c r="AA49" s="229">
        <f>AA37/AA43</f>
        <v>1.3608596943613311</v>
      </c>
      <c r="AC49" s="229">
        <f>AC37/AC43</f>
        <v>1.3799793737265471</v>
      </c>
      <c r="AE49" s="229">
        <f>AE37/AE43</f>
        <v>1.3990253849562169</v>
      </c>
      <c r="AG49" s="229">
        <f>AG37/AG43</f>
        <v>1.417976570789041</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6" t="s">
        <v>1184</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111217.44662392756</v>
      </c>
      <c r="G60" s="963">
        <f>G45-G58</f>
        <v>125117.00845392735</v>
      </c>
      <c r="I60" s="963">
        <f>I45-I58</f>
        <v>139085.18942967721</v>
      </c>
      <c r="K60" s="963">
        <f>K45-K58</f>
        <v>153113.94015832117</v>
      </c>
      <c r="M60" s="963">
        <f>M45-M58</f>
        <v>167194.66815317806</v>
      </c>
      <c r="O60" s="963">
        <f>O45-O58</f>
        <v>181318.21228956408</v>
      </c>
      <c r="Q60" s="963">
        <f>Q45-Q58</f>
        <v>195474.81620313018</v>
      </c>
      <c r="S60" s="963">
        <f>S45-S58</f>
        <v>209654.10058962461</v>
      </c>
      <c r="U60" s="963">
        <f>U45-U58</f>
        <v>223845.03436344198</v>
      </c>
      <c r="W60" s="963">
        <f>W45-W58</f>
        <v>238035.90463071375</v>
      </c>
      <c r="Y60" s="963">
        <f>Y45-Y58</f>
        <v>252214.28543106222</v>
      </c>
      <c r="AA60" s="963">
        <f>AA45-AA58</f>
        <v>266367.00520039478</v>
      </c>
      <c r="AC60" s="963">
        <f>AC45-AC58</f>
        <v>280480.11290536576</v>
      </c>
      <c r="AE60" s="963">
        <f>AE45-AE58</f>
        <v>294538.84279826528</v>
      </c>
      <c r="AG60" s="963">
        <f>AG45-AG58</f>
        <v>308527.57773919485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6" t="s">
        <v>1184</v>
      </c>
      <c r="B63" s="2696"/>
      <c r="C63" s="2696"/>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t="s">
        <v>2707</v>
      </c>
      <c r="C66" s="1260"/>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t="s">
        <v>2697</v>
      </c>
      <c r="C67" s="126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111217.44662392756</v>
      </c>
      <c r="G72" s="963">
        <f>G60-G62-G70</f>
        <v>125117.00845392735</v>
      </c>
      <c r="I72" s="963">
        <f>I60-I62-I70</f>
        <v>139085.18942967721</v>
      </c>
      <c r="K72" s="963">
        <f>K60-K62-K70</f>
        <v>153113.94015832117</v>
      </c>
      <c r="M72" s="963">
        <f>M60-M62-M70</f>
        <v>167194.66815317806</v>
      </c>
      <c r="O72" s="963">
        <f>O60-O62-O70</f>
        <v>181318.21228956408</v>
      </c>
      <c r="Q72" s="963">
        <f>Q60-Q62-Q70</f>
        <v>195474.81620313018</v>
      </c>
      <c r="S72" s="963">
        <f>S60-S62-S70</f>
        <v>209654.10058962461</v>
      </c>
      <c r="U72" s="963">
        <f>U60-U62-U70</f>
        <v>223845.03436344198</v>
      </c>
      <c r="W72" s="963">
        <f>W60-W62-W70</f>
        <v>238035.90463071375</v>
      </c>
      <c r="Y72" s="963">
        <f>Y60-Y62-Y70</f>
        <v>252214.28543106222</v>
      </c>
      <c r="AA72" s="963">
        <f>AA60-AA62-AA70</f>
        <v>266367.00520039478</v>
      </c>
      <c r="AC72" s="963">
        <f>AC60-AC62-AC70</f>
        <v>280480.11290536576</v>
      </c>
      <c r="AE72" s="963">
        <f>AE60-AE62-AE70</f>
        <v>294538.84279826528</v>
      </c>
      <c r="AG72" s="963">
        <f>AG60-AG62-AG70</f>
        <v>308527.57773919485</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1</v>
      </c>
      <c r="C5" s="267">
        <f>'Sources and Uses Budget'!$C4</f>
        <v>1</v>
      </c>
      <c r="D5" s="271">
        <f>C5-B5</f>
        <v>0</v>
      </c>
      <c r="E5" s="269"/>
      <c r="F5" s="268"/>
    </row>
    <row r="6" spans="1:6" s="353" customFormat="1">
      <c r="A6" s="365" t="s">
        <v>28</v>
      </c>
      <c r="B6" s="267">
        <f>'Sources and Uses Budget'!$C5</f>
        <v>740653</v>
      </c>
      <c r="C6" s="267">
        <f>'Sources and Uses Budget'!$C5</f>
        <v>740653</v>
      </c>
      <c r="D6" s="271">
        <f t="shared" ref="D6:D77" si="0">C6-B6</f>
        <v>0</v>
      </c>
      <c r="E6" s="269"/>
      <c r="F6" s="268"/>
    </row>
    <row r="7" spans="1:6" s="353" customFormat="1">
      <c r="A7" s="365" t="s">
        <v>29</v>
      </c>
      <c r="B7" s="267">
        <f>'Sources and Uses Budget'!$C6</f>
        <v>70707</v>
      </c>
      <c r="C7" s="267">
        <f>'Sources and Uses Budget'!$C6</f>
        <v>70707</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811361</v>
      </c>
      <c r="C9" s="271">
        <f>SUM(C5:C8)</f>
        <v>811361</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947713</v>
      </c>
      <c r="C11" s="267">
        <f>'Sources and Uses Budget'!$C10</f>
        <v>947713</v>
      </c>
      <c r="D11" s="271">
        <f t="shared" si="0"/>
        <v>0</v>
      </c>
      <c r="E11" s="269"/>
      <c r="F11" s="268"/>
    </row>
    <row r="12" spans="1:6" s="353" customFormat="1">
      <c r="A12" s="366" t="s">
        <v>596</v>
      </c>
      <c r="B12" s="271">
        <f>SUM(B10:B11)</f>
        <v>947713</v>
      </c>
      <c r="C12" s="271">
        <f>SUM(C10:C11)</f>
        <v>947713</v>
      </c>
      <c r="D12" s="271">
        <f t="shared" si="0"/>
        <v>0</v>
      </c>
      <c r="E12" s="269"/>
      <c r="F12" s="268"/>
    </row>
    <row r="13" spans="1:6" s="353" customFormat="1">
      <c r="A13" s="366" t="s">
        <v>84</v>
      </c>
      <c r="B13" s="271">
        <f>SUM(B9+B12)</f>
        <v>1759074</v>
      </c>
      <c r="C13" s="271">
        <f>SUM(C9+C12)</f>
        <v>1759074</v>
      </c>
      <c r="D13" s="271">
        <f t="shared" si="0"/>
        <v>0</v>
      </c>
      <c r="E13" s="269"/>
      <c r="F13" s="268"/>
    </row>
    <row r="14" spans="1:6" s="353" customFormat="1">
      <c r="A14" s="367" t="s">
        <v>902</v>
      </c>
      <c r="B14" s="267">
        <f>'Sources and Uses Budget'!$C13</f>
        <v>480182</v>
      </c>
      <c r="C14" s="267">
        <f>'Sources and Uses Budget'!$C13</f>
        <v>480182</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2475786</v>
      </c>
      <c r="C30" s="267">
        <f>'Sources and Uses Budget'!$C29</f>
        <v>2475786</v>
      </c>
      <c r="D30" s="271">
        <f t="shared" si="0"/>
        <v>0</v>
      </c>
      <c r="E30" s="269"/>
      <c r="F30" s="268"/>
    </row>
    <row r="31" spans="1:6" s="353" customFormat="1">
      <c r="A31" s="145" t="s">
        <v>599</v>
      </c>
      <c r="B31" s="267">
        <f>'Sources and Uses Budget'!$C30</f>
        <v>31760626</v>
      </c>
      <c r="C31" s="267">
        <f>'Sources and Uses Budget'!$C30</f>
        <v>31760626</v>
      </c>
      <c r="D31" s="271">
        <f t="shared" si="0"/>
        <v>0</v>
      </c>
      <c r="E31" s="269"/>
      <c r="F31" s="268"/>
    </row>
    <row r="32" spans="1:6" s="353" customFormat="1">
      <c r="A32" s="145" t="s">
        <v>600</v>
      </c>
      <c r="B32" s="267">
        <f>'Sources and Uses Budget'!$C31</f>
        <v>1735610</v>
      </c>
      <c r="C32" s="267">
        <f>'Sources and Uses Budget'!$C31</f>
        <v>1735610</v>
      </c>
      <c r="D32" s="271">
        <f t="shared" si="0"/>
        <v>0</v>
      </c>
      <c r="E32" s="269"/>
      <c r="F32" s="268"/>
    </row>
    <row r="33" spans="1:6" s="353" customFormat="1">
      <c r="A33" s="145" t="s">
        <v>137</v>
      </c>
      <c r="B33" s="267">
        <f>'Sources and Uses Budget'!$C32</f>
        <v>713283</v>
      </c>
      <c r="C33" s="267">
        <f>'Sources and Uses Budget'!$C32</f>
        <v>713283</v>
      </c>
      <c r="D33" s="271">
        <f t="shared" si="0"/>
        <v>0</v>
      </c>
      <c r="E33" s="269"/>
      <c r="F33" s="268"/>
    </row>
    <row r="34" spans="1:6" s="353" customFormat="1">
      <c r="A34" s="145" t="s">
        <v>138</v>
      </c>
      <c r="B34" s="267">
        <f>'Sources and Uses Budget'!$C33</f>
        <v>754315</v>
      </c>
      <c r="C34" s="267">
        <f>'Sources and Uses Budget'!$C33</f>
        <v>754315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837828</v>
      </c>
      <c r="C36" s="267">
        <f>'Sources and Uses Budget'!$C35</f>
        <v>837828</v>
      </c>
      <c r="D36" s="271">
        <f t="shared" si="0"/>
        <v>0</v>
      </c>
      <c r="E36" s="269"/>
      <c r="F36" s="268"/>
    </row>
    <row r="37" spans="1:6" s="353" customFormat="1">
      <c r="A37" s="284" t="s">
        <v>1640</v>
      </c>
      <c r="B37" s="267">
        <f>'Sources and Uses Budget'!$C36</f>
        <v>246000</v>
      </c>
      <c r="C37" s="267">
        <f>'Sources and Uses Budget'!$C36</f>
        <v>246000</v>
      </c>
      <c r="D37" s="271"/>
      <c r="E37" s="269"/>
      <c r="F37" s="268"/>
    </row>
    <row r="38" spans="1:6" s="353" customFormat="1">
      <c r="A38" s="155" t="str">
        <f>'Sources and Uses Budget'!A37</f>
        <v>Other:</v>
      </c>
      <c r="B38" s="267">
        <f>'Sources and Uses Budget'!$C37</f>
        <v>0</v>
      </c>
      <c r="C38" s="267">
        <f>'Sources and Uses Budget'!$C37</f>
        <v>0</v>
      </c>
      <c r="D38" s="271">
        <f t="shared" si="0"/>
        <v>0</v>
      </c>
      <c r="E38" s="269"/>
      <c r="F38" s="268"/>
    </row>
    <row r="39" spans="1:6" s="353" customFormat="1">
      <c r="A39" s="272" t="s">
        <v>143</v>
      </c>
      <c r="B39" s="271">
        <f>SUM(B30:B38)</f>
        <v>38523448</v>
      </c>
      <c r="C39" s="271">
        <f>SUM(C30:C38)</f>
        <v>38523448</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3641181</v>
      </c>
      <c r="C41" s="267">
        <f>'Sources and Uses Budget'!$C40</f>
        <v>3641181</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3641181</v>
      </c>
      <c r="C43" s="271">
        <f>SUM(C41:C42)</f>
        <v>3641181</v>
      </c>
      <c r="D43" s="271">
        <f t="shared" si="0"/>
        <v>0</v>
      </c>
      <c r="E43" s="269"/>
      <c r="F43" s="268"/>
    </row>
    <row r="44" spans="1:6" s="353" customFormat="1">
      <c r="A44" s="272" t="s">
        <v>148</v>
      </c>
      <c r="B44" s="267">
        <f>'Sources and Uses Budget'!$C43</f>
        <v>290978</v>
      </c>
      <c r="C44" s="267">
        <f>'Sources and Uses Budget'!$C43</f>
        <v>290978</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3954967</v>
      </c>
      <c r="C46" s="267">
        <f>'Sources and Uses Budget'!$C45</f>
        <v>3954967</v>
      </c>
      <c r="D46" s="271">
        <f t="shared" si="0"/>
        <v>0</v>
      </c>
      <c r="E46" s="269"/>
      <c r="F46" s="268"/>
    </row>
    <row r="47" spans="1:6" s="353" customFormat="1">
      <c r="A47" s="145" t="s">
        <v>151</v>
      </c>
      <c r="B47" s="267">
        <f>'Sources and Uses Budget'!$C46</f>
        <v>398523</v>
      </c>
      <c r="C47" s="267">
        <f>'Sources and Uses Budget'!$C46</f>
        <v>398523</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187136</v>
      </c>
      <c r="C50" s="267">
        <f>'Sources and Uses Budget'!$C49</f>
        <v>187136</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1200000</v>
      </c>
      <c r="C53" s="267">
        <f>'Sources and Uses Budget'!$C52</f>
        <v>1200000</v>
      </c>
      <c r="D53" s="271">
        <f t="shared" si="0"/>
        <v>0</v>
      </c>
      <c r="E53" s="269"/>
      <c r="F53" s="268"/>
    </row>
    <row r="54" spans="1:6" s="353" customFormat="1">
      <c r="A54" s="155" t="str">
        <f>'Sources and Uses Budget'!A53</f>
        <v>Other: Accrued/Deferred Interest</v>
      </c>
      <c r="B54" s="267">
        <f>'Sources and Uses Budget'!$C53</f>
        <v>1008061</v>
      </c>
      <c r="C54" s="267">
        <f>'Sources and Uses Budget'!$C53</f>
        <v>1008061</v>
      </c>
      <c r="D54" s="271">
        <f t="shared" si="0"/>
        <v>0</v>
      </c>
      <c r="E54" s="269"/>
      <c r="F54" s="268"/>
    </row>
    <row r="55" spans="1:6" s="354" customFormat="1">
      <c r="A55" s="272" t="s">
        <v>157</v>
      </c>
      <c r="B55" s="274">
        <f>SUM(B46:B54)</f>
        <v>6798687</v>
      </c>
      <c r="C55" s="274">
        <f>SUM(C46:C54)</f>
        <v>6798687</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99520</v>
      </c>
      <c r="C57" s="267">
        <f>'Sources and Uses Budget'!$C56</f>
        <v>99520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25859</v>
      </c>
      <c r="C59" s="267">
        <f>'Sources and Uses Budget'!$C58</f>
        <v>25859</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5.5">
      <c r="A62" s="1020" t="str">
        <f>'Sources and Uses Budget'!A61</f>
        <v>Other:SCC Loan Org. Fee; Legal (Borrower &amp; Lender)</v>
      </c>
      <c r="B62" s="267">
        <f>'Sources and Uses Budget'!$C61</f>
        <v>90000</v>
      </c>
      <c r="C62" s="267">
        <f>'Sources and Uses Budget'!$C61</f>
        <v>90000</v>
      </c>
      <c r="D62" s="271">
        <f t="shared" si="0"/>
        <v>0</v>
      </c>
      <c r="E62" s="269"/>
      <c r="F62" s="268"/>
    </row>
    <row r="63" spans="1:6" s="353" customFormat="1" ht="13.7" customHeight="1">
      <c r="A63" s="272" t="s">
        <v>300</v>
      </c>
      <c r="B63" s="271">
        <f>SUM(B57:B62)</f>
        <v>215379</v>
      </c>
      <c r="C63" s="271">
        <f>SUM(C57:C62)</f>
        <v>215379</v>
      </c>
      <c r="D63" s="271">
        <f t="shared" si="0"/>
        <v>0</v>
      </c>
      <c r="E63" s="269"/>
      <c r="F63" s="268"/>
    </row>
    <row r="64" spans="1:6" s="353" customFormat="1">
      <c r="A64" s="275" t="s">
        <v>301</v>
      </c>
      <c r="B64" s="271">
        <f>SUM(B9+B12+B14+B15+B17+B26+B28+B39+B43+B44+B55+B63)</f>
        <v>51708929</v>
      </c>
      <c r="C64" s="271">
        <f>SUM(C9+C12+C14+C15+C17+C26+C28+C39+C43+C44+C55+C63)</f>
        <v>51708929</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65000</v>
      </c>
      <c r="C66" s="267">
        <f>'Sources and Uses Budget'!$C65</f>
        <v>65000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Borrower Legal/Const</v>
      </c>
      <c r="B70" s="267">
        <f>'Sources and Uses Budget'!$C69</f>
        <v>70000</v>
      </c>
      <c r="C70" s="267">
        <f>'Sources and Uses Budget'!$C69</f>
        <v>70000</v>
      </c>
      <c r="D70" s="271">
        <f t="shared" si="0"/>
        <v>0</v>
      </c>
      <c r="E70" s="269"/>
      <c r="F70" s="268"/>
    </row>
    <row r="71" spans="1:6" s="353" customFormat="1">
      <c r="A71" s="149" t="s">
        <v>1645</v>
      </c>
      <c r="B71" s="271">
        <f>SUM(B66:B70)</f>
        <v>135000</v>
      </c>
      <c r="C71" s="271">
        <f>SUM(C66:C70)</f>
        <v>135000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391000</v>
      </c>
      <c r="C76" s="267">
        <f>'Sources and Uses Budget'!$C75</f>
        <v>391000</v>
      </c>
      <c r="D76" s="271">
        <f t="shared" si="0"/>
        <v>0</v>
      </c>
      <c r="E76" s="269"/>
      <c r="F76" s="268"/>
    </row>
    <row r="77" spans="1:6" s="353" customFormat="1">
      <c r="A77" s="273" t="s">
        <v>34</v>
      </c>
      <c r="B77" s="267">
        <f>'Sources and Uses Budget'!$C76</f>
        <v>146893</v>
      </c>
      <c r="C77" s="267">
        <f>'Sources and Uses Budget'!$C76</f>
        <v>146893</v>
      </c>
      <c r="D77" s="271">
        <f t="shared" si="0"/>
        <v>0</v>
      </c>
      <c r="E77" s="269"/>
      <c r="F77" s="268"/>
    </row>
    <row r="78" spans="1:6" s="353" customFormat="1">
      <c r="A78" s="272" t="s">
        <v>606</v>
      </c>
      <c r="B78" s="271">
        <f>SUM(B73:B77)</f>
        <v>537893</v>
      </c>
      <c r="C78" s="271">
        <f>SUM(C73:C77)</f>
        <v>537893</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1998291</v>
      </c>
      <c r="C80" s="267">
        <f>'Sources and Uses Budget'!$C79</f>
        <v>1998291</v>
      </c>
      <c r="D80" s="271">
        <f t="shared" si="1"/>
        <v>0</v>
      </c>
      <c r="E80" s="269"/>
      <c r="F80" s="268"/>
    </row>
    <row r="81" spans="1:6" s="353" customFormat="1">
      <c r="A81" s="511" t="s">
        <v>58</v>
      </c>
      <c r="B81" s="267">
        <f>'Sources and Uses Budget'!$C80</f>
        <v>616000</v>
      </c>
      <c r="C81" s="267">
        <f>'Sources and Uses Budget'!$C80</f>
        <v>616000</v>
      </c>
      <c r="D81" s="271">
        <f>C81-B81</f>
        <v>0</v>
      </c>
      <c r="E81" s="269"/>
      <c r="F81" s="268"/>
    </row>
    <row r="82" spans="1:6" s="353" customFormat="1">
      <c r="A82" s="272" t="s">
        <v>1209</v>
      </c>
      <c r="B82" s="271">
        <f>SUM(B80:B81)</f>
        <v>2614291</v>
      </c>
      <c r="C82" s="271">
        <f>SUM(C80:C81)</f>
        <v>2614291</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78941</v>
      </c>
      <c r="C84" s="267">
        <f>'Sources and Uses Budget'!$C83</f>
        <v>78941</v>
      </c>
      <c r="D84" s="271">
        <f t="shared" si="1"/>
        <v>0</v>
      </c>
      <c r="E84" s="269"/>
      <c r="F84" s="268"/>
    </row>
    <row r="85" spans="1:6" s="353" customFormat="1">
      <c r="A85" s="270" t="s">
        <v>767</v>
      </c>
      <c r="B85" s="267">
        <f>'Sources and Uses Budget'!$C84</f>
        <v>50455</v>
      </c>
      <c r="C85" s="267">
        <f>'Sources and Uses Budget'!$C84</f>
        <v>50455</v>
      </c>
      <c r="D85" s="271">
        <f t="shared" si="1"/>
        <v>0</v>
      </c>
      <c r="E85" s="269"/>
      <c r="F85" s="268"/>
    </row>
    <row r="86" spans="1:6" s="353" customFormat="1">
      <c r="A86" s="270" t="s">
        <v>768</v>
      </c>
      <c r="B86" s="267">
        <f>'Sources and Uses Budget'!$C85</f>
        <v>2910000</v>
      </c>
      <c r="C86" s="267">
        <f>'Sources and Uses Budget'!$C85</f>
        <v>2910000</v>
      </c>
      <c r="D86" s="271">
        <f t="shared" si="1"/>
        <v>0</v>
      </c>
      <c r="E86" s="269"/>
      <c r="F86" s="268"/>
    </row>
    <row r="87" spans="1:6" s="353" customFormat="1">
      <c r="A87" s="270" t="s">
        <v>769</v>
      </c>
      <c r="B87" s="267">
        <f>'Sources and Uses Budget'!$C86</f>
        <v>528000</v>
      </c>
      <c r="C87" s="267">
        <f>'Sources and Uses Budget'!$C86</f>
        <v>528000</v>
      </c>
      <c r="D87" s="271">
        <f t="shared" si="1"/>
        <v>0</v>
      </c>
      <c r="E87" s="269"/>
      <c r="F87" s="268"/>
    </row>
    <row r="88" spans="1:6" s="353" customFormat="1">
      <c r="A88" s="270" t="s">
        <v>770</v>
      </c>
      <c r="B88" s="267">
        <f>'Sources and Uses Budget'!$C87</f>
        <v>250000</v>
      </c>
      <c r="C88" s="267">
        <f>'Sources and Uses Budget'!$C87</f>
        <v>250000</v>
      </c>
      <c r="D88" s="271">
        <f t="shared" si="1"/>
        <v>0</v>
      </c>
      <c r="E88" s="269"/>
      <c r="F88" s="268"/>
    </row>
    <row r="89" spans="1:6" s="353" customFormat="1">
      <c r="A89" s="270" t="s">
        <v>771</v>
      </c>
      <c r="B89" s="267">
        <f>'Sources and Uses Budget'!$C88</f>
        <v>104750</v>
      </c>
      <c r="C89" s="267">
        <f>'Sources and Uses Budget'!$C88</f>
        <v>104750</v>
      </c>
      <c r="D89" s="271">
        <f t="shared" si="1"/>
        <v>0</v>
      </c>
      <c r="E89" s="269"/>
      <c r="F89" s="268"/>
    </row>
    <row r="90" spans="1:6" s="353" customFormat="1">
      <c r="A90" s="270" t="s">
        <v>772</v>
      </c>
      <c r="B90" s="267">
        <f>'Sources and Uses Budget'!$C89</f>
        <v>250000</v>
      </c>
      <c r="C90" s="267">
        <f>'Sources and Uses Budget'!$C89</f>
        <v>250000</v>
      </c>
      <c r="D90" s="271">
        <f t="shared" si="1"/>
        <v>0</v>
      </c>
      <c r="E90" s="269"/>
      <c r="F90" s="268"/>
    </row>
    <row r="91" spans="1:6" s="353" customFormat="1">
      <c r="A91" s="270" t="s">
        <v>773</v>
      </c>
      <c r="B91" s="267">
        <f>'Sources and Uses Budget'!$C90</f>
        <v>7000</v>
      </c>
      <c r="C91" s="267">
        <f>'Sources and Uses Budget'!$C90</f>
        <v>7000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1211</v>
      </c>
      <c r="B93" s="267">
        <f>'Sources and Uses Budget'!$C92</f>
        <v>8000</v>
      </c>
      <c r="C93" s="267">
        <f>'Sources and Uses Budget'!$C92</f>
        <v>8000</v>
      </c>
      <c r="D93" s="271">
        <f t="shared" si="1"/>
        <v>0</v>
      </c>
      <c r="E93" s="269"/>
      <c r="F93" s="268"/>
    </row>
    <row r="94" spans="1:6" s="353" customFormat="1">
      <c r="A94" s="273" t="s">
        <v>34</v>
      </c>
      <c r="B94" s="267">
        <f>'Sources and Uses Budget'!$C93</f>
        <v>365000</v>
      </c>
      <c r="C94" s="267">
        <f>'Sources and Uses Budget'!$C93</f>
        <v>365000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4552146</v>
      </c>
      <c r="C97" s="271">
        <f>SUM(C84:C96)</f>
        <v>4552146</v>
      </c>
      <c r="D97" s="271">
        <f t="shared" si="1"/>
        <v>0</v>
      </c>
      <c r="E97" s="269"/>
      <c r="F97" s="268"/>
    </row>
    <row r="98" spans="1:6" s="353" customFormat="1">
      <c r="A98" s="272" t="s">
        <v>775</v>
      </c>
      <c r="B98" s="271">
        <f>SUM(B64+B71+B78+B82+B97)</f>
        <v>59548259</v>
      </c>
      <c r="C98" s="271">
        <f>SUM(C64+C71+C78+C82+C97)</f>
        <v>59548259</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5900000</v>
      </c>
      <c r="C100" s="267">
        <f>'Sources and Uses Budget'!$C99</f>
        <v>5900000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5900000</v>
      </c>
      <c r="C105" s="271">
        <f>SUM(C100:C104)</f>
        <v>5900000</v>
      </c>
      <c r="D105" s="271">
        <f t="shared" si="1"/>
        <v>0</v>
      </c>
      <c r="E105" s="269"/>
      <c r="F105" s="268"/>
    </row>
    <row r="106" spans="1:6" s="353" customFormat="1">
      <c r="A106" s="272" t="s">
        <v>780</v>
      </c>
      <c r="B106" s="274">
        <f>SUM(B98+B105)</f>
        <v>65448259</v>
      </c>
      <c r="C106" s="274">
        <f>SUM(C98+C105)</f>
        <v>65448259</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2" zoomScale="140" zoomScaleNormal="140" workbookViewId="0">
      <selection sqref="A1:AL2"/>
    </sheetView>
  </sheetViews>
  <sheetFormatPr defaultColWidth="0" defaultRowHeight="12.6" customHeight="1" zeroHeight="1"/>
  <cols>
    <col min="1" max="10" width="10.7109375" style="403" customWidth="1"/>
    <col min="11" max="16384" width="8.85546875" style="403" hidden="1"/>
  </cols>
  <sheetData>
    <row r="1" spans="1:10" ht="15.75">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2048</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249</v>
      </c>
      <c r="B18" s="417"/>
      <c r="C18" s="417"/>
      <c r="D18" s="417"/>
      <c r="E18" s="417"/>
      <c r="F18" s="417"/>
      <c r="G18" s="417"/>
      <c r="H18" s="417"/>
      <c r="I18" s="417"/>
      <c r="J18" s="417"/>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71" t="s">
        <v>2046</v>
      </c>
      <c r="B72" s="1271"/>
      <c r="C72" s="1271"/>
      <c r="D72" s="1271"/>
      <c r="E72" s="1271"/>
    </row>
    <row r="73" spans="1:9" ht="12.75">
      <c r="A73" s="1271" t="s">
        <v>2047</v>
      </c>
      <c r="B73" s="1271"/>
      <c r="C73" s="1271"/>
      <c r="D73" s="1271"/>
      <c r="E73" s="1271"/>
    </row>
    <row r="74" spans="1:9" ht="12.75">
      <c r="A74" s="1271" t="s">
        <v>1871</v>
      </c>
      <c r="B74" s="1271"/>
      <c r="C74" s="1271"/>
      <c r="D74" s="1271"/>
      <c r="E74" s="127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12" zoomScale="110" zoomScaleNormal="110" workbookViewId="0">
      <selection activeCell="D15" sqref="D15:F17"/>
    </sheetView>
  </sheetViews>
  <sheetFormatPr defaultColWidth="0" defaultRowHeight="12.75" zeroHeight="1"/>
  <cols>
    <col min="1" max="1" width="3.42578125" style="481" customWidth="1"/>
    <col min="2" max="2" width="13.42578125" style="481" customWidth="1"/>
    <col min="3" max="3" width="2.42578125" style="481" customWidth="1"/>
    <col min="4" max="5" width="3.42578125" style="403" customWidth="1"/>
    <col min="6" max="6" width="65.42578125" style="403" customWidth="1"/>
    <col min="7" max="7" width="1.42578125" style="403" customWidth="1"/>
    <col min="8" max="8" width="3.42578125" style="403" customWidth="1"/>
    <col min="9" max="9" width="9.140625" style="405" customWidth="1"/>
    <col min="10" max="10" width="8.85546875" style="403" hidden="1" customWidth="1"/>
    <col min="11" max="16384" width="8.85546875" style="403" hidden="1"/>
  </cols>
  <sheetData>
    <row r="1" spans="1:13"/>
    <row r="2" spans="1:13">
      <c r="A2" s="1333" t="s">
        <v>2461</v>
      </c>
      <c r="B2" s="1333"/>
      <c r="C2" s="1333"/>
      <c r="D2" s="1333"/>
      <c r="E2" s="1333"/>
      <c r="F2" s="1333"/>
      <c r="G2" s="1333"/>
      <c r="H2" s="1333"/>
      <c r="I2" s="1333"/>
    </row>
    <row r="3" spans="1:13">
      <c r="A3" s="1321" t="s">
        <v>2220</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2219</v>
      </c>
      <c r="B6" s="1324"/>
      <c r="C6" s="1324"/>
      <c r="D6" s="1324"/>
      <c r="E6" s="1324"/>
      <c r="F6" s="1324"/>
      <c r="G6" s="1324"/>
      <c r="I6" s="491"/>
    </row>
    <row r="7" spans="1:13">
      <c r="A7" s="1324"/>
      <c r="B7" s="1324"/>
      <c r="C7" s="1324"/>
      <c r="D7" s="1324"/>
      <c r="E7" s="1324"/>
      <c r="F7" s="1324"/>
      <c r="G7" s="1324"/>
      <c r="I7" s="491"/>
    </row>
    <row r="8" spans="1:13">
      <c r="A8" s="482"/>
      <c r="B8" s="482"/>
      <c r="C8" s="483"/>
      <c r="D8" s="483"/>
      <c r="E8" s="483"/>
      <c r="F8" s="483"/>
    </row>
    <row r="9" spans="1:13">
      <c r="A9" s="1310" t="s">
        <v>1101</v>
      </c>
      <c r="B9" s="1310"/>
      <c r="C9" s="1310"/>
      <c r="D9" s="1310"/>
      <c r="E9" s="1310"/>
      <c r="F9" s="1310"/>
      <c r="G9" s="1310"/>
      <c r="H9" s="1029"/>
      <c r="I9" s="1030"/>
    </row>
    <row r="10" spans="1:13">
      <c r="A10" s="483"/>
      <c r="B10" s="483"/>
      <c r="E10" s="405"/>
    </row>
    <row r="11" spans="1:13" ht="13.7" customHeight="1">
      <c r="C11" s="483"/>
      <c r="D11" s="1323" t="s">
        <v>1100</v>
      </c>
      <c r="E11" s="1323"/>
      <c r="F11" s="1323"/>
    </row>
    <row r="12" spans="1:13">
      <c r="C12" s="483"/>
      <c r="D12" s="1323"/>
      <c r="E12" s="1323"/>
      <c r="F12" s="1323"/>
    </row>
    <row r="13" spans="1:13">
      <c r="A13" s="484"/>
      <c r="B13" s="484"/>
      <c r="C13" s="484"/>
      <c r="D13" s="1301" t="s">
        <v>1090</v>
      </c>
      <c r="E13" s="1301"/>
      <c r="F13" s="1301"/>
      <c r="M13" s="96"/>
    </row>
    <row r="14" spans="1:13">
      <c r="A14" s="484"/>
      <c r="B14" s="484"/>
      <c r="C14" s="484"/>
      <c r="D14" s="477"/>
      <c r="L14" s="313"/>
    </row>
    <row r="15" spans="1:13" ht="14.25">
      <c r="A15" s="485"/>
      <c r="B15" s="486" t="s">
        <v>2743</v>
      </c>
      <c r="C15" s="484"/>
      <c r="D15" s="1303" t="s">
        <v>1922</v>
      </c>
      <c r="E15" s="1303"/>
      <c r="F15" s="1303"/>
      <c r="I15" s="491"/>
    </row>
    <row r="16" spans="1:13">
      <c r="A16" s="484"/>
      <c r="B16" s="484"/>
      <c r="C16" s="484"/>
      <c r="D16" s="1303"/>
      <c r="E16" s="1303"/>
      <c r="F16" s="1303"/>
      <c r="I16" s="491"/>
    </row>
    <row r="17" spans="1:9">
      <c r="A17" s="484"/>
      <c r="B17" s="484"/>
      <c r="C17" s="484"/>
      <c r="D17" s="1303"/>
      <c r="E17" s="1303"/>
      <c r="F17" s="1303"/>
      <c r="I17" s="491"/>
    </row>
    <row r="18" spans="1:9">
      <c r="A18" s="484"/>
      <c r="B18" s="484"/>
      <c r="C18" s="484"/>
      <c r="D18" s="446"/>
      <c r="E18" s="313" t="s">
        <v>1920</v>
      </c>
      <c r="F18" s="446"/>
      <c r="I18" s="491"/>
    </row>
    <row r="19" spans="1:9">
      <c r="A19" s="484"/>
      <c r="B19" s="484"/>
      <c r="C19" s="484"/>
      <c r="I19" s="491"/>
    </row>
    <row r="20" spans="1:9" ht="14.25">
      <c r="A20" s="485"/>
      <c r="B20" s="486" t="s">
        <v>2743</v>
      </c>
      <c r="D20" s="1303" t="s">
        <v>1923</v>
      </c>
      <c r="E20" s="1303"/>
      <c r="F20" s="1303"/>
      <c r="I20" s="491"/>
    </row>
    <row r="21" spans="1:9" ht="14.25">
      <c r="A21" s="485"/>
      <c r="D21" s="1303"/>
      <c r="E21" s="1303"/>
      <c r="F21" s="1303"/>
      <c r="I21" s="491"/>
    </row>
    <row r="22" spans="1:9" ht="14.25">
      <c r="A22" s="485"/>
      <c r="D22" s="393"/>
      <c r="E22" s="96" t="s">
        <v>1919</v>
      </c>
      <c r="F22" s="393"/>
      <c r="I22" s="491"/>
    </row>
    <row r="23" spans="1:9" ht="14.25">
      <c r="A23" s="485"/>
      <c r="B23" s="485"/>
      <c r="D23" s="447"/>
      <c r="I23" s="491"/>
    </row>
    <row r="24" spans="1:9" ht="14.25">
      <c r="A24" s="485"/>
      <c r="B24" s="486" t="s">
        <v>2744</v>
      </c>
      <c r="D24" s="1303" t="s">
        <v>1091</v>
      </c>
      <c r="E24" s="1303"/>
      <c r="F24" s="1303"/>
      <c r="I24" s="491"/>
    </row>
    <row r="25" spans="1:9" ht="14.25">
      <c r="A25" s="485"/>
      <c r="B25" s="485"/>
      <c r="D25" s="1303"/>
      <c r="E25" s="1303"/>
      <c r="F25" s="1303"/>
      <c r="I25" s="491"/>
    </row>
    <row r="26" spans="1:9">
      <c r="I26" s="491"/>
    </row>
    <row r="27" spans="1:9" ht="14.25">
      <c r="A27" s="485"/>
      <c r="B27" s="486" t="s">
        <v>2743</v>
      </c>
      <c r="D27" s="1303" t="s">
        <v>2049</v>
      </c>
      <c r="E27" s="1303"/>
      <c r="F27" s="1303"/>
      <c r="I27" s="491"/>
    </row>
    <row r="28" spans="1:9">
      <c r="D28" s="1303"/>
      <c r="E28" s="1303"/>
      <c r="F28" s="1303"/>
      <c r="I28" s="491"/>
    </row>
    <row r="29" spans="1:9">
      <c r="D29" s="1303"/>
      <c r="E29" s="1303"/>
      <c r="F29" s="1303"/>
      <c r="I29" s="491"/>
    </row>
    <row r="30" spans="1:9">
      <c r="D30" s="1303"/>
      <c r="E30" s="1303"/>
      <c r="F30" s="1303"/>
      <c r="I30" s="491"/>
    </row>
    <row r="31" spans="1:9">
      <c r="D31" s="1303"/>
      <c r="E31" s="1303"/>
      <c r="F31" s="1303"/>
      <c r="I31" s="491"/>
    </row>
    <row r="32" spans="1:9">
      <c r="D32" s="448"/>
      <c r="I32" s="491"/>
    </row>
    <row r="33" spans="1:9">
      <c r="B33" s="486" t="s">
        <v>2744</v>
      </c>
      <c r="D33" s="1303" t="s">
        <v>2050</v>
      </c>
      <c r="E33" s="1303"/>
      <c r="F33" s="1303"/>
      <c r="I33" s="491"/>
    </row>
    <row r="34" spans="1:9">
      <c r="D34" s="1303"/>
      <c r="E34" s="1303"/>
      <c r="F34" s="1303"/>
      <c r="I34" s="491"/>
    </row>
    <row r="35" spans="1:9" ht="14.25">
      <c r="A35" s="485"/>
      <c r="B35" s="485"/>
      <c r="D35" s="448"/>
      <c r="I35" s="491"/>
    </row>
    <row r="36" spans="1:9" ht="14.45" customHeight="1">
      <c r="A36" s="485"/>
      <c r="B36" s="486" t="s">
        <v>2744</v>
      </c>
      <c r="D36" s="1303" t="s">
        <v>1214</v>
      </c>
      <c r="E36" s="1303"/>
      <c r="F36" s="1303"/>
      <c r="I36" s="491"/>
    </row>
    <row r="37" spans="1:9" ht="14.25">
      <c r="A37" s="485"/>
      <c r="B37" s="485"/>
      <c r="D37" s="1303"/>
      <c r="E37" s="1303"/>
      <c r="F37" s="1303"/>
      <c r="I37" s="491"/>
    </row>
    <row r="38" spans="1:9" ht="14.25">
      <c r="A38" s="485"/>
      <c r="B38" s="485"/>
      <c r="D38" s="1303"/>
      <c r="E38" s="1303"/>
      <c r="F38" s="1303"/>
      <c r="I38" s="491"/>
    </row>
    <row r="39" spans="1:9" ht="14.25">
      <c r="A39" s="485"/>
      <c r="B39" s="485"/>
      <c r="D39" s="1303"/>
      <c r="E39" s="1303"/>
      <c r="F39" s="1303"/>
      <c r="I39" s="491"/>
    </row>
    <row r="40" spans="1:9" ht="14.25">
      <c r="A40" s="485"/>
      <c r="B40" s="485"/>
      <c r="I40" s="491"/>
    </row>
    <row r="41" spans="1:9" ht="14.25">
      <c r="A41" s="485"/>
      <c r="B41" s="486" t="s">
        <v>2743</v>
      </c>
      <c r="D41" s="1303" t="s">
        <v>1092</v>
      </c>
      <c r="E41" s="1303"/>
      <c r="F41" s="1303"/>
      <c r="I41" s="491"/>
    </row>
    <row r="42" spans="1:9" ht="14.25">
      <c r="A42" s="485"/>
      <c r="B42" s="485"/>
      <c r="D42" s="1303"/>
      <c r="E42" s="1303"/>
      <c r="F42" s="1303"/>
      <c r="I42" s="491"/>
    </row>
    <row r="43" spans="1:9" ht="14.25">
      <c r="A43" s="485"/>
      <c r="B43" s="485"/>
      <c r="D43" s="1303"/>
      <c r="E43" s="1303"/>
      <c r="F43" s="1303"/>
      <c r="I43" s="491"/>
    </row>
    <row r="44" spans="1:9" ht="14.25">
      <c r="A44" s="485"/>
      <c r="B44" s="485"/>
      <c r="D44" s="1303"/>
      <c r="E44" s="1303"/>
      <c r="F44" s="1303"/>
      <c r="I44" s="491"/>
    </row>
    <row r="45" spans="1:9" ht="14.25">
      <c r="A45" s="485"/>
      <c r="B45" s="485"/>
      <c r="D45" s="1303"/>
      <c r="E45" s="1303"/>
      <c r="F45" s="1303"/>
      <c r="I45" s="491"/>
    </row>
    <row r="46" spans="1:9" ht="14.25">
      <c r="A46" s="485"/>
      <c r="B46" s="485"/>
      <c r="D46" s="446"/>
      <c r="E46" s="446"/>
      <c r="F46" s="446"/>
      <c r="I46" s="491"/>
    </row>
    <row r="47" spans="1:9" ht="14.25">
      <c r="A47" s="485"/>
      <c r="B47" s="486" t="s">
        <v>2744</v>
      </c>
      <c r="D47" s="1303" t="s">
        <v>1093</v>
      </c>
      <c r="E47" s="1303"/>
      <c r="F47" s="1303"/>
      <c r="I47" s="491"/>
    </row>
    <row r="48" spans="1:9" ht="14.25">
      <c r="A48" s="485"/>
      <c r="B48" s="485"/>
      <c r="D48" s="1303"/>
      <c r="E48" s="1303"/>
      <c r="F48" s="1303"/>
      <c r="I48" s="491"/>
    </row>
    <row r="49" spans="1:9" ht="14.25">
      <c r="A49" s="485"/>
      <c r="B49" s="485"/>
      <c r="D49" s="1303"/>
      <c r="E49" s="1303"/>
      <c r="F49" s="1303"/>
      <c r="I49" s="491"/>
    </row>
    <row r="50" spans="1:9" ht="23.25" customHeight="1">
      <c r="A50" s="485"/>
      <c r="B50" s="485"/>
      <c r="D50" s="1303"/>
      <c r="E50" s="1303"/>
      <c r="F50" s="1303"/>
      <c r="I50" s="491"/>
    </row>
    <row r="51" spans="1:9" ht="14.25">
      <c r="A51" s="485"/>
      <c r="B51" s="485"/>
      <c r="D51" s="447"/>
      <c r="I51" s="491"/>
    </row>
    <row r="52" spans="1:9" ht="14.45" customHeight="1">
      <c r="A52" s="485"/>
      <c r="B52" s="486" t="s">
        <v>2744</v>
      </c>
      <c r="D52" s="1303" t="s">
        <v>1094</v>
      </c>
      <c r="E52" s="1303"/>
      <c r="F52" s="1303"/>
      <c r="I52" s="491"/>
    </row>
    <row r="53" spans="1:9" ht="14.25">
      <c r="A53" s="485"/>
      <c r="B53" s="485"/>
      <c r="D53" s="1303"/>
      <c r="E53" s="1303"/>
      <c r="F53" s="1303"/>
      <c r="I53" s="491"/>
    </row>
    <row r="54" spans="1:9" ht="14.25">
      <c r="A54" s="485"/>
      <c r="B54" s="485"/>
      <c r="D54" s="1303"/>
      <c r="E54" s="1303"/>
      <c r="F54" s="1303"/>
      <c r="I54" s="491"/>
    </row>
    <row r="55" spans="1:9" ht="14.25">
      <c r="A55" s="485"/>
      <c r="B55" s="485"/>
      <c r="I55" s="491"/>
    </row>
    <row r="56" spans="1:9" ht="14.25">
      <c r="A56" s="485"/>
      <c r="B56" s="486" t="s">
        <v>2743</v>
      </c>
      <c r="D56" s="1326" t="s">
        <v>1095</v>
      </c>
      <c r="E56" s="1326"/>
      <c r="F56" s="1326"/>
      <c r="I56" s="491"/>
    </row>
    <row r="57" spans="1:9" ht="14.25">
      <c r="A57" s="485"/>
      <c r="B57" s="485"/>
      <c r="D57" s="1326"/>
      <c r="E57" s="1326"/>
      <c r="F57" s="1326"/>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2743</v>
      </c>
      <c r="D61" s="1303" t="s">
        <v>1096</v>
      </c>
      <c r="E61" s="1303"/>
      <c r="F61" s="1303"/>
      <c r="I61" s="491"/>
    </row>
    <row r="62" spans="1:9">
      <c r="D62" s="1303"/>
      <c r="E62" s="1303"/>
      <c r="F62" s="1303"/>
      <c r="I62" s="491"/>
    </row>
    <row r="63" spans="1:9">
      <c r="D63" s="1303"/>
      <c r="E63" s="1303"/>
      <c r="F63" s="1303"/>
      <c r="I63" s="491"/>
    </row>
    <row r="64" spans="1:9">
      <c r="I64" s="491"/>
    </row>
    <row r="65" spans="1:9" ht="14.25">
      <c r="A65" s="485"/>
      <c r="B65" s="486" t="s">
        <v>2744</v>
      </c>
      <c r="D65" s="1303" t="s">
        <v>1097</v>
      </c>
      <c r="E65" s="1303"/>
      <c r="F65" s="1303"/>
      <c r="I65" s="491"/>
    </row>
    <row r="66" spans="1:9">
      <c r="D66" s="1303"/>
      <c r="E66" s="1303"/>
      <c r="F66" s="1303"/>
      <c r="I66" s="491"/>
    </row>
    <row r="67" spans="1:9">
      <c r="I67" s="491"/>
    </row>
    <row r="68" spans="1:9" ht="14.25">
      <c r="A68" s="485"/>
      <c r="B68" s="486" t="s">
        <v>2743</v>
      </c>
      <c r="D68" s="1303" t="s">
        <v>1098</v>
      </c>
      <c r="E68" s="1303"/>
      <c r="F68" s="1303"/>
      <c r="I68" s="491"/>
    </row>
    <row r="69" spans="1:9">
      <c r="D69" s="1303"/>
      <c r="E69" s="1303"/>
      <c r="F69" s="1303"/>
      <c r="I69" s="491"/>
    </row>
    <row r="70" spans="1:9">
      <c r="D70" s="1303"/>
      <c r="E70" s="1303"/>
      <c r="F70" s="1303"/>
      <c r="I70" s="491"/>
    </row>
    <row r="71" spans="1:9">
      <c r="I71" s="491"/>
    </row>
    <row r="72" spans="1:9" ht="14.25">
      <c r="A72" s="485"/>
      <c r="B72" s="486" t="s">
        <v>2744</v>
      </c>
      <c r="D72" s="1303" t="s">
        <v>1099</v>
      </c>
      <c r="E72" s="1303"/>
      <c r="F72" s="1303"/>
      <c r="I72" s="491"/>
    </row>
    <row r="73" spans="1:9">
      <c r="D73" s="1303"/>
      <c r="E73" s="1303"/>
      <c r="F73" s="1303"/>
      <c r="I73" s="491"/>
    </row>
    <row r="74" spans="1:9" ht="14.25">
      <c r="A74" s="485"/>
      <c r="B74" s="485"/>
      <c r="D74" s="447"/>
      <c r="I74" s="491"/>
    </row>
    <row r="75" spans="1:9">
      <c r="A75" s="1310" t="s">
        <v>1044</v>
      </c>
      <c r="B75" s="1310"/>
      <c r="C75" s="1310"/>
      <c r="D75" s="1310"/>
      <c r="E75" s="1310"/>
      <c r="F75" s="1310"/>
      <c r="G75" s="1310"/>
      <c r="H75" s="1029"/>
      <c r="I75" s="1155"/>
    </row>
    <row r="76" spans="1:9">
      <c r="I76" s="491"/>
    </row>
    <row r="77" spans="1:9">
      <c r="C77" s="487"/>
      <c r="D77" s="1319" t="s">
        <v>1102</v>
      </c>
      <c r="E77" s="1319"/>
      <c r="F77" s="1319"/>
      <c r="I77" s="491"/>
    </row>
    <row r="78" spans="1:9">
      <c r="A78" s="447"/>
      <c r="B78" s="447"/>
      <c r="D78" s="1303" t="s">
        <v>1117</v>
      </c>
      <c r="E78" s="1303"/>
      <c r="F78" s="1303"/>
      <c r="I78" s="491"/>
    </row>
    <row r="79" spans="1:9">
      <c r="A79" s="447"/>
      <c r="B79" s="447"/>
      <c r="I79" s="491"/>
    </row>
    <row r="80" spans="1:9" ht="13.7" customHeight="1">
      <c r="A80" s="485"/>
      <c r="B80" s="486" t="s">
        <v>2743</v>
      </c>
      <c r="D80" s="1303" t="s">
        <v>1245</v>
      </c>
      <c r="E80" s="1303"/>
      <c r="F80" s="1303"/>
      <c r="I80" s="491"/>
    </row>
    <row r="81" spans="1:9" ht="14.25">
      <c r="A81" s="485"/>
      <c r="B81" s="485"/>
      <c r="D81" s="1303"/>
      <c r="E81" s="1303"/>
      <c r="F81" s="1303"/>
      <c r="I81" s="491"/>
    </row>
    <row r="82" spans="1:9" ht="14.25">
      <c r="A82" s="485"/>
      <c r="B82" s="485"/>
      <c r="D82" s="1303"/>
      <c r="E82" s="1303"/>
      <c r="F82" s="1303"/>
      <c r="I82" s="491"/>
    </row>
    <row r="83" spans="1:9" ht="14.25">
      <c r="A83" s="485"/>
      <c r="B83" s="485"/>
      <c r="D83" s="1303"/>
      <c r="E83" s="1303"/>
      <c r="F83" s="1303"/>
      <c r="I83" s="491"/>
    </row>
    <row r="84" spans="1:9" ht="14.25">
      <c r="A84" s="485"/>
      <c r="B84" s="485"/>
      <c r="D84" s="1303"/>
      <c r="E84" s="1303"/>
      <c r="F84" s="1303"/>
      <c r="I84" s="491"/>
    </row>
    <row r="85" spans="1:9" ht="14.25">
      <c r="A85" s="485"/>
      <c r="B85" s="485"/>
      <c r="D85" s="1303"/>
      <c r="E85" s="1303"/>
      <c r="F85" s="1303"/>
      <c r="I85" s="491"/>
    </row>
    <row r="86" spans="1:9" ht="14.25">
      <c r="A86" s="485"/>
      <c r="B86" s="485"/>
      <c r="D86" s="1303"/>
      <c r="E86" s="1303"/>
      <c r="F86" s="1303"/>
      <c r="I86" s="491"/>
    </row>
    <row r="87" spans="1:9" ht="14.25">
      <c r="A87" s="485"/>
      <c r="B87" s="485"/>
      <c r="D87" s="1303"/>
      <c r="E87" s="1303"/>
      <c r="F87" s="1303"/>
      <c r="I87" s="491"/>
    </row>
    <row r="88" spans="1:9" ht="14.25">
      <c r="A88" s="485"/>
      <c r="B88" s="485"/>
      <c r="D88" s="386"/>
      <c r="E88" s="386"/>
      <c r="F88" s="386"/>
      <c r="I88" s="491"/>
    </row>
    <row r="89" spans="1:9" ht="15" customHeight="1">
      <c r="A89" s="485"/>
      <c r="B89" s="486" t="s">
        <v>2743</v>
      </c>
      <c r="D89" s="1303" t="s">
        <v>1742</v>
      </c>
      <c r="E89" s="1303"/>
      <c r="F89" s="1303"/>
      <c r="I89" s="491"/>
    </row>
    <row r="90" spans="1:9" ht="14.25">
      <c r="A90" s="485"/>
      <c r="B90" s="485"/>
      <c r="D90" s="1303"/>
      <c r="E90" s="1303"/>
      <c r="F90" s="1303"/>
      <c r="I90" s="491"/>
    </row>
    <row r="91" spans="1:9" ht="14.25">
      <c r="A91" s="485"/>
      <c r="B91" s="485"/>
      <c r="D91" s="446"/>
      <c r="E91" s="446"/>
      <c r="F91" s="446"/>
      <c r="I91" s="491"/>
    </row>
    <row r="92" spans="1:9" ht="14.25">
      <c r="A92" s="485"/>
      <c r="B92" s="486" t="s">
        <v>2743</v>
      </c>
      <c r="D92" s="1303" t="s">
        <v>1745</v>
      </c>
      <c r="E92" s="1303"/>
      <c r="F92" s="1303"/>
      <c r="I92" s="491"/>
    </row>
    <row r="93" spans="1:9" ht="14.25">
      <c r="A93" s="485"/>
      <c r="B93" s="485"/>
      <c r="D93" s="1303"/>
      <c r="E93" s="1303"/>
      <c r="F93" s="1303"/>
      <c r="I93" s="491"/>
    </row>
    <row r="94" spans="1:9" ht="14.25">
      <c r="A94" s="485"/>
      <c r="B94" s="485"/>
      <c r="D94" s="1303"/>
      <c r="E94" s="1303"/>
      <c r="F94" s="1303"/>
      <c r="I94" s="491"/>
    </row>
    <row r="95" spans="1:9" ht="14.25">
      <c r="A95" s="485"/>
      <c r="B95" s="485"/>
      <c r="D95" s="446"/>
      <c r="E95" s="446"/>
      <c r="F95" s="446"/>
      <c r="I95" s="491"/>
    </row>
    <row r="96" spans="1:9" ht="14.25">
      <c r="A96" s="485"/>
      <c r="B96" s="486" t="s">
        <v>2743</v>
      </c>
      <c r="D96" s="1303" t="s">
        <v>1744</v>
      </c>
      <c r="E96" s="1303"/>
      <c r="F96" s="1303"/>
      <c r="I96" s="491"/>
    </row>
    <row r="97" spans="1:9" s="988" customFormat="1" ht="14.25">
      <c r="A97" s="986"/>
      <c r="B97" s="986"/>
      <c r="C97" s="987"/>
      <c r="D97" s="1303"/>
      <c r="E97" s="1303"/>
      <c r="F97" s="1303"/>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2744</v>
      </c>
      <c r="D100" s="1303" t="s">
        <v>1743</v>
      </c>
      <c r="E100" s="1303"/>
      <c r="F100" s="1303"/>
      <c r="I100" s="491"/>
    </row>
    <row r="101" spans="1:9" ht="14.25">
      <c r="A101" s="485"/>
      <c r="B101" s="485"/>
      <c r="D101" s="1303"/>
      <c r="E101" s="1303"/>
      <c r="F101" s="1303"/>
      <c r="I101" s="491"/>
    </row>
    <row r="102" spans="1:9" ht="14.25">
      <c r="A102" s="485"/>
      <c r="B102" s="485"/>
      <c r="D102" s="446"/>
      <c r="E102" s="446"/>
      <c r="F102" s="446"/>
      <c r="I102" s="491"/>
    </row>
    <row r="103" spans="1:9" ht="14.45" customHeight="1">
      <c r="A103" s="485"/>
      <c r="B103" s="486" t="s">
        <v>2744</v>
      </c>
      <c r="D103" s="1303" t="s">
        <v>1194</v>
      </c>
      <c r="E103" s="1303"/>
      <c r="F103" s="1303"/>
      <c r="I103" s="491"/>
    </row>
    <row r="104" spans="1:9" ht="14.25">
      <c r="A104" s="485"/>
      <c r="B104" s="485"/>
      <c r="D104" s="1303"/>
      <c r="E104" s="1303"/>
      <c r="F104" s="1303"/>
      <c r="I104" s="491"/>
    </row>
    <row r="105" spans="1:9" ht="14.25">
      <c r="A105" s="485"/>
      <c r="B105" s="485"/>
      <c r="D105" s="1303"/>
      <c r="E105" s="1303"/>
      <c r="F105" s="1303"/>
      <c r="I105" s="491"/>
    </row>
    <row r="106" spans="1:9" ht="14.25">
      <c r="A106" s="485"/>
      <c r="B106" s="485"/>
      <c r="D106" s="1303"/>
      <c r="E106" s="1303"/>
      <c r="F106" s="1303"/>
      <c r="I106" s="491"/>
    </row>
    <row r="107" spans="1:9" ht="14.25">
      <c r="A107" s="485"/>
      <c r="B107" s="485"/>
      <c r="D107" s="1303"/>
      <c r="E107" s="1303"/>
      <c r="F107" s="1303"/>
      <c r="I107" s="491"/>
    </row>
    <row r="108" spans="1:9" ht="14.25">
      <c r="A108" s="485"/>
      <c r="B108" s="485"/>
      <c r="D108" s="1303"/>
      <c r="E108" s="1303"/>
      <c r="F108" s="1303"/>
      <c r="I108" s="491"/>
    </row>
    <row r="109" spans="1:9" ht="14.25">
      <c r="A109" s="485"/>
      <c r="B109" s="485"/>
      <c r="D109" s="1303"/>
      <c r="E109" s="1303"/>
      <c r="F109" s="1303"/>
      <c r="I109" s="491"/>
    </row>
    <row r="110" spans="1:9" ht="14.25">
      <c r="A110" s="485"/>
      <c r="B110" s="485"/>
      <c r="D110" s="1303"/>
      <c r="E110" s="1303"/>
      <c r="F110" s="1303"/>
      <c r="I110" s="491"/>
    </row>
    <row r="111" spans="1:9" ht="14.25">
      <c r="A111" s="485"/>
      <c r="B111" s="485"/>
      <c r="D111" s="1303"/>
      <c r="E111" s="1303"/>
      <c r="F111" s="1303"/>
      <c r="I111" s="491"/>
    </row>
    <row r="112" spans="1:9" ht="14.25">
      <c r="A112" s="485"/>
      <c r="B112" s="485"/>
      <c r="D112" s="1303"/>
      <c r="E112" s="1303"/>
      <c r="F112" s="1303"/>
      <c r="I112" s="491"/>
    </row>
    <row r="113" spans="1:9" ht="14.25">
      <c r="A113" s="485"/>
      <c r="B113" s="485"/>
      <c r="D113" s="1303"/>
      <c r="E113" s="1303"/>
      <c r="F113" s="1303"/>
      <c r="I113" s="491"/>
    </row>
    <row r="114" spans="1:9" ht="14.25">
      <c r="A114" s="485"/>
      <c r="B114" s="485"/>
      <c r="D114" s="1303"/>
      <c r="E114" s="1303"/>
      <c r="F114" s="1303"/>
      <c r="I114" s="491"/>
    </row>
    <row r="115" spans="1:9" ht="14.25">
      <c r="A115" s="485"/>
      <c r="B115" s="485"/>
      <c r="D115" s="1303"/>
      <c r="E115" s="1303"/>
      <c r="F115" s="1303"/>
      <c r="I115" s="491"/>
    </row>
    <row r="116" spans="1:9" ht="14.25">
      <c r="A116" s="485"/>
      <c r="B116" s="485"/>
      <c r="D116" s="1303"/>
      <c r="E116" s="1303"/>
      <c r="F116" s="1303"/>
      <c r="I116" s="491"/>
    </row>
    <row r="117" spans="1:9" ht="14.25">
      <c r="A117" s="485"/>
      <c r="B117" s="485"/>
      <c r="D117" s="1303"/>
      <c r="E117" s="1303"/>
      <c r="F117" s="1303"/>
      <c r="I117" s="491"/>
    </row>
    <row r="118" spans="1:9" ht="14.25">
      <c r="A118" s="485"/>
      <c r="B118" s="485"/>
      <c r="D118" s="525"/>
      <c r="E118" s="525"/>
      <c r="F118" s="525"/>
      <c r="I118" s="491"/>
    </row>
    <row r="119" spans="1:9" ht="14.25" customHeight="1">
      <c r="A119" s="485"/>
      <c r="B119" s="486" t="s">
        <v>2744</v>
      </c>
      <c r="D119" s="1325" t="s">
        <v>1103</v>
      </c>
      <c r="E119" s="1325"/>
      <c r="F119" s="1325"/>
      <c r="I119" s="491"/>
    </row>
    <row r="120" spans="1:9" ht="14.25">
      <c r="A120" s="485"/>
      <c r="B120" s="485"/>
      <c r="D120" s="1325"/>
      <c r="E120" s="1325"/>
      <c r="F120" s="1325"/>
      <c r="I120" s="491"/>
    </row>
    <row r="121" spans="1:9" ht="14.25">
      <c r="A121" s="485"/>
      <c r="B121" s="485"/>
      <c r="D121" s="1325"/>
      <c r="E121" s="1325"/>
      <c r="F121" s="1325"/>
      <c r="I121" s="491"/>
    </row>
    <row r="122" spans="1:9" ht="14.25">
      <c r="A122" s="485"/>
      <c r="B122" s="485"/>
      <c r="D122" s="1325"/>
      <c r="E122" s="1325"/>
      <c r="F122" s="1325"/>
      <c r="I122" s="491"/>
    </row>
    <row r="123" spans="1:9" ht="14.25">
      <c r="A123" s="485"/>
      <c r="B123" s="485"/>
      <c r="D123" s="1325"/>
      <c r="E123" s="1325"/>
      <c r="F123" s="1325"/>
      <c r="I123" s="491"/>
    </row>
    <row r="124" spans="1:9" ht="14.25">
      <c r="A124" s="485"/>
      <c r="B124" s="485"/>
      <c r="D124" s="1325"/>
      <c r="E124" s="1325"/>
      <c r="F124" s="1325"/>
      <c r="I124" s="491"/>
    </row>
    <row r="125" spans="1:9" ht="14.25">
      <c r="A125" s="485"/>
      <c r="B125" s="485"/>
      <c r="D125" s="1325"/>
      <c r="E125" s="1325"/>
      <c r="F125" s="1325"/>
      <c r="I125" s="491"/>
    </row>
    <row r="126" spans="1:9" ht="14.25">
      <c r="A126" s="485"/>
      <c r="B126" s="485"/>
      <c r="D126" s="1325"/>
      <c r="E126" s="1325"/>
      <c r="F126" s="1325"/>
      <c r="I126" s="491"/>
    </row>
    <row r="127" spans="1:9">
      <c r="C127" s="403"/>
      <c r="D127" s="526"/>
      <c r="E127" s="526"/>
      <c r="F127" s="526"/>
      <c r="I127" s="491"/>
    </row>
    <row r="128" spans="1:9" ht="14.25">
      <c r="A128" s="485"/>
      <c r="B128" s="486" t="s">
        <v>2743</v>
      </c>
      <c r="C128" s="403"/>
      <c r="D128" s="1325" t="s">
        <v>2051</v>
      </c>
      <c r="E128" s="1325"/>
      <c r="F128" s="1325"/>
      <c r="I128" s="491"/>
    </row>
    <row r="129" spans="1:9" ht="14.25">
      <c r="A129" s="485"/>
      <c r="B129" s="485"/>
      <c r="C129" s="403"/>
      <c r="D129" s="1325"/>
      <c r="E129" s="1325"/>
      <c r="F129" s="1325"/>
      <c r="I129" s="491"/>
    </row>
    <row r="130" spans="1:9">
      <c r="I130" s="491"/>
    </row>
    <row r="131" spans="1:9" ht="14.25">
      <c r="A131" s="485"/>
      <c r="B131" s="486" t="s">
        <v>2743</v>
      </c>
      <c r="D131" s="1303" t="s">
        <v>1104</v>
      </c>
      <c r="E131" s="1303"/>
      <c r="F131" s="1303"/>
      <c r="I131" s="491"/>
    </row>
    <row r="132" spans="1:9">
      <c r="D132" s="1303"/>
      <c r="E132" s="1303"/>
      <c r="F132" s="1303"/>
      <c r="I132" s="491"/>
    </row>
    <row r="133" spans="1:9">
      <c r="D133" s="1303"/>
      <c r="E133" s="1303"/>
      <c r="F133" s="1303"/>
      <c r="I133" s="491"/>
    </row>
    <row r="134" spans="1:9">
      <c r="D134" s="1303"/>
      <c r="E134" s="1303"/>
      <c r="F134" s="1303"/>
      <c r="I134" s="491"/>
    </row>
    <row r="135" spans="1:9">
      <c r="D135" s="1303"/>
      <c r="E135" s="1303"/>
      <c r="F135" s="1303"/>
      <c r="I135" s="491"/>
    </row>
    <row r="136" spans="1:9">
      <c r="I136" s="491"/>
    </row>
    <row r="137" spans="1:9" ht="14.25">
      <c r="A137" s="485"/>
      <c r="B137" s="486" t="s">
        <v>2743</v>
      </c>
      <c r="D137" s="1303" t="s">
        <v>1105</v>
      </c>
      <c r="E137" s="1303"/>
      <c r="F137" s="1303"/>
      <c r="I137" s="491"/>
    </row>
    <row r="138" spans="1:9" s="418" customFormat="1" ht="13.7" customHeight="1">
      <c r="A138" s="489"/>
      <c r="B138" s="489"/>
      <c r="C138" s="489"/>
      <c r="D138" s="1303"/>
      <c r="E138" s="1303"/>
      <c r="F138" s="1303"/>
      <c r="I138" s="1157"/>
    </row>
    <row r="139" spans="1:9" ht="13.7" customHeight="1">
      <c r="D139" s="1303"/>
      <c r="E139" s="1303"/>
      <c r="F139" s="1303"/>
      <c r="I139" s="491"/>
    </row>
    <row r="140" spans="1:9" ht="13.7" customHeight="1">
      <c r="D140" s="1303"/>
      <c r="E140" s="1303"/>
      <c r="F140" s="1303"/>
      <c r="I140" s="491"/>
    </row>
    <row r="141" spans="1:9" ht="13.7" customHeight="1">
      <c r="D141" s="1303"/>
      <c r="E141" s="1303"/>
      <c r="F141" s="1303"/>
      <c r="I141" s="491"/>
    </row>
    <row r="142" spans="1:9" ht="13.7" customHeight="1">
      <c r="A142" s="490"/>
      <c r="B142" s="490"/>
      <c r="D142" s="1303"/>
      <c r="E142" s="1303"/>
      <c r="F142" s="1303"/>
      <c r="I142" s="491"/>
    </row>
    <row r="143" spans="1:9" ht="13.7" customHeight="1">
      <c r="D143" s="1303"/>
      <c r="E143" s="1303"/>
      <c r="F143" s="1303"/>
      <c r="I143" s="491"/>
    </row>
    <row r="144" spans="1:9" ht="13.7" customHeight="1">
      <c r="D144" s="1303"/>
      <c r="E144" s="1303"/>
      <c r="F144" s="1303"/>
      <c r="I144" s="491"/>
    </row>
    <row r="145" spans="2:9" ht="13.7" customHeight="1">
      <c r="D145" s="1303"/>
      <c r="E145" s="1303"/>
      <c r="F145" s="1303"/>
      <c r="I145" s="491"/>
    </row>
    <row r="146" spans="2:9" ht="13.7" customHeight="1">
      <c r="D146" s="1303"/>
      <c r="E146" s="1303"/>
      <c r="F146" s="1303"/>
      <c r="I146" s="491"/>
    </row>
    <row r="147" spans="2:9" ht="13.7" customHeight="1">
      <c r="D147" s="1303"/>
      <c r="E147" s="1303"/>
      <c r="F147" s="1303"/>
      <c r="I147" s="491"/>
    </row>
    <row r="148" spans="2:9" ht="13.7" customHeight="1">
      <c r="D148" s="1303"/>
      <c r="E148" s="1303"/>
      <c r="F148" s="1303"/>
      <c r="I148" s="491"/>
    </row>
    <row r="149" spans="2:9" ht="13.7" customHeight="1">
      <c r="D149" s="1303"/>
      <c r="E149" s="1303"/>
      <c r="F149" s="1303"/>
      <c r="I149" s="491"/>
    </row>
    <row r="150" spans="2:9" ht="13.7" customHeight="1">
      <c r="D150" s="477"/>
      <c r="E150" s="447"/>
      <c r="F150" s="447"/>
      <c r="I150" s="491"/>
    </row>
    <row r="151" spans="2:9" ht="13.7" customHeight="1">
      <c r="B151" s="486" t="s">
        <v>2744</v>
      </c>
      <c r="D151" s="1303" t="s">
        <v>1177</v>
      </c>
      <c r="E151" s="1303"/>
      <c r="F151" s="1303"/>
      <c r="I151" s="491"/>
    </row>
    <row r="152" spans="2:9" ht="13.7" customHeight="1">
      <c r="D152" s="1303"/>
      <c r="E152" s="1303"/>
      <c r="F152" s="1303"/>
      <c r="I152" s="491"/>
    </row>
    <row r="153" spans="2:9" ht="13.7" customHeight="1">
      <c r="D153" s="1303"/>
      <c r="E153" s="1303"/>
      <c r="F153" s="1303"/>
      <c r="I153" s="491"/>
    </row>
    <row r="154" spans="2:9" ht="13.7" customHeight="1">
      <c r="D154" s="1303"/>
      <c r="E154" s="1303"/>
      <c r="F154" s="1303"/>
      <c r="I154" s="491"/>
    </row>
    <row r="155" spans="2:9" ht="13.7" customHeight="1">
      <c r="D155" s="1303"/>
      <c r="E155" s="1303"/>
      <c r="F155" s="1303"/>
      <c r="I155" s="491"/>
    </row>
    <row r="156" spans="2:9" ht="13.7" customHeight="1">
      <c r="D156" s="1303"/>
      <c r="E156" s="1303"/>
      <c r="F156" s="1303"/>
      <c r="I156" s="491"/>
    </row>
    <row r="157" spans="2:9" ht="13.7" customHeight="1">
      <c r="D157" s="1303"/>
      <c r="E157" s="1303"/>
      <c r="F157" s="1303"/>
      <c r="I157" s="491"/>
    </row>
    <row r="158" spans="2:9" ht="13.7" customHeight="1">
      <c r="D158" s="1303"/>
      <c r="E158" s="1303"/>
      <c r="F158" s="1303"/>
      <c r="I158" s="491"/>
    </row>
    <row r="159" spans="2:9" ht="13.7" customHeight="1">
      <c r="D159" s="1303"/>
      <c r="E159" s="1303"/>
      <c r="F159" s="1303"/>
      <c r="I159" s="491"/>
    </row>
    <row r="160" spans="2:9" ht="13.7" customHeight="1">
      <c r="D160" s="1303"/>
      <c r="E160" s="1303"/>
      <c r="F160" s="1303"/>
      <c r="I160" s="491"/>
    </row>
    <row r="161" spans="1:9" ht="13.7" customHeight="1">
      <c r="D161" s="1303"/>
      <c r="E161" s="1303"/>
      <c r="F161" s="1303"/>
      <c r="I161" s="491"/>
    </row>
    <row r="162" spans="1:9" ht="13.7" customHeight="1">
      <c r="D162" s="1303"/>
      <c r="E162" s="1303"/>
      <c r="F162" s="1303"/>
      <c r="I162" s="491"/>
    </row>
    <row r="163" spans="1:9" ht="13.7" customHeight="1">
      <c r="D163" s="1303"/>
      <c r="E163" s="1303"/>
      <c r="F163" s="1303"/>
      <c r="I163" s="491"/>
    </row>
    <row r="164" spans="1:9" ht="13.7" customHeight="1">
      <c r="D164" s="1303"/>
      <c r="E164" s="1303"/>
      <c r="F164" s="1303"/>
      <c r="I164" s="491"/>
    </row>
    <row r="165" spans="1:9" ht="13.7" customHeight="1">
      <c r="D165" s="1303"/>
      <c r="E165" s="1303"/>
      <c r="F165" s="1303"/>
      <c r="I165" s="491"/>
    </row>
    <row r="166" spans="1:9" ht="13.7" customHeight="1">
      <c r="D166" s="1303"/>
      <c r="E166" s="1303"/>
      <c r="F166" s="1303"/>
      <c r="I166" s="491"/>
    </row>
    <row r="167" spans="1:9" ht="13.7" customHeight="1">
      <c r="D167" s="1303"/>
      <c r="E167" s="1303"/>
      <c r="F167" s="1303"/>
      <c r="I167" s="491"/>
    </row>
    <row r="168" spans="1:9" ht="13.7" customHeight="1">
      <c r="D168" s="1303"/>
      <c r="E168" s="1303"/>
      <c r="F168" s="1303"/>
      <c r="I168" s="491"/>
    </row>
    <row r="169" spans="1:9" ht="13.7" customHeight="1">
      <c r="D169" s="1322" t="s">
        <v>2074</v>
      </c>
      <c r="E169" s="1322"/>
      <c r="F169" s="1322"/>
      <c r="G169" s="508"/>
      <c r="I169" s="491"/>
    </row>
    <row r="170" spans="1:9" ht="13.7" customHeight="1">
      <c r="D170" s="1320"/>
      <c r="E170" s="1320"/>
      <c r="F170" s="1320"/>
      <c r="G170" s="1320"/>
      <c r="I170" s="491"/>
    </row>
    <row r="171" spans="1:9" ht="14.45" customHeight="1">
      <c r="A171" s="490"/>
      <c r="B171" s="486" t="s">
        <v>2744</v>
      </c>
      <c r="C171" s="477"/>
      <c r="D171" s="1274" t="s">
        <v>2214</v>
      </c>
      <c r="E171" s="1274"/>
      <c r="F171" s="1274"/>
      <c r="G171" s="477"/>
      <c r="I171" s="491"/>
    </row>
    <row r="172" spans="1:9" ht="14.45" customHeight="1">
      <c r="A172" s="490"/>
      <c r="B172" s="490"/>
      <c r="C172" s="477"/>
      <c r="D172" s="1274"/>
      <c r="E172" s="1274"/>
      <c r="F172" s="1274"/>
      <c r="G172" s="477"/>
      <c r="I172" s="491"/>
    </row>
    <row r="173" spans="1:9" ht="14.45" customHeight="1">
      <c r="A173" s="490"/>
      <c r="B173" s="490"/>
      <c r="C173" s="477"/>
      <c r="D173" s="1274"/>
      <c r="E173" s="1274"/>
      <c r="F173" s="1274"/>
      <c r="G173" s="477"/>
      <c r="I173" s="491"/>
    </row>
    <row r="174" spans="1:9" ht="14.45" customHeight="1">
      <c r="A174" s="490"/>
      <c r="B174" s="490"/>
      <c r="C174" s="477"/>
      <c r="D174" s="1274"/>
      <c r="E174" s="1274"/>
      <c r="F174" s="1274"/>
      <c r="G174" s="477"/>
      <c r="I174" s="491"/>
    </row>
    <row r="175" spans="1:9" ht="13.7" customHeight="1">
      <c r="A175" s="490"/>
      <c r="B175" s="490"/>
      <c r="C175" s="477"/>
      <c r="D175" s="1274"/>
      <c r="E175" s="1274"/>
      <c r="F175" s="1274"/>
      <c r="G175" s="477"/>
      <c r="I175" s="491"/>
    </row>
    <row r="176" spans="1:9" ht="13.7" customHeight="1">
      <c r="A176" s="490"/>
      <c r="B176" s="490"/>
      <c r="C176" s="477"/>
      <c r="D176" s="477"/>
      <c r="E176" s="477"/>
      <c r="F176" s="477"/>
      <c r="G176" s="477"/>
      <c r="I176" s="491"/>
    </row>
    <row r="177" spans="1:9" ht="13.7" customHeight="1">
      <c r="A177" s="490"/>
      <c r="B177" s="486" t="s">
        <v>2743</v>
      </c>
      <c r="C177" s="477"/>
      <c r="D177" s="1274" t="s">
        <v>1106</v>
      </c>
      <c r="E177" s="1274"/>
      <c r="F177" s="1274"/>
      <c r="G177" s="477"/>
      <c r="I177" s="491"/>
    </row>
    <row r="178" spans="1:9" ht="13.7" customHeight="1">
      <c r="A178" s="490"/>
      <c r="B178" s="490"/>
      <c r="C178" s="477"/>
      <c r="D178" s="1274"/>
      <c r="E178" s="1274"/>
      <c r="F178" s="1274"/>
      <c r="G178" s="477"/>
      <c r="I178" s="491"/>
    </row>
    <row r="179" spans="1:9" ht="13.7" customHeight="1">
      <c r="A179" s="490"/>
      <c r="B179" s="490"/>
      <c r="C179" s="477"/>
      <c r="D179" s="1274"/>
      <c r="E179" s="1274"/>
      <c r="F179" s="1274"/>
      <c r="G179" s="477"/>
      <c r="I179" s="491"/>
    </row>
    <row r="180" spans="1:9" ht="13.7" customHeight="1">
      <c r="A180" s="490"/>
      <c r="B180" s="490"/>
      <c r="C180" s="477"/>
      <c r="D180" s="1274"/>
      <c r="E180" s="1274"/>
      <c r="F180" s="1274"/>
      <c r="G180" s="477"/>
      <c r="I180" s="491"/>
    </row>
    <row r="181" spans="1:9" ht="13.7" customHeight="1">
      <c r="D181" s="447"/>
      <c r="E181" s="447"/>
      <c r="F181" s="447"/>
      <c r="I181" s="491"/>
    </row>
    <row r="182" spans="1:9" ht="13.7" customHeight="1">
      <c r="B182" s="486" t="s">
        <v>2744</v>
      </c>
      <c r="D182" s="1315" t="s">
        <v>2052</v>
      </c>
      <c r="E182" s="1315"/>
      <c r="F182" s="1315"/>
      <c r="I182" s="491"/>
    </row>
    <row r="183" spans="1:9" ht="13.7" customHeight="1">
      <c r="D183" s="1315"/>
      <c r="E183" s="1315"/>
      <c r="F183" s="1315"/>
      <c r="I183" s="491"/>
    </row>
    <row r="184" spans="1:9" ht="13.7" customHeight="1">
      <c r="D184" s="1315"/>
      <c r="E184" s="1315"/>
      <c r="F184" s="1315"/>
      <c r="I184" s="491"/>
    </row>
    <row r="185" spans="1:9" ht="13.7" customHeight="1">
      <c r="A185" s="491"/>
      <c r="B185" s="491"/>
      <c r="E185" s="447"/>
      <c r="F185" s="447"/>
      <c r="I185" s="491"/>
    </row>
    <row r="186" spans="1:9">
      <c r="A186" s="1310" t="s">
        <v>2053</v>
      </c>
      <c r="B186" s="1310"/>
      <c r="C186" s="1310"/>
      <c r="D186" s="1310"/>
      <c r="E186" s="1310"/>
      <c r="F186" s="1310"/>
      <c r="G186" s="1310"/>
      <c r="H186" s="1029"/>
      <c r="I186" s="1155"/>
    </row>
    <row r="187" spans="1:9" ht="12" customHeight="1">
      <c r="D187" s="447"/>
      <c r="E187" s="447"/>
      <c r="F187" s="447"/>
      <c r="I187" s="491"/>
    </row>
    <row r="188" spans="1:9">
      <c r="B188" s="1305" t="s">
        <v>446</v>
      </c>
      <c r="C188" s="1305"/>
      <c r="D188" s="1305"/>
      <c r="E188" s="1305"/>
      <c r="F188" s="1305"/>
      <c r="I188" s="491"/>
    </row>
    <row r="189" spans="1:9">
      <c r="B189" s="393" t="s">
        <v>1875</v>
      </c>
      <c r="C189" s="393"/>
      <c r="D189" s="393"/>
      <c r="E189" s="393"/>
      <c r="F189" s="393"/>
      <c r="I189" s="491"/>
    </row>
    <row r="190" spans="1:9" ht="12" customHeight="1">
      <c r="A190" s="483"/>
      <c r="B190" s="483"/>
      <c r="C190" s="483"/>
      <c r="I190" s="491"/>
    </row>
    <row r="191" spans="1:9">
      <c r="A191" s="1310" t="s">
        <v>1045</v>
      </c>
      <c r="B191" s="1310"/>
      <c r="C191" s="1310"/>
      <c r="D191" s="1310"/>
      <c r="E191" s="1310"/>
      <c r="F191" s="1310"/>
      <c r="G191" s="1310"/>
      <c r="H191" s="1029"/>
      <c r="I191" s="1155"/>
    </row>
    <row r="192" spans="1:9" ht="12" customHeight="1">
      <c r="A192" s="405"/>
      <c r="B192" s="405"/>
      <c r="E192" s="405"/>
      <c r="I192" s="491"/>
    </row>
    <row r="193" spans="1:9" ht="13.7" customHeight="1">
      <c r="A193" s="405"/>
      <c r="B193" s="405"/>
      <c r="D193" s="1319" t="s">
        <v>1746</v>
      </c>
      <c r="E193" s="1319"/>
      <c r="F193" s="1319"/>
      <c r="I193" s="491"/>
    </row>
    <row r="194" spans="1:9">
      <c r="A194" s="405"/>
      <c r="B194" s="405"/>
      <c r="D194" s="1319"/>
      <c r="E194" s="1319"/>
      <c r="F194" s="1319"/>
      <c r="I194" s="491"/>
    </row>
    <row r="195" spans="1:9">
      <c r="A195" s="405"/>
      <c r="B195" s="405"/>
      <c r="D195" s="1305" t="s">
        <v>1195</v>
      </c>
      <c r="E195" s="1305"/>
      <c r="F195" s="1305"/>
      <c r="I195" s="491"/>
    </row>
    <row r="196" spans="1:9">
      <c r="A196" s="405"/>
      <c r="B196" s="405"/>
      <c r="D196" s="393"/>
      <c r="E196" s="393"/>
      <c r="F196" s="393"/>
      <c r="I196" s="491"/>
    </row>
    <row r="197" spans="1:9">
      <c r="A197" s="405"/>
      <c r="B197" s="486" t="s">
        <v>2743</v>
      </c>
      <c r="D197" s="1290" t="s">
        <v>1747</v>
      </c>
      <c r="E197" s="1290"/>
      <c r="F197" s="1290"/>
      <c r="I197" s="491"/>
    </row>
    <row r="198" spans="1:9">
      <c r="A198" s="405"/>
      <c r="B198" s="405"/>
      <c r="D198" s="1289" t="s">
        <v>1902</v>
      </c>
      <c r="E198" s="1289"/>
      <c r="F198" s="1289"/>
      <c r="I198" s="491"/>
    </row>
    <row r="199" spans="1:9">
      <c r="A199" s="405"/>
      <c r="B199" s="405"/>
      <c r="D199" s="96" t="s">
        <v>1748</v>
      </c>
      <c r="E199" s="1327" t="s">
        <v>1925</v>
      </c>
      <c r="F199" s="1327"/>
      <c r="I199" s="491"/>
    </row>
    <row r="200" spans="1:9">
      <c r="A200" s="405"/>
      <c r="B200" s="405"/>
      <c r="D200" s="3"/>
      <c r="E200" s="3"/>
      <c r="F200" s="3"/>
      <c r="I200" s="491"/>
    </row>
    <row r="201" spans="1:9">
      <c r="A201" s="405"/>
      <c r="B201" s="486" t="s">
        <v>2744</v>
      </c>
      <c r="D201" s="1289" t="s">
        <v>1749</v>
      </c>
      <c r="E201" s="1289"/>
      <c r="F201" s="1289"/>
      <c r="I201" s="491"/>
    </row>
    <row r="202" spans="1:9">
      <c r="A202" s="405"/>
      <c r="B202" s="405"/>
      <c r="D202" s="1290" t="s">
        <v>1902</v>
      </c>
      <c r="E202" s="1290"/>
      <c r="F202" s="1290"/>
      <c r="I202" s="491"/>
    </row>
    <row r="203" spans="1:9">
      <c r="A203" s="405"/>
      <c r="B203" s="405"/>
      <c r="D203" s="57" t="s">
        <v>1750</v>
      </c>
      <c r="E203" s="1327" t="s">
        <v>1926</v>
      </c>
      <c r="F203" s="1327"/>
      <c r="I203" s="491"/>
    </row>
    <row r="204" spans="1:9">
      <c r="A204" s="405"/>
      <c r="B204" s="405"/>
      <c r="D204" s="3"/>
      <c r="E204" s="3"/>
      <c r="F204" s="3"/>
      <c r="I204" s="491"/>
    </row>
    <row r="205" spans="1:9">
      <c r="A205" s="405"/>
      <c r="B205" s="486" t="s">
        <v>2743</v>
      </c>
      <c r="D205" s="1289" t="s">
        <v>1751</v>
      </c>
      <c r="E205" s="1289"/>
      <c r="F205" s="1289"/>
      <c r="I205" s="491"/>
    </row>
    <row r="206" spans="1:9">
      <c r="A206" s="405"/>
      <c r="B206" s="405"/>
      <c r="D206" s="1290" t="s">
        <v>1902</v>
      </c>
      <c r="E206" s="1290"/>
      <c r="F206" s="1290"/>
      <c r="I206" s="491"/>
    </row>
    <row r="207" spans="1:9">
      <c r="A207" s="405"/>
      <c r="B207" s="405"/>
      <c r="D207" s="57" t="s">
        <v>1748</v>
      </c>
      <c r="E207" s="1327" t="s">
        <v>1927</v>
      </c>
      <c r="F207" s="1327"/>
      <c r="I207" s="491"/>
    </row>
    <row r="208" spans="1:9">
      <c r="A208" s="405"/>
      <c r="B208" s="405"/>
      <c r="D208" s="393"/>
      <c r="E208" s="393"/>
      <c r="F208" s="393"/>
      <c r="I208" s="491"/>
    </row>
    <row r="209" spans="1:9" ht="14.25" customHeight="1">
      <c r="A209" s="485"/>
      <c r="B209" s="486" t="s">
        <v>2744</v>
      </c>
      <c r="D209" s="387" t="s">
        <v>1895</v>
      </c>
      <c r="E209" s="386"/>
      <c r="F209" s="386"/>
      <c r="I209" s="491"/>
    </row>
    <row r="210" spans="1:9" ht="14.25">
      <c r="A210" s="485"/>
      <c r="B210" s="485"/>
      <c r="D210" s="1290" t="s">
        <v>1902</v>
      </c>
      <c r="E210" s="1290"/>
      <c r="F210" s="1290"/>
      <c r="I210" s="491"/>
    </row>
    <row r="211" spans="1:9">
      <c r="D211" s="386"/>
      <c r="E211" s="1327" t="s">
        <v>1928</v>
      </c>
      <c r="F211" s="1327"/>
      <c r="I211" s="491"/>
    </row>
    <row r="212" spans="1:9">
      <c r="D212" s="448"/>
      <c r="I212" s="491"/>
    </row>
    <row r="213" spans="1:9">
      <c r="B213" s="486" t="s">
        <v>2744</v>
      </c>
      <c r="D213" s="1289" t="s">
        <v>1752</v>
      </c>
      <c r="E213" s="1289"/>
      <c r="F213" s="1289"/>
      <c r="I213" s="491"/>
    </row>
    <row r="214" spans="1:9">
      <c r="D214" s="1290" t="s">
        <v>1902</v>
      </c>
      <c r="E214" s="1290"/>
      <c r="F214" s="1290"/>
      <c r="I214" s="491"/>
    </row>
    <row r="215" spans="1:9">
      <c r="D215" s="57" t="s">
        <v>1748</v>
      </c>
      <c r="E215" s="1327" t="s">
        <v>1929</v>
      </c>
      <c r="F215" s="1327"/>
      <c r="I215" s="491"/>
    </row>
    <row r="216" spans="1:9">
      <c r="D216" s="452"/>
      <c r="E216" s="452"/>
      <c r="F216" s="452"/>
      <c r="I216" s="491"/>
    </row>
    <row r="217" spans="1:9" ht="14.25">
      <c r="A217" s="485"/>
      <c r="B217" s="486" t="s">
        <v>2744</v>
      </c>
      <c r="D217" s="1303" t="s">
        <v>1216</v>
      </c>
      <c r="E217" s="1303"/>
      <c r="F217" s="1303"/>
      <c r="I217" s="491"/>
    </row>
    <row r="218" spans="1:9" ht="14.45" customHeight="1">
      <c r="A218" s="485"/>
      <c r="B218" s="403"/>
      <c r="D218" s="1303"/>
      <c r="E218" s="1303"/>
      <c r="F218" s="1303"/>
      <c r="I218" s="491"/>
    </row>
    <row r="219" spans="1:9" ht="14.25">
      <c r="A219" s="485"/>
      <c r="D219" s="1303"/>
      <c r="E219" s="1303"/>
      <c r="F219" s="1303"/>
      <c r="I219" s="491"/>
    </row>
    <row r="220" spans="1:9" ht="14.25">
      <c r="A220" s="485"/>
      <c r="D220" s="1303"/>
      <c r="E220" s="1303"/>
      <c r="F220" s="1303"/>
      <c r="I220" s="491"/>
    </row>
    <row r="221" spans="1:9">
      <c r="D221" s="452"/>
      <c r="E221" s="452"/>
      <c r="F221" s="452"/>
      <c r="I221" s="491"/>
    </row>
    <row r="222" spans="1:9">
      <c r="A222" s="1310" t="s">
        <v>1046</v>
      </c>
      <c r="B222" s="1310"/>
      <c r="C222" s="1310"/>
      <c r="D222" s="1310"/>
      <c r="E222" s="1310"/>
      <c r="F222" s="1310"/>
      <c r="G222" s="1310"/>
      <c r="H222" s="1029"/>
      <c r="I222" s="1155"/>
    </row>
    <row r="223" spans="1:9" ht="12" customHeight="1">
      <c r="D223" s="447"/>
      <c r="E223" s="447"/>
      <c r="F223" s="447"/>
      <c r="I223" s="491"/>
    </row>
    <row r="224" spans="1:9">
      <c r="C224" s="487"/>
      <c r="D224" s="1311" t="s">
        <v>207</v>
      </c>
      <c r="E224" s="1311"/>
      <c r="F224" s="1311"/>
      <c r="I224" s="491"/>
    </row>
    <row r="225" spans="1:9">
      <c r="A225" s="483"/>
      <c r="B225" s="483"/>
      <c r="C225" s="483"/>
      <c r="D225" s="1301" t="s">
        <v>1120</v>
      </c>
      <c r="E225" s="1301"/>
      <c r="F225" s="1301"/>
      <c r="I225" s="491"/>
    </row>
    <row r="226" spans="1:9" ht="12" customHeight="1">
      <c r="A226" s="491"/>
      <c r="B226" s="491"/>
      <c r="C226" s="491"/>
      <c r="I226" s="491"/>
    </row>
    <row r="227" spans="1:9" ht="13.7" customHeight="1">
      <c r="A227" s="491"/>
      <c r="C227" s="491"/>
      <c r="D227" s="1311" t="s">
        <v>546</v>
      </c>
      <c r="E227" s="1311"/>
      <c r="F227" s="1311"/>
      <c r="I227" s="491"/>
    </row>
    <row r="228" spans="1:9" ht="14.25">
      <c r="A228" s="485"/>
      <c r="B228" s="486" t="s">
        <v>2743</v>
      </c>
      <c r="D228" s="1303" t="s">
        <v>1753</v>
      </c>
      <c r="E228" s="1303"/>
      <c r="F228" s="1303"/>
      <c r="I228" s="491"/>
    </row>
    <row r="229" spans="1:9" ht="14.25" customHeight="1">
      <c r="A229" s="485"/>
      <c r="B229" s="485"/>
      <c r="D229" s="1303"/>
      <c r="E229" s="1303"/>
      <c r="F229" s="1303"/>
      <c r="I229" s="491"/>
    </row>
    <row r="230" spans="1:9" ht="14.25" customHeight="1">
      <c r="A230" s="485"/>
      <c r="B230" s="485"/>
      <c r="D230" s="1303"/>
      <c r="E230" s="1303"/>
      <c r="F230" s="1303"/>
      <c r="I230" s="491"/>
    </row>
    <row r="231" spans="1:9" ht="14.25">
      <c r="A231" s="485"/>
      <c r="B231" s="485"/>
      <c r="D231" s="1303"/>
      <c r="E231" s="1303"/>
      <c r="F231" s="1303"/>
      <c r="I231" s="491"/>
    </row>
    <row r="232" spans="1:9" ht="14.25">
      <c r="A232" s="485"/>
      <c r="B232" s="485"/>
      <c r="D232" s="446"/>
      <c r="E232" s="446"/>
      <c r="F232" s="446"/>
      <c r="I232" s="491"/>
    </row>
    <row r="233" spans="1:9" ht="14.25">
      <c r="A233" s="485"/>
      <c r="B233" s="486" t="s">
        <v>2743</v>
      </c>
      <c r="D233" s="1303" t="s">
        <v>1754</v>
      </c>
      <c r="E233" s="1303"/>
      <c r="F233" s="1303"/>
      <c r="I233" s="491"/>
    </row>
    <row r="234" spans="1:9" ht="14.25">
      <c r="A234" s="485"/>
      <c r="B234" s="485"/>
      <c r="D234" s="1303"/>
      <c r="E234" s="1303"/>
      <c r="F234" s="1303"/>
      <c r="I234" s="491"/>
    </row>
    <row r="235" spans="1:9" ht="14.25">
      <c r="A235" s="485"/>
      <c r="B235" s="485"/>
      <c r="D235" s="1303"/>
      <c r="E235" s="1303"/>
      <c r="F235" s="1303"/>
      <c r="I235" s="491"/>
    </row>
    <row r="236" spans="1:9" ht="14.25">
      <c r="A236" s="485"/>
      <c r="B236" s="485"/>
      <c r="D236" s="1303"/>
      <c r="E236" s="1303"/>
      <c r="F236" s="1303"/>
      <c r="I236" s="491"/>
    </row>
    <row r="237" spans="1:9" ht="14.25" customHeight="1">
      <c r="A237" s="485"/>
      <c r="B237" s="485"/>
      <c r="D237" s="1303"/>
      <c r="E237" s="1303"/>
      <c r="F237" s="1303"/>
      <c r="I237" s="491"/>
    </row>
    <row r="238" spans="1:9" ht="14.25" customHeight="1">
      <c r="A238" s="485"/>
      <c r="B238" s="485"/>
      <c r="D238" s="446"/>
      <c r="E238" s="446"/>
      <c r="F238" s="446"/>
      <c r="I238" s="491"/>
    </row>
    <row r="239" spans="1:9" ht="14.25">
      <c r="A239" s="485"/>
      <c r="B239" s="485"/>
      <c r="D239" s="1303" t="s">
        <v>1118</v>
      </c>
      <c r="E239" s="1303"/>
      <c r="F239" s="1303"/>
      <c r="I239" s="491"/>
    </row>
    <row r="240" spans="1:9" ht="14.25">
      <c r="A240" s="485"/>
      <c r="B240" s="485"/>
      <c r="D240" s="1303"/>
      <c r="E240" s="1303"/>
      <c r="F240" s="1303"/>
      <c r="I240" s="491"/>
    </row>
    <row r="241" spans="1:9" ht="14.25">
      <c r="A241" s="485"/>
      <c r="B241" s="485"/>
      <c r="D241" s="1303"/>
      <c r="E241" s="1303"/>
      <c r="F241" s="1303"/>
      <c r="I241" s="491"/>
    </row>
    <row r="242" spans="1:9" ht="14.25">
      <c r="A242" s="485"/>
      <c r="B242" s="485"/>
      <c r="D242" s="1303"/>
      <c r="E242" s="1303"/>
      <c r="F242" s="1303"/>
      <c r="I242" s="491"/>
    </row>
    <row r="243" spans="1:9" ht="14.25">
      <c r="A243" s="485"/>
      <c r="B243" s="485"/>
      <c r="D243" s="1303"/>
      <c r="E243" s="1303"/>
      <c r="F243" s="1303"/>
      <c r="I243" s="491"/>
    </row>
    <row r="244" spans="1:9" ht="14.25">
      <c r="A244" s="485"/>
      <c r="B244" s="485"/>
      <c r="D244" s="447"/>
      <c r="E244" s="447"/>
      <c r="F244" s="447"/>
      <c r="I244" s="491"/>
    </row>
    <row r="245" spans="1:9" ht="14.25">
      <c r="A245" s="485"/>
      <c r="B245" s="486" t="s">
        <v>2743</v>
      </c>
      <c r="D245" s="1303" t="s">
        <v>2054</v>
      </c>
      <c r="E245" s="1303"/>
      <c r="F245" s="1303"/>
      <c r="I245" s="491"/>
    </row>
    <row r="246" spans="1:9" ht="14.25">
      <c r="A246" s="485"/>
      <c r="B246" s="485"/>
      <c r="D246" s="1303"/>
      <c r="E246" s="1303"/>
      <c r="F246" s="1303"/>
      <c r="I246" s="491"/>
    </row>
    <row r="247" spans="1:9" ht="14.25">
      <c r="A247" s="485"/>
      <c r="B247" s="485"/>
      <c r="D247" s="1303"/>
      <c r="E247" s="1303"/>
      <c r="F247" s="1303"/>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2743</v>
      </c>
      <c r="D250" s="1303" t="s">
        <v>2055</v>
      </c>
      <c r="E250" s="1303"/>
      <c r="F250" s="1303"/>
      <c r="I250" s="491"/>
    </row>
    <row r="251" spans="1:9" ht="14.25">
      <c r="A251" s="485"/>
      <c r="B251" s="485"/>
      <c r="D251" s="1303"/>
      <c r="E251" s="1303"/>
      <c r="F251" s="1303"/>
      <c r="I251" s="491"/>
    </row>
    <row r="252" spans="1:9" ht="14.25">
      <c r="A252" s="485"/>
      <c r="B252" s="485"/>
      <c r="D252" s="1303"/>
      <c r="E252" s="1303"/>
      <c r="F252" s="1303"/>
      <c r="I252" s="491"/>
    </row>
    <row r="253" spans="1:9" ht="14.25">
      <c r="A253" s="485"/>
      <c r="B253" s="485"/>
      <c r="D253" s="1303"/>
      <c r="E253" s="1303"/>
      <c r="F253" s="1303"/>
      <c r="I253" s="491"/>
    </row>
    <row r="254" spans="1:9" ht="14.25">
      <c r="A254" s="485"/>
      <c r="B254" s="485"/>
      <c r="D254" s="1303"/>
      <c r="E254" s="1303"/>
      <c r="F254" s="1303"/>
      <c r="I254" s="491"/>
    </row>
    <row r="255" spans="1:9" ht="14.25">
      <c r="A255" s="485"/>
      <c r="B255" s="485"/>
      <c r="D255" s="446"/>
      <c r="E255" s="446"/>
      <c r="F255" s="446"/>
      <c r="I255" s="491"/>
    </row>
    <row r="256" spans="1:9" ht="14.25">
      <c r="A256" s="485"/>
      <c r="B256" s="486" t="s">
        <v>2743</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2743</v>
      </c>
      <c r="D259" s="1303" t="s">
        <v>1119</v>
      </c>
      <c r="E259" s="1303"/>
      <c r="F259" s="1303"/>
      <c r="I259" s="491"/>
    </row>
    <row r="260" spans="1:9" ht="14.25">
      <c r="A260" s="485"/>
      <c r="B260" s="485"/>
      <c r="D260" s="1303"/>
      <c r="E260" s="1303"/>
      <c r="F260" s="1303"/>
      <c r="I260" s="491"/>
    </row>
    <row r="261" spans="1:9">
      <c r="D261" s="492"/>
      <c r="I261" s="491"/>
    </row>
    <row r="262" spans="1:9">
      <c r="A262" s="1310" t="s">
        <v>1047</v>
      </c>
      <c r="B262" s="1310"/>
      <c r="C262" s="1310"/>
      <c r="D262" s="1310"/>
      <c r="E262" s="1310"/>
      <c r="F262" s="1310"/>
      <c r="G262" s="1310"/>
      <c r="H262" s="1029"/>
      <c r="I262" s="1155"/>
    </row>
    <row r="263" spans="1:9">
      <c r="D263" s="492"/>
      <c r="I263" s="491"/>
    </row>
    <row r="264" spans="1:9">
      <c r="C264" s="487"/>
      <c r="D264" s="1311" t="s">
        <v>1121</v>
      </c>
      <c r="E264" s="1311"/>
      <c r="F264" s="1311"/>
      <c r="I264" s="491"/>
    </row>
    <row r="265" spans="1:9">
      <c r="A265" s="483"/>
      <c r="B265" s="483"/>
      <c r="C265" s="483"/>
      <c r="D265" s="447"/>
      <c r="E265" s="447"/>
      <c r="F265" s="447"/>
      <c r="I265" s="491"/>
    </row>
    <row r="266" spans="1:9">
      <c r="A266" s="484"/>
      <c r="B266" s="484"/>
      <c r="C266" s="484"/>
      <c r="D266" s="1311" t="s">
        <v>268</v>
      </c>
      <c r="E266" s="1311"/>
      <c r="F266" s="1311"/>
      <c r="I266" s="491"/>
    </row>
    <row r="267" spans="1:9" ht="14.45" customHeight="1">
      <c r="A267" s="485"/>
      <c r="B267" s="486" t="s">
        <v>2743</v>
      </c>
      <c r="D267" s="1303" t="s">
        <v>1196</v>
      </c>
      <c r="E267" s="1303"/>
      <c r="F267" s="1303"/>
      <c r="I267" s="491"/>
    </row>
    <row r="268" spans="1:9">
      <c r="D268" s="1303"/>
      <c r="E268" s="1303"/>
      <c r="F268" s="1303"/>
      <c r="I268" s="491"/>
    </row>
    <row r="269" spans="1:9">
      <c r="E269" s="1037" t="s">
        <v>1898</v>
      </c>
      <c r="I269" s="491"/>
    </row>
    <row r="270" spans="1:9">
      <c r="D270" s="447"/>
      <c r="E270" s="447"/>
      <c r="F270" s="447"/>
      <c r="I270" s="491"/>
    </row>
    <row r="271" spans="1:9" ht="14.45" customHeight="1">
      <c r="A271" s="485"/>
      <c r="B271" s="486" t="s">
        <v>2744</v>
      </c>
      <c r="D271" s="1303" t="s">
        <v>2057</v>
      </c>
      <c r="E271" s="1303"/>
      <c r="F271" s="1303"/>
      <c r="I271" s="491"/>
    </row>
    <row r="272" spans="1:9">
      <c r="D272" s="1303"/>
      <c r="E272" s="1303"/>
      <c r="F272" s="1303"/>
      <c r="I272" s="491"/>
    </row>
    <row r="273" spans="1:9">
      <c r="D273" s="1303"/>
      <c r="E273" s="1303"/>
      <c r="F273" s="1303"/>
      <c r="I273" s="491"/>
    </row>
    <row r="274" spans="1:9">
      <c r="D274" s="1303"/>
      <c r="E274" s="1303"/>
      <c r="F274" s="1303"/>
      <c r="I274" s="491"/>
    </row>
    <row r="275" spans="1:9">
      <c r="D275" s="1303"/>
      <c r="E275" s="1303"/>
      <c r="F275" s="1303"/>
      <c r="I275" s="491"/>
    </row>
    <row r="276" spans="1:9">
      <c r="D276" s="1303"/>
      <c r="E276" s="1303"/>
      <c r="F276" s="1303"/>
      <c r="I276" s="491"/>
    </row>
    <row r="277" spans="1:9">
      <c r="D277" s="447"/>
      <c r="E277" s="447"/>
      <c r="F277" s="447"/>
      <c r="I277" s="491"/>
    </row>
    <row r="278" spans="1:9" ht="14.25">
      <c r="A278" s="485"/>
      <c r="B278" s="486" t="s">
        <v>2744</v>
      </c>
      <c r="D278" s="1303" t="s">
        <v>1122</v>
      </c>
      <c r="E278" s="1303"/>
      <c r="F278" s="1303"/>
      <c r="I278" s="491"/>
    </row>
    <row r="279" spans="1:9">
      <c r="D279" s="1303"/>
      <c r="E279" s="1303"/>
      <c r="F279" s="1303"/>
      <c r="I279" s="491"/>
    </row>
    <row r="280" spans="1:9">
      <c r="D280" s="1303"/>
      <c r="E280" s="1303"/>
      <c r="F280" s="1303"/>
      <c r="I280" s="491"/>
    </row>
    <row r="281" spans="1:9">
      <c r="D281" s="493"/>
      <c r="E281" s="447"/>
      <c r="F281" s="447"/>
      <c r="I281" s="491"/>
    </row>
    <row r="282" spans="1:9">
      <c r="A282" s="1310" t="s">
        <v>1048</v>
      </c>
      <c r="B282" s="1310"/>
      <c r="C282" s="1310"/>
      <c r="D282" s="1310"/>
      <c r="E282" s="1310"/>
      <c r="F282" s="1310"/>
      <c r="G282" s="1310"/>
      <c r="H282" s="1029"/>
      <c r="I282" s="1155"/>
    </row>
    <row r="283" spans="1:9">
      <c r="D283" s="493"/>
      <c r="E283" s="447"/>
      <c r="F283" s="447"/>
      <c r="I283" s="491"/>
    </row>
    <row r="284" spans="1:9">
      <c r="C284" s="483"/>
      <c r="D284" s="1319" t="s">
        <v>1123</v>
      </c>
      <c r="E284" s="1319"/>
      <c r="F284" s="1319"/>
      <c r="I284" s="491"/>
    </row>
    <row r="285" spans="1:9">
      <c r="C285" s="483"/>
      <c r="D285" s="1319"/>
      <c r="E285" s="1319"/>
      <c r="F285" s="1319"/>
      <c r="I285" s="491"/>
    </row>
    <row r="286" spans="1:9">
      <c r="A286" s="484"/>
      <c r="B286" s="484"/>
      <c r="C286" s="484"/>
      <c r="D286" s="405"/>
      <c r="I286" s="491"/>
    </row>
    <row r="287" spans="1:9">
      <c r="C287" s="484"/>
      <c r="D287" s="1311" t="s">
        <v>208</v>
      </c>
      <c r="E287" s="1311"/>
      <c r="F287" s="1311"/>
      <c r="I287" s="491"/>
    </row>
    <row r="288" spans="1:9" ht="15.75" customHeight="1">
      <c r="A288" s="485"/>
      <c r="B288" s="485"/>
      <c r="D288" s="1328" t="s">
        <v>1124</v>
      </c>
      <c r="E288" s="1328"/>
      <c r="F288" s="1328"/>
      <c r="I288" s="491"/>
    </row>
    <row r="289" spans="1:9">
      <c r="E289" s="447"/>
      <c r="F289" s="447"/>
      <c r="I289" s="491"/>
    </row>
    <row r="290" spans="1:9" ht="14.25">
      <c r="A290" s="485"/>
      <c r="B290" s="486" t="s">
        <v>2744</v>
      </c>
      <c r="D290" s="1303" t="s">
        <v>1125</v>
      </c>
      <c r="E290" s="1303"/>
      <c r="F290" s="1303"/>
      <c r="I290" s="491"/>
    </row>
    <row r="291" spans="1:9" ht="14.25">
      <c r="A291" s="485"/>
      <c r="B291" s="485"/>
      <c r="D291" s="1303"/>
      <c r="E291" s="1303"/>
      <c r="F291" s="1303"/>
      <c r="I291" s="491"/>
    </row>
    <row r="292" spans="1:9">
      <c r="D292" s="447"/>
      <c r="E292" s="447"/>
      <c r="F292" s="447"/>
      <c r="I292" s="491"/>
    </row>
    <row r="293" spans="1:9" ht="14.25">
      <c r="A293" s="485"/>
      <c r="B293" s="486" t="s">
        <v>2744</v>
      </c>
      <c r="D293" s="1303" t="s">
        <v>1126</v>
      </c>
      <c r="E293" s="1303"/>
      <c r="F293" s="1303"/>
      <c r="I293" s="491"/>
    </row>
    <row r="294" spans="1:9" ht="14.25">
      <c r="A294" s="485"/>
      <c r="B294" s="485"/>
      <c r="D294" s="1303"/>
      <c r="E294" s="1303"/>
      <c r="F294" s="1303"/>
      <c r="I294" s="491"/>
    </row>
    <row r="295" spans="1:9" ht="14.25">
      <c r="A295" s="485"/>
      <c r="B295" s="485"/>
      <c r="D295" s="1303"/>
      <c r="E295" s="1303"/>
      <c r="F295" s="1303"/>
      <c r="I295" s="491"/>
    </row>
    <row r="296" spans="1:9">
      <c r="D296" s="447"/>
      <c r="E296" s="447"/>
      <c r="F296" s="447"/>
      <c r="I296" s="491"/>
    </row>
    <row r="297" spans="1:9" ht="14.25">
      <c r="A297" s="485"/>
      <c r="B297" s="486" t="s">
        <v>2744</v>
      </c>
      <c r="D297" s="1303" t="s">
        <v>1127</v>
      </c>
      <c r="E297" s="1303"/>
      <c r="F297" s="1303"/>
      <c r="I297" s="491"/>
    </row>
    <row r="298" spans="1:9" ht="14.25">
      <c r="A298" s="485"/>
      <c r="B298" s="485"/>
      <c r="D298" s="1303"/>
      <c r="E298" s="1303"/>
      <c r="F298" s="1303"/>
      <c r="I298" s="491"/>
    </row>
    <row r="299" spans="1:9">
      <c r="A299" s="491"/>
      <c r="B299" s="491"/>
      <c r="E299" s="447"/>
      <c r="F299" s="447"/>
      <c r="I299" s="491"/>
    </row>
    <row r="300" spans="1:9">
      <c r="A300" s="1310" t="s">
        <v>1049</v>
      </c>
      <c r="B300" s="1310"/>
      <c r="C300" s="1310"/>
      <c r="D300" s="1310"/>
      <c r="E300" s="1310"/>
      <c r="F300" s="1310"/>
      <c r="G300" s="1310"/>
      <c r="H300" s="1029"/>
      <c r="I300" s="1155"/>
    </row>
    <row r="301" spans="1:9">
      <c r="A301" s="491"/>
      <c r="B301" s="491"/>
      <c r="D301" s="447"/>
      <c r="E301" s="447"/>
      <c r="F301" s="447"/>
      <c r="I301" s="491"/>
    </row>
    <row r="302" spans="1:9">
      <c r="C302" s="491"/>
      <c r="D302" s="1311" t="s">
        <v>682</v>
      </c>
      <c r="E302" s="1311"/>
      <c r="F302" s="1311"/>
      <c r="I302" s="491"/>
    </row>
    <row r="303" spans="1:9">
      <c r="C303" s="491"/>
      <c r="D303" s="1301" t="s">
        <v>1128</v>
      </c>
      <c r="E303" s="1301"/>
      <c r="F303" s="1301"/>
      <c r="I303" s="491"/>
    </row>
    <row r="304" spans="1:9">
      <c r="C304" s="491"/>
      <c r="D304" s="494"/>
      <c r="I304" s="491"/>
    </row>
    <row r="305" spans="1:9">
      <c r="B305" s="486" t="s">
        <v>2744</v>
      </c>
      <c r="D305" s="1301" t="s">
        <v>1129</v>
      </c>
      <c r="E305" s="1301"/>
      <c r="F305" s="1301"/>
      <c r="I305" s="491"/>
    </row>
    <row r="306" spans="1:9" ht="14.25">
      <c r="A306" s="485"/>
      <c r="B306" s="485"/>
      <c r="D306" s="495"/>
      <c r="E306" s="496"/>
      <c r="F306" s="496"/>
      <c r="I306" s="491"/>
    </row>
    <row r="307" spans="1:9" ht="13.7" customHeight="1">
      <c r="B307" s="486" t="s">
        <v>2744</v>
      </c>
      <c r="D307" s="1312" t="s">
        <v>1219</v>
      </c>
      <c r="E307" s="1312"/>
      <c r="F307" s="1312"/>
      <c r="I307" s="491"/>
    </row>
    <row r="308" spans="1:9" ht="14.25">
      <c r="A308" s="485"/>
      <c r="B308" s="485"/>
      <c r="D308" s="1312"/>
      <c r="E308" s="1312"/>
      <c r="F308" s="1312"/>
      <c r="I308" s="491"/>
    </row>
    <row r="309" spans="1:9" ht="14.25">
      <c r="A309" s="485"/>
      <c r="B309" s="485"/>
      <c r="D309" s="1312"/>
      <c r="E309" s="1312"/>
      <c r="F309" s="1312"/>
      <c r="I309" s="491"/>
    </row>
    <row r="310" spans="1:9" ht="14.25">
      <c r="A310" s="485"/>
      <c r="B310" s="485"/>
      <c r="D310" s="1312"/>
      <c r="E310" s="1312"/>
      <c r="F310" s="1312"/>
      <c r="I310" s="491"/>
    </row>
    <row r="311" spans="1:9" ht="14.25">
      <c r="A311" s="485"/>
      <c r="B311" s="485"/>
      <c r="D311" s="1312"/>
      <c r="E311" s="1312"/>
      <c r="F311" s="1312"/>
      <c r="I311" s="491"/>
    </row>
    <row r="312" spans="1:9" ht="14.25">
      <c r="A312" s="485"/>
      <c r="B312" s="485"/>
      <c r="D312" s="495"/>
      <c r="E312" s="496"/>
      <c r="F312" s="496"/>
      <c r="I312" s="491"/>
    </row>
    <row r="313" spans="1:9" ht="13.7" customHeight="1">
      <c r="B313" s="486" t="s">
        <v>2744</v>
      </c>
      <c r="D313" s="1312" t="s">
        <v>1130</v>
      </c>
      <c r="E313" s="1312"/>
      <c r="F313" s="1312"/>
      <c r="I313" s="491"/>
    </row>
    <row r="314" spans="1:9">
      <c r="D314" s="1312"/>
      <c r="E314" s="1312"/>
      <c r="F314" s="1312"/>
      <c r="I314" s="491"/>
    </row>
    <row r="315" spans="1:9" ht="14.25">
      <c r="A315" s="485"/>
      <c r="B315" s="485"/>
      <c r="D315" s="495"/>
      <c r="E315" s="496"/>
      <c r="F315" s="496"/>
      <c r="I315" s="491"/>
    </row>
    <row r="316" spans="1:9">
      <c r="B316" s="486" t="s">
        <v>2744</v>
      </c>
      <c r="D316" s="1301" t="s">
        <v>1131</v>
      </c>
      <c r="E316" s="1301"/>
      <c r="F316" s="1301"/>
      <c r="I316" s="491"/>
    </row>
    <row r="317" spans="1:9">
      <c r="E317" s="447"/>
      <c r="F317" s="447"/>
      <c r="I317" s="491"/>
    </row>
    <row r="318" spans="1:9" ht="14.25">
      <c r="A318" s="485"/>
      <c r="B318" s="486" t="s">
        <v>2744</v>
      </c>
      <c r="D318" s="1303" t="s">
        <v>2248</v>
      </c>
      <c r="E318" s="1303"/>
      <c r="F318" s="1303"/>
      <c r="I318" s="491"/>
    </row>
    <row r="319" spans="1:9" ht="14.25">
      <c r="A319" s="485"/>
      <c r="B319" s="485"/>
      <c r="D319" s="1303"/>
      <c r="E319" s="1303"/>
      <c r="F319" s="1303"/>
      <c r="I319" s="491"/>
    </row>
    <row r="320" spans="1:9" ht="14.25">
      <c r="A320" s="485"/>
      <c r="B320" s="485"/>
      <c r="D320" s="1303"/>
      <c r="E320" s="1303"/>
      <c r="F320" s="1303"/>
      <c r="I320" s="491"/>
    </row>
    <row r="321" spans="1:9" ht="14.25">
      <c r="A321" s="485"/>
      <c r="B321" s="485"/>
      <c r="D321" s="1303"/>
      <c r="E321" s="1303"/>
      <c r="F321" s="1303"/>
      <c r="I321" s="491"/>
    </row>
    <row r="322" spans="1:9" ht="14.25">
      <c r="A322" s="485"/>
      <c r="B322" s="485"/>
      <c r="D322" s="1303"/>
      <c r="E322" s="1303"/>
      <c r="F322" s="1303"/>
      <c r="I322" s="491"/>
    </row>
    <row r="323" spans="1:9" ht="14.25">
      <c r="A323" s="485"/>
      <c r="B323" s="485"/>
      <c r="D323" s="1303"/>
      <c r="E323" s="1303"/>
      <c r="F323" s="1303"/>
      <c r="I323" s="491"/>
    </row>
    <row r="324" spans="1:9" ht="14.25">
      <c r="A324" s="485"/>
      <c r="B324" s="485"/>
      <c r="D324" s="1303"/>
      <c r="E324" s="1303"/>
      <c r="F324" s="1303"/>
      <c r="I324" s="491"/>
    </row>
    <row r="325" spans="1:9" ht="14.25">
      <c r="A325" s="485"/>
      <c r="B325" s="485"/>
      <c r="D325" s="1303"/>
      <c r="E325" s="1303"/>
      <c r="F325" s="1303"/>
      <c r="I325" s="491"/>
    </row>
    <row r="326" spans="1:9" ht="14.25">
      <c r="A326" s="485"/>
      <c r="B326" s="485"/>
      <c r="D326" s="1303"/>
      <c r="E326" s="1303"/>
      <c r="F326" s="1303"/>
      <c r="I326" s="491"/>
    </row>
    <row r="327" spans="1:9" ht="14.25">
      <c r="A327" s="485"/>
      <c r="B327" s="485"/>
      <c r="D327" s="1303"/>
      <c r="E327" s="1303"/>
      <c r="F327" s="1303"/>
      <c r="I327" s="491"/>
    </row>
    <row r="328" spans="1:9" ht="14.25">
      <c r="A328" s="485"/>
      <c r="B328" s="485"/>
      <c r="D328" s="1303"/>
      <c r="E328" s="1303"/>
      <c r="F328" s="1303"/>
      <c r="I328" s="491"/>
    </row>
    <row r="329" spans="1:9" ht="14.25">
      <c r="A329" s="485"/>
      <c r="B329" s="485"/>
      <c r="D329" s="1303"/>
      <c r="E329" s="1303"/>
      <c r="F329" s="1303"/>
      <c r="I329" s="491"/>
    </row>
    <row r="330" spans="1:9" ht="14.25">
      <c r="A330" s="485"/>
      <c r="B330" s="485"/>
      <c r="D330" s="1303"/>
      <c r="E330" s="1303"/>
      <c r="F330" s="1303"/>
      <c r="I330" s="491"/>
    </row>
    <row r="331" spans="1:9" ht="14.25">
      <c r="A331" s="485"/>
      <c r="B331" s="485"/>
      <c r="D331" s="1303"/>
      <c r="E331" s="1303"/>
      <c r="F331" s="1303"/>
      <c r="I331" s="491"/>
    </row>
    <row r="332" spans="1:9" ht="14.25">
      <c r="A332" s="485"/>
      <c r="B332" s="485"/>
      <c r="D332" s="1303"/>
      <c r="E332" s="1303"/>
      <c r="F332" s="1303"/>
      <c r="I332" s="491"/>
    </row>
    <row r="333" spans="1:9">
      <c r="D333" s="447"/>
      <c r="E333" s="447"/>
      <c r="F333" s="447"/>
      <c r="I333" s="491"/>
    </row>
    <row r="334" spans="1:9" ht="14.25">
      <c r="A334" s="485"/>
      <c r="B334" s="486" t="s">
        <v>2744</v>
      </c>
      <c r="D334" s="1303" t="s">
        <v>1132</v>
      </c>
      <c r="E334" s="1303"/>
      <c r="F334" s="1303"/>
      <c r="I334" s="491"/>
    </row>
    <row r="335" spans="1:9">
      <c r="D335" s="1303"/>
      <c r="E335" s="1303"/>
      <c r="F335" s="1303"/>
      <c r="I335" s="491"/>
    </row>
    <row r="336" spans="1:9">
      <c r="D336" s="1303"/>
      <c r="E336" s="1303"/>
      <c r="F336" s="1303"/>
      <c r="I336" s="491"/>
    </row>
    <row r="337" spans="1:9">
      <c r="D337" s="1303"/>
      <c r="E337" s="1303"/>
      <c r="F337" s="1303"/>
      <c r="I337" s="491"/>
    </row>
    <row r="338" spans="1:9">
      <c r="D338" s="1303"/>
      <c r="E338" s="1303"/>
      <c r="F338" s="1303"/>
      <c r="I338" s="491"/>
    </row>
    <row r="339" spans="1:9">
      <c r="D339" s="1303"/>
      <c r="E339" s="1303"/>
      <c r="F339" s="1303"/>
      <c r="I339" s="491"/>
    </row>
    <row r="340" spans="1:9">
      <c r="D340" s="1303"/>
      <c r="E340" s="1303"/>
      <c r="F340" s="1303"/>
      <c r="I340" s="491"/>
    </row>
    <row r="341" spans="1:9">
      <c r="D341" s="1303"/>
      <c r="E341" s="1303"/>
      <c r="F341" s="1303"/>
      <c r="I341" s="491"/>
    </row>
    <row r="342" spans="1:9">
      <c r="D342" s="1303"/>
      <c r="E342" s="1303"/>
      <c r="F342" s="1303"/>
      <c r="I342" s="491"/>
    </row>
    <row r="343" spans="1:9">
      <c r="D343" s="447"/>
      <c r="E343" s="447"/>
      <c r="F343" s="447"/>
      <c r="I343" s="491"/>
    </row>
    <row r="344" spans="1:9" ht="14.25" customHeight="1">
      <c r="A344" s="485"/>
      <c r="B344" s="486" t="s">
        <v>2744</v>
      </c>
      <c r="D344" s="1303" t="s">
        <v>1903</v>
      </c>
      <c r="E344" s="1303"/>
      <c r="F344" s="1303"/>
      <c r="I344" s="491"/>
    </row>
    <row r="345" spans="1:9">
      <c r="D345" s="1303"/>
      <c r="E345" s="1303"/>
      <c r="F345" s="1303"/>
      <c r="I345" s="491"/>
    </row>
    <row r="346" spans="1:9">
      <c r="D346" s="1303"/>
      <c r="E346" s="1303"/>
      <c r="F346" s="1303"/>
      <c r="I346" s="491"/>
    </row>
    <row r="347" spans="1:9">
      <c r="D347" s="1303"/>
      <c r="E347" s="1303"/>
      <c r="F347" s="1303"/>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31" t="s">
        <v>979</v>
      </c>
      <c r="E351" s="1331"/>
      <c r="F351" s="1331"/>
      <c r="G351" s="1028"/>
      <c r="H351" s="1028"/>
      <c r="I351" s="1158"/>
    </row>
    <row r="352" spans="1:9" ht="13.5" thickTop="1">
      <c r="D352" s="1330" t="s">
        <v>2249</v>
      </c>
      <c r="E352" s="1330"/>
      <c r="F352" s="1330"/>
      <c r="I352" s="491"/>
    </row>
    <row r="353" spans="1:9">
      <c r="D353" s="447"/>
      <c r="E353" s="447"/>
      <c r="F353" s="447"/>
      <c r="I353" s="491"/>
    </row>
    <row r="354" spans="1:9">
      <c r="A354" s="477"/>
      <c r="B354" s="477"/>
      <c r="C354" s="477"/>
      <c r="D354" s="448"/>
      <c r="E354" s="448"/>
      <c r="F354" s="447"/>
      <c r="I354" s="491"/>
    </row>
    <row r="355" spans="1:9" ht="14.25">
      <c r="A355" s="485"/>
      <c r="B355" s="486" t="s">
        <v>2744</v>
      </c>
      <c r="C355" s="488"/>
      <c r="D355" s="1301" t="s">
        <v>1901</v>
      </c>
      <c r="E355" s="1301"/>
      <c r="F355" s="1301"/>
      <c r="I355" s="491"/>
    </row>
    <row r="356" spans="1:9" ht="12.75" customHeight="1">
      <c r="D356" s="1038"/>
      <c r="E356" s="96" t="s">
        <v>1900</v>
      </c>
      <c r="F356" s="1038"/>
      <c r="I356" s="491"/>
    </row>
    <row r="357" spans="1:9">
      <c r="D357" s="1303" t="s">
        <v>1239</v>
      </c>
      <c r="E357" s="1303"/>
      <c r="F357" s="1303"/>
      <c r="I357" s="491"/>
    </row>
    <row r="358" spans="1:9">
      <c r="D358" s="1303"/>
      <c r="E358" s="1303"/>
      <c r="F358" s="1303"/>
      <c r="I358" s="491"/>
    </row>
    <row r="359" spans="1:9">
      <c r="D359" s="1303"/>
      <c r="E359" s="1303"/>
      <c r="F359" s="1303"/>
      <c r="I359" s="491"/>
    </row>
    <row r="360" spans="1:9" ht="14.25">
      <c r="A360" s="485"/>
      <c r="B360" s="486" t="s">
        <v>2744</v>
      </c>
      <c r="C360" s="477"/>
      <c r="D360" s="1320" t="s">
        <v>2058</v>
      </c>
      <c r="E360" s="1320"/>
      <c r="F360" s="1320"/>
      <c r="I360" s="481"/>
    </row>
    <row r="361" spans="1:9">
      <c r="A361" s="477"/>
      <c r="B361" s="477"/>
      <c r="C361" s="477"/>
      <c r="D361" s="448"/>
      <c r="E361" s="448"/>
      <c r="F361" s="447"/>
      <c r="I361" s="491"/>
    </row>
    <row r="362" spans="1:9">
      <c r="A362" s="477"/>
      <c r="B362" s="486" t="s">
        <v>2744</v>
      </c>
      <c r="C362" s="477"/>
      <c r="D362" s="1274" t="s">
        <v>2059</v>
      </c>
      <c r="E362" s="1274"/>
      <c r="F362" s="1274"/>
      <c r="I362" s="491"/>
    </row>
    <row r="363" spans="1:9">
      <c r="A363" s="477"/>
      <c r="B363" s="477"/>
      <c r="C363" s="477"/>
      <c r="D363" s="1274"/>
      <c r="E363" s="1274"/>
      <c r="F363" s="1274"/>
      <c r="I363" s="491"/>
    </row>
    <row r="364" spans="1:9">
      <c r="A364" s="477"/>
      <c r="B364" s="477"/>
      <c r="C364" s="477"/>
      <c r="D364" s="1274"/>
      <c r="E364" s="1274"/>
      <c r="F364" s="1274"/>
      <c r="I364" s="491"/>
    </row>
    <row r="365" spans="1:9">
      <c r="A365" s="477"/>
      <c r="B365" s="477"/>
      <c r="C365" s="477"/>
      <c r="D365" s="1274"/>
      <c r="E365" s="1274"/>
      <c r="F365" s="1274"/>
      <c r="I365" s="491"/>
    </row>
    <row r="366" spans="1:9">
      <c r="A366" s="477"/>
      <c r="B366" s="477"/>
      <c r="C366" s="477"/>
      <c r="D366" s="1274"/>
      <c r="E366" s="1274"/>
      <c r="F366" s="1274"/>
      <c r="I366" s="491"/>
    </row>
    <row r="367" spans="1:9">
      <c r="A367" s="477"/>
      <c r="B367" s="477"/>
      <c r="C367" s="477"/>
      <c r="D367" s="1274"/>
      <c r="E367" s="1274"/>
      <c r="F367" s="1274"/>
      <c r="I367" s="491"/>
    </row>
    <row r="368" spans="1:9">
      <c r="A368" s="477"/>
      <c r="B368" s="477"/>
      <c r="C368" s="477"/>
      <c r="D368" s="1274"/>
      <c r="E368" s="1274"/>
      <c r="F368" s="1274"/>
      <c r="I368" s="491"/>
    </row>
    <row r="369" spans="1:9">
      <c r="A369" s="477"/>
      <c r="B369" s="477"/>
      <c r="C369" s="477"/>
      <c r="D369" s="1274"/>
      <c r="E369" s="1274"/>
      <c r="F369" s="1274"/>
      <c r="I369" s="491"/>
    </row>
    <row r="370" spans="1:9">
      <c r="A370" s="477"/>
      <c r="B370" s="477"/>
      <c r="C370" s="477"/>
      <c r="D370" s="1274"/>
      <c r="E370" s="1274"/>
      <c r="F370" s="1274"/>
      <c r="I370" s="491"/>
    </row>
    <row r="371" spans="1:9">
      <c r="A371" s="477"/>
      <c r="B371" s="477"/>
      <c r="C371" s="477"/>
      <c r="D371" s="1274"/>
      <c r="E371" s="1274"/>
      <c r="F371" s="1274"/>
      <c r="I371" s="491"/>
    </row>
    <row r="372" spans="1:9">
      <c r="A372" s="477"/>
      <c r="B372" s="477"/>
      <c r="C372" s="477"/>
      <c r="D372" s="1274"/>
      <c r="E372" s="1274"/>
      <c r="F372" s="1274"/>
      <c r="I372" s="491"/>
    </row>
    <row r="373" spans="1:9">
      <c r="A373" s="477"/>
      <c r="B373" s="477"/>
      <c r="C373" s="477"/>
      <c r="D373" s="1274"/>
      <c r="E373" s="1274"/>
      <c r="F373" s="1274"/>
      <c r="I373" s="491"/>
    </row>
    <row r="374" spans="1:9">
      <c r="A374" s="477"/>
      <c r="B374" s="477"/>
      <c r="C374" s="477"/>
      <c r="D374" s="452"/>
      <c r="E374" s="452"/>
      <c r="F374" s="452"/>
      <c r="I374" s="491"/>
    </row>
    <row r="375" spans="1:9" ht="12.6" customHeight="1">
      <c r="A375" s="477"/>
      <c r="B375" s="486" t="s">
        <v>2744</v>
      </c>
      <c r="C375" s="477"/>
      <c r="D375" s="1282" t="s">
        <v>1221</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2744</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2744</v>
      </c>
      <c r="C387" s="477"/>
      <c r="D387" s="1274" t="s">
        <v>1133</v>
      </c>
      <c r="E387" s="1274"/>
      <c r="F387" s="1274"/>
      <c r="I387" s="491"/>
    </row>
    <row r="388" spans="1:9">
      <c r="A388" s="477"/>
      <c r="B388" s="477"/>
      <c r="C388" s="477"/>
      <c r="D388" s="1274"/>
      <c r="E388" s="1274"/>
      <c r="F388" s="1274"/>
      <c r="I388" s="491"/>
    </row>
    <row r="389" spans="1:9">
      <c r="A389" s="477"/>
      <c r="B389" s="477"/>
      <c r="C389" s="477"/>
      <c r="D389" s="1274"/>
      <c r="E389" s="1274"/>
      <c r="F389" s="1274"/>
      <c r="I389" s="491"/>
    </row>
    <row r="390" spans="1:9">
      <c r="A390" s="477"/>
      <c r="B390" s="477"/>
      <c r="C390" s="477"/>
      <c r="D390" s="1274"/>
      <c r="E390" s="1274"/>
      <c r="F390" s="1274"/>
      <c r="I390" s="491"/>
    </row>
    <row r="391" spans="1:9">
      <c r="A391" s="477"/>
      <c r="B391" s="477"/>
      <c r="C391" s="477"/>
      <c r="D391" s="448"/>
      <c r="E391" s="448"/>
      <c r="F391" s="447"/>
      <c r="I391" s="491"/>
    </row>
    <row r="392" spans="1:9">
      <c r="A392" s="477"/>
      <c r="B392" s="477"/>
      <c r="C392" s="477"/>
      <c r="D392" s="1274" t="s">
        <v>1134</v>
      </c>
      <c r="E392" s="1274"/>
      <c r="F392" s="1274"/>
      <c r="I392" s="491"/>
    </row>
    <row r="393" spans="1:9">
      <c r="A393" s="477"/>
      <c r="B393" s="477"/>
      <c r="C393" s="477"/>
      <c r="D393" s="1274"/>
      <c r="E393" s="1274"/>
      <c r="F393" s="1274"/>
      <c r="I393" s="491"/>
    </row>
    <row r="394" spans="1:9">
      <c r="A394" s="477"/>
      <c r="B394" s="477"/>
      <c r="C394" s="477"/>
      <c r="D394" s="1274"/>
      <c r="E394" s="1274"/>
      <c r="F394" s="1274"/>
      <c r="I394" s="491"/>
    </row>
    <row r="395" spans="1:9">
      <c r="A395" s="477"/>
      <c r="B395" s="477"/>
      <c r="C395" s="477"/>
      <c r="D395" s="1274"/>
      <c r="E395" s="1274"/>
      <c r="F395" s="1274"/>
      <c r="I395" s="491"/>
    </row>
    <row r="396" spans="1:9" ht="18" customHeight="1">
      <c r="A396" s="477"/>
      <c r="B396" s="477"/>
      <c r="C396" s="477"/>
      <c r="D396" s="1274"/>
      <c r="E396" s="1274"/>
      <c r="F396" s="1274"/>
      <c r="I396" s="491"/>
    </row>
    <row r="397" spans="1:9">
      <c r="A397" s="477"/>
      <c r="B397" s="477"/>
      <c r="C397" s="477"/>
      <c r="D397" s="1274"/>
      <c r="E397" s="1274"/>
      <c r="F397" s="1274"/>
      <c r="I397" s="491"/>
    </row>
    <row r="398" spans="1:9">
      <c r="A398" s="477"/>
      <c r="B398" s="477"/>
      <c r="C398" s="477"/>
      <c r="D398" s="1274"/>
      <c r="E398" s="1274"/>
      <c r="F398" s="1274"/>
      <c r="I398" s="491"/>
    </row>
    <row r="399" spans="1:9">
      <c r="A399" s="477"/>
      <c r="B399" s="477"/>
      <c r="C399" s="477"/>
      <c r="D399" s="1274"/>
      <c r="E399" s="1274"/>
      <c r="F399" s="1274"/>
      <c r="I399" s="491"/>
    </row>
    <row r="400" spans="1:9" ht="8.25" customHeight="1">
      <c r="A400" s="477"/>
      <c r="B400" s="477"/>
      <c r="C400" s="477"/>
      <c r="D400" s="1274"/>
      <c r="E400" s="1274"/>
      <c r="F400" s="1274"/>
      <c r="I400" s="491"/>
    </row>
    <row r="401" spans="1:9" ht="13.7" customHeight="1">
      <c r="A401" s="477"/>
      <c r="B401" s="477"/>
      <c r="C401" s="477"/>
      <c r="D401" s="1274" t="s">
        <v>1135</v>
      </c>
      <c r="E401" s="1274"/>
      <c r="F401" s="1274"/>
      <c r="I401" s="491"/>
    </row>
    <row r="402" spans="1:9">
      <c r="A402" s="477"/>
      <c r="B402" s="477"/>
      <c r="C402" s="477"/>
      <c r="D402" s="1274"/>
      <c r="E402" s="1274"/>
      <c r="F402" s="1274"/>
      <c r="I402" s="491"/>
    </row>
    <row r="403" spans="1:9">
      <c r="A403" s="477"/>
      <c r="B403" s="477"/>
      <c r="C403" s="477"/>
      <c r="D403" s="1274"/>
      <c r="E403" s="1274"/>
      <c r="F403" s="1274"/>
      <c r="I403" s="491"/>
    </row>
    <row r="404" spans="1:9">
      <c r="A404" s="477"/>
      <c r="B404" s="477"/>
      <c r="C404" s="477"/>
      <c r="D404" s="1274"/>
      <c r="E404" s="1274"/>
      <c r="F404" s="1274"/>
      <c r="I404" s="491"/>
    </row>
    <row r="405" spans="1:9">
      <c r="A405" s="477"/>
      <c r="B405" s="477"/>
      <c r="C405" s="477"/>
      <c r="D405" s="1274"/>
      <c r="E405" s="1274"/>
      <c r="F405" s="1274"/>
      <c r="I405" s="491"/>
    </row>
    <row r="406" spans="1:9">
      <c r="A406" s="477"/>
      <c r="B406" s="477"/>
      <c r="C406" s="477"/>
      <c r="D406" s="1274"/>
      <c r="E406" s="1274"/>
      <c r="F406" s="1274"/>
      <c r="I406" s="491"/>
    </row>
    <row r="407" spans="1:9">
      <c r="A407" s="477"/>
      <c r="B407" s="477"/>
      <c r="C407" s="477"/>
      <c r="D407" s="1274"/>
      <c r="E407" s="1274"/>
      <c r="F407" s="1274"/>
      <c r="I407" s="491"/>
    </row>
    <row r="408" spans="1:9">
      <c r="A408" s="477"/>
      <c r="B408" s="477"/>
      <c r="C408" s="477"/>
      <c r="D408" s="1274"/>
      <c r="E408" s="1274"/>
      <c r="F408" s="1274"/>
      <c r="I408" s="491"/>
    </row>
    <row r="409" spans="1:9">
      <c r="A409" s="477"/>
      <c r="B409" s="477"/>
      <c r="C409" s="477"/>
      <c r="D409" s="1274"/>
      <c r="E409" s="1274"/>
      <c r="F409" s="1274"/>
      <c r="I409" s="491"/>
    </row>
    <row r="410" spans="1:9">
      <c r="A410" s="477"/>
      <c r="B410" s="477"/>
      <c r="C410" s="477"/>
      <c r="D410" s="1274"/>
      <c r="E410" s="1274"/>
      <c r="F410" s="1274"/>
      <c r="I410" s="491"/>
    </row>
    <row r="411" spans="1:9">
      <c r="A411" s="477"/>
      <c r="B411" s="477"/>
      <c r="C411" s="477"/>
      <c r="D411" s="1274"/>
      <c r="E411" s="1274"/>
      <c r="F411" s="1274"/>
      <c r="I411" s="491"/>
    </row>
    <row r="412" spans="1:9">
      <c r="A412" s="477"/>
      <c r="B412" s="477"/>
      <c r="C412" s="477"/>
      <c r="D412" s="1274"/>
      <c r="E412" s="1274"/>
      <c r="F412" s="1274"/>
      <c r="I412" s="491"/>
    </row>
    <row r="413" spans="1:9">
      <c r="A413" s="477"/>
      <c r="B413" s="477"/>
      <c r="C413" s="497"/>
      <c r="D413" s="1274"/>
      <c r="E413" s="1274"/>
      <c r="F413" s="1274"/>
      <c r="I413" s="491"/>
    </row>
    <row r="414" spans="1:9">
      <c r="A414" s="477"/>
      <c r="B414" s="477"/>
      <c r="C414" s="497"/>
      <c r="D414" s="1274"/>
      <c r="E414" s="1274"/>
      <c r="F414" s="1274"/>
      <c r="I414" s="491"/>
    </row>
    <row r="415" spans="1:9">
      <c r="A415" s="477"/>
      <c r="B415" s="477"/>
      <c r="C415" s="477"/>
      <c r="D415" s="1274"/>
      <c r="E415" s="1274"/>
      <c r="F415" s="1274"/>
      <c r="I415" s="491"/>
    </row>
    <row r="416" spans="1:9">
      <c r="A416" s="477"/>
      <c r="B416" s="477"/>
      <c r="C416" s="497"/>
      <c r="D416" s="1274"/>
      <c r="E416" s="1274"/>
      <c r="F416" s="1274"/>
      <c r="I416" s="491"/>
    </row>
    <row r="417" spans="1:9">
      <c r="A417" s="477"/>
      <c r="B417" s="477"/>
      <c r="C417" s="497"/>
      <c r="D417" s="1274"/>
      <c r="E417" s="1274"/>
      <c r="F417" s="1274"/>
      <c r="I417" s="491"/>
    </row>
    <row r="418" spans="1:9">
      <c r="A418" s="477"/>
      <c r="B418" s="477"/>
      <c r="C418" s="497"/>
      <c r="D418" s="1274"/>
      <c r="E418" s="1274"/>
      <c r="F418" s="1274"/>
      <c r="I418" s="491"/>
    </row>
    <row r="419" spans="1:9">
      <c r="A419" s="477"/>
      <c r="B419" s="477"/>
      <c r="C419" s="477"/>
      <c r="D419" s="448"/>
      <c r="E419" s="448"/>
      <c r="F419" s="447"/>
      <c r="I419" s="491"/>
    </row>
    <row r="420" spans="1:9">
      <c r="A420" s="477"/>
      <c r="B420" s="486" t="s">
        <v>2744</v>
      </c>
      <c r="C420" s="477"/>
      <c r="D420" s="1274" t="s">
        <v>1136</v>
      </c>
      <c r="E420" s="1274"/>
      <c r="F420" s="1274"/>
      <c r="I420" s="491"/>
    </row>
    <row r="421" spans="1:9">
      <c r="A421" s="477"/>
      <c r="B421" s="477"/>
      <c r="C421" s="477"/>
      <c r="D421" s="1274"/>
      <c r="E421" s="1274"/>
      <c r="F421" s="1274"/>
      <c r="I421" s="491"/>
    </row>
    <row r="422" spans="1:9">
      <c r="A422" s="477"/>
      <c r="B422" s="477"/>
      <c r="C422" s="477"/>
      <c r="D422" s="452"/>
      <c r="E422" s="452"/>
      <c r="F422" s="452"/>
      <c r="I422" s="491"/>
    </row>
    <row r="423" spans="1:9" ht="14.45" customHeight="1">
      <c r="A423" s="485"/>
      <c r="B423" s="486" t="s">
        <v>306</v>
      </c>
      <c r="D423" s="1274" t="s">
        <v>1882</v>
      </c>
      <c r="E423" s="1274"/>
      <c r="F423" s="1274"/>
      <c r="I423" s="491"/>
    </row>
    <row r="424" spans="1:9" ht="14.45" customHeight="1">
      <c r="A424" s="485"/>
      <c r="D424" s="1274"/>
      <c r="E424" s="1274"/>
      <c r="F424" s="1274"/>
      <c r="I424" s="491"/>
    </row>
    <row r="425" spans="1:9" ht="14.45" customHeight="1">
      <c r="A425" s="485"/>
      <c r="D425" s="1274"/>
      <c r="E425" s="1274"/>
      <c r="F425" s="1274"/>
      <c r="I425" s="491"/>
    </row>
    <row r="426" spans="1:9" ht="14.45" customHeight="1">
      <c r="A426" s="485"/>
      <c r="D426" s="1274"/>
      <c r="E426" s="1274"/>
      <c r="F426" s="1274"/>
      <c r="I426" s="491"/>
    </row>
    <row r="427" spans="1:9" ht="14.45" customHeight="1">
      <c r="A427" s="485"/>
      <c r="D427" s="1274"/>
      <c r="E427" s="1274"/>
      <c r="F427" s="1274"/>
      <c r="I427" s="491"/>
    </row>
    <row r="428" spans="1:9" ht="14.45" customHeight="1">
      <c r="A428" s="485"/>
      <c r="D428" s="386"/>
      <c r="E428" s="386"/>
      <c r="F428" s="386"/>
      <c r="I428" s="491"/>
    </row>
    <row r="429" spans="1:9" ht="13.7" customHeight="1">
      <c r="A429" s="485"/>
      <c r="B429" s="486" t="s">
        <v>2744</v>
      </c>
      <c r="C429" s="477"/>
      <c r="D429" s="1274" t="s">
        <v>1240</v>
      </c>
      <c r="E429" s="1274"/>
      <c r="F429" s="1274"/>
      <c r="I429" s="491"/>
    </row>
    <row r="430" spans="1:9" ht="14.25">
      <c r="A430" s="498"/>
      <c r="B430" s="498"/>
      <c r="C430" s="477"/>
      <c r="D430" s="1274"/>
      <c r="E430" s="1274"/>
      <c r="F430" s="1274"/>
      <c r="I430" s="491"/>
    </row>
    <row r="431" spans="1:9" ht="14.25">
      <c r="A431" s="498"/>
      <c r="B431" s="498"/>
      <c r="C431" s="477"/>
      <c r="D431" s="1274"/>
      <c r="E431" s="1274"/>
      <c r="F431" s="1274"/>
      <c r="I431" s="491"/>
    </row>
    <row r="432" spans="1:9" ht="14.25">
      <c r="A432" s="498"/>
      <c r="B432" s="498"/>
      <c r="C432" s="477"/>
      <c r="D432" s="1274"/>
      <c r="E432" s="1274"/>
      <c r="F432" s="1274"/>
      <c r="I432" s="491"/>
    </row>
    <row r="433" spans="1:9" ht="15.75" customHeight="1">
      <c r="A433" s="498"/>
      <c r="B433" s="498"/>
      <c r="C433" s="477"/>
      <c r="D433" s="1332" t="s">
        <v>2075</v>
      </c>
      <c r="E433" s="1274"/>
      <c r="F433" s="1274"/>
      <c r="I433" s="491"/>
    </row>
    <row r="434" spans="1:9">
      <c r="D434" s="447"/>
      <c r="E434" s="447"/>
      <c r="F434" s="447"/>
      <c r="I434" s="491"/>
    </row>
    <row r="435" spans="1:9" ht="14.25">
      <c r="A435" s="485"/>
      <c r="B435" s="486" t="s">
        <v>2744</v>
      </c>
      <c r="C435" s="488"/>
      <c r="D435" s="1303" t="s">
        <v>2060</v>
      </c>
      <c r="E435" s="1303"/>
      <c r="F435" s="1303"/>
      <c r="I435" s="491"/>
    </row>
    <row r="436" spans="1:9" ht="14.25">
      <c r="A436" s="485"/>
      <c r="B436" s="485"/>
      <c r="D436" s="1303"/>
      <c r="E436" s="1303"/>
      <c r="F436" s="1303"/>
      <c r="I436" s="491"/>
    </row>
    <row r="437" spans="1:9">
      <c r="D437" s="1303"/>
      <c r="E437" s="1303"/>
      <c r="F437" s="1303"/>
      <c r="I437" s="491"/>
    </row>
    <row r="438" spans="1:9">
      <c r="D438" s="1303"/>
      <c r="E438" s="1303"/>
      <c r="F438" s="1303"/>
      <c r="I438" s="491"/>
    </row>
    <row r="439" spans="1:9">
      <c r="D439" s="1303"/>
      <c r="E439" s="1303"/>
      <c r="F439" s="1303"/>
      <c r="I439" s="491"/>
    </row>
    <row r="440" spans="1:9">
      <c r="D440" s="1303"/>
      <c r="E440" s="1303"/>
      <c r="F440" s="1303"/>
      <c r="I440" s="491"/>
    </row>
    <row r="441" spans="1:9">
      <c r="D441" s="1303"/>
      <c r="E441" s="1303"/>
      <c r="F441" s="1303"/>
      <c r="I441" s="491"/>
    </row>
    <row r="442" spans="1:9">
      <c r="D442" s="1303"/>
      <c r="E442" s="1303"/>
      <c r="F442" s="1303"/>
      <c r="I442" s="491"/>
    </row>
    <row r="443" spans="1:9">
      <c r="D443" s="1303"/>
      <c r="E443" s="1303"/>
      <c r="F443" s="1303"/>
      <c r="I443" s="491"/>
    </row>
    <row r="444" spans="1:9">
      <c r="D444" s="1303"/>
      <c r="E444" s="1303"/>
      <c r="F444" s="1303"/>
      <c r="I444" s="491"/>
    </row>
    <row r="445" spans="1:9">
      <c r="D445" s="1303"/>
      <c r="E445" s="1303"/>
      <c r="F445" s="1303"/>
      <c r="I445" s="491"/>
    </row>
    <row r="446" spans="1:9">
      <c r="D446" s="1303"/>
      <c r="E446" s="1303"/>
      <c r="F446" s="1303"/>
      <c r="I446" s="491"/>
    </row>
    <row r="447" spans="1:9">
      <c r="D447" s="1303"/>
      <c r="E447" s="1303"/>
      <c r="F447" s="1303"/>
      <c r="I447" s="491"/>
    </row>
    <row r="448" spans="1:9">
      <c r="A448" s="403"/>
      <c r="B448" s="403"/>
      <c r="C448" s="403"/>
      <c r="D448" s="1303"/>
      <c r="E448" s="1303"/>
      <c r="F448" s="1303"/>
      <c r="I448" s="491"/>
    </row>
    <row r="449" spans="1:9">
      <c r="A449" s="403"/>
      <c r="B449" s="403"/>
      <c r="C449" s="403"/>
      <c r="D449" s="1303"/>
      <c r="E449" s="1303"/>
      <c r="F449" s="1303"/>
      <c r="I449" s="491"/>
    </row>
    <row r="450" spans="1:9">
      <c r="A450" s="403"/>
      <c r="B450" s="403"/>
      <c r="C450" s="403"/>
      <c r="D450" s="1303"/>
      <c r="E450" s="1303"/>
      <c r="F450" s="1303"/>
      <c r="I450" s="491"/>
    </row>
    <row r="451" spans="1:9">
      <c r="A451" s="403"/>
      <c r="B451" s="403"/>
      <c r="C451" s="403"/>
      <c r="D451" s="1303"/>
      <c r="E451" s="1303"/>
      <c r="F451" s="1303"/>
      <c r="I451" s="491"/>
    </row>
    <row r="452" spans="1:9">
      <c r="A452" s="403"/>
      <c r="B452" s="403"/>
      <c r="C452" s="403"/>
      <c r="D452" s="1303"/>
      <c r="E452" s="1303"/>
      <c r="F452" s="1303"/>
      <c r="I452" s="491"/>
    </row>
    <row r="453" spans="1:9">
      <c r="A453" s="403"/>
      <c r="B453" s="403"/>
      <c r="C453" s="403"/>
      <c r="D453" s="1303"/>
      <c r="E453" s="1303"/>
      <c r="F453" s="1303"/>
      <c r="I453" s="491"/>
    </row>
    <row r="454" spans="1:9">
      <c r="A454" s="403"/>
      <c r="B454" s="403"/>
      <c r="C454" s="403"/>
      <c r="D454" s="1303"/>
      <c r="E454" s="1303"/>
      <c r="F454" s="1303"/>
      <c r="I454" s="491"/>
    </row>
    <row r="455" spans="1:9">
      <c r="A455" s="403"/>
      <c r="B455" s="403"/>
      <c r="C455" s="403"/>
      <c r="D455" s="1303"/>
      <c r="E455" s="1303"/>
      <c r="F455" s="1303"/>
      <c r="I455" s="491"/>
    </row>
    <row r="456" spans="1:9">
      <c r="A456" s="403"/>
      <c r="B456" s="403"/>
      <c r="C456" s="403"/>
      <c r="D456" s="1303"/>
      <c r="E456" s="1303"/>
      <c r="F456" s="1303"/>
      <c r="I456" s="491"/>
    </row>
    <row r="457" spans="1:9">
      <c r="A457" s="403"/>
      <c r="B457" s="403"/>
      <c r="C457" s="403"/>
      <c r="D457" s="1303"/>
      <c r="E457" s="1303"/>
      <c r="F457" s="1303"/>
      <c r="I457" s="491"/>
    </row>
    <row r="458" spans="1:9">
      <c r="A458" s="403"/>
      <c r="B458" s="403"/>
      <c r="C458" s="403"/>
      <c r="D458" s="1303"/>
      <c r="E458" s="1303"/>
      <c r="F458" s="1303"/>
      <c r="I458" s="491"/>
    </row>
    <row r="459" spans="1:9">
      <c r="A459" s="403"/>
      <c r="B459" s="403"/>
      <c r="C459" s="403"/>
      <c r="D459" s="1303"/>
      <c r="E459" s="1303"/>
      <c r="F459" s="1303"/>
      <c r="I459" s="491"/>
    </row>
    <row r="460" spans="1:9">
      <c r="A460" s="403"/>
      <c r="B460" s="403"/>
      <c r="C460" s="403"/>
      <c r="D460" s="1303"/>
      <c r="E460" s="1303"/>
      <c r="F460" s="1303"/>
      <c r="I460" s="491"/>
    </row>
    <row r="461" spans="1:9">
      <c r="A461" s="403"/>
      <c r="B461" s="403"/>
      <c r="C461" s="403"/>
      <c r="D461" s="1303"/>
      <c r="E461" s="1303"/>
      <c r="F461" s="1303"/>
      <c r="I461" s="491"/>
    </row>
    <row r="462" spans="1:9">
      <c r="A462" s="403"/>
      <c r="B462" s="403"/>
      <c r="C462" s="403"/>
      <c r="D462" s="1303"/>
      <c r="E462" s="1303"/>
      <c r="F462" s="1303"/>
      <c r="I462" s="491"/>
    </row>
    <row r="463" spans="1:9">
      <c r="A463" s="403"/>
      <c r="B463" s="403"/>
      <c r="C463" s="403"/>
      <c r="D463" s="1303"/>
      <c r="E463" s="1303"/>
      <c r="F463" s="1303"/>
      <c r="I463" s="491"/>
    </row>
    <row r="464" spans="1:9">
      <c r="D464" s="1303"/>
      <c r="E464" s="1303"/>
      <c r="F464" s="1303"/>
      <c r="I464" s="491"/>
    </row>
    <row r="465" spans="1:9" ht="40.700000000000003" customHeight="1">
      <c r="D465" s="1303"/>
      <c r="E465" s="1303"/>
      <c r="F465" s="1303"/>
      <c r="I465" s="491"/>
    </row>
    <row r="466" spans="1:9">
      <c r="D466" s="447"/>
      <c r="E466" s="447"/>
      <c r="F466" s="447"/>
      <c r="I466" s="491"/>
    </row>
    <row r="467" spans="1:9" ht="14.25">
      <c r="A467" s="485"/>
      <c r="B467" s="486" t="s">
        <v>2744</v>
      </c>
      <c r="C467" s="488"/>
      <c r="D467" s="1303" t="s">
        <v>1137</v>
      </c>
      <c r="E467" s="1303"/>
      <c r="F467" s="1303"/>
      <c r="I467" s="491"/>
    </row>
    <row r="468" spans="1:9">
      <c r="D468" s="1303"/>
      <c r="E468" s="1303"/>
      <c r="F468" s="1303"/>
      <c r="I468" s="491"/>
    </row>
    <row r="469" spans="1:9">
      <c r="D469" s="1303"/>
      <c r="E469" s="1303"/>
      <c r="F469" s="1303"/>
      <c r="I469" s="491"/>
    </row>
    <row r="470" spans="1:9">
      <c r="D470" s="446"/>
      <c r="E470" s="446"/>
      <c r="F470" s="446"/>
      <c r="I470" s="491"/>
    </row>
    <row r="471" spans="1:9" ht="14.25">
      <c r="B471" s="486" t="s">
        <v>2744</v>
      </c>
      <c r="C471" s="485"/>
      <c r="D471" s="1303" t="s">
        <v>1197</v>
      </c>
      <c r="E471" s="1303"/>
      <c r="F471" s="1303"/>
      <c r="I471" s="491"/>
    </row>
    <row r="472" spans="1:9">
      <c r="D472" s="1303"/>
      <c r="E472" s="1303"/>
      <c r="F472" s="1303"/>
      <c r="I472" s="491"/>
    </row>
    <row r="473" spans="1:9">
      <c r="D473" s="447"/>
      <c r="E473" s="447"/>
      <c r="F473" s="447"/>
      <c r="I473" s="491"/>
    </row>
    <row r="474" spans="1:9" ht="14.25">
      <c r="B474" s="486" t="s">
        <v>2744</v>
      </c>
      <c r="C474" s="485"/>
      <c r="D474" s="1303" t="s">
        <v>1138</v>
      </c>
      <c r="E474" s="1303"/>
      <c r="F474" s="1303"/>
      <c r="I474" s="491"/>
    </row>
    <row r="475" spans="1:9">
      <c r="D475" s="1303"/>
      <c r="E475" s="1303"/>
      <c r="F475" s="1303"/>
      <c r="I475" s="491"/>
    </row>
    <row r="476" spans="1:9">
      <c r="D476" s="1303"/>
      <c r="E476" s="1303"/>
      <c r="F476" s="1303"/>
      <c r="I476" s="491"/>
    </row>
    <row r="477" spans="1:9">
      <c r="D477" s="1303"/>
      <c r="E477" s="1303"/>
      <c r="F477" s="1303"/>
      <c r="I477" s="491"/>
    </row>
    <row r="478" spans="1:9">
      <c r="B478" s="486" t="s">
        <v>2744</v>
      </c>
      <c r="D478" s="1303"/>
      <c r="E478" s="1303"/>
      <c r="F478" s="1303"/>
      <c r="I478" s="491"/>
    </row>
    <row r="479" spans="1:9">
      <c r="A479" s="403"/>
      <c r="B479" s="403"/>
      <c r="C479" s="403"/>
      <c r="D479" s="1303"/>
      <c r="E479" s="1303"/>
      <c r="F479" s="1303"/>
      <c r="I479" s="491"/>
    </row>
    <row r="480" spans="1:9">
      <c r="A480" s="403"/>
      <c r="C480" s="403"/>
      <c r="D480" s="1303"/>
      <c r="E480" s="1303"/>
      <c r="F480" s="1303"/>
      <c r="I480" s="491"/>
    </row>
    <row r="481" spans="1:9">
      <c r="A481" s="403"/>
      <c r="B481" s="486" t="s">
        <v>2744</v>
      </c>
      <c r="C481" s="403"/>
      <c r="D481" s="1303"/>
      <c r="E481" s="1303"/>
      <c r="F481" s="1303"/>
      <c r="I481" s="491"/>
    </row>
    <row r="482" spans="1:9">
      <c r="A482" s="403"/>
      <c r="B482" s="403"/>
      <c r="C482" s="403"/>
      <c r="D482" s="1303"/>
      <c r="E482" s="1303"/>
      <c r="F482" s="1303"/>
      <c r="I482" s="491"/>
    </row>
    <row r="483" spans="1:9">
      <c r="A483" s="403"/>
      <c r="C483" s="403"/>
      <c r="D483" s="1303"/>
      <c r="E483" s="1303"/>
      <c r="F483" s="1303"/>
      <c r="I483" s="491"/>
    </row>
    <row r="484" spans="1:9">
      <c r="A484" s="403"/>
      <c r="C484" s="403"/>
      <c r="D484" s="1303"/>
      <c r="E484" s="1303"/>
      <c r="F484" s="1303"/>
      <c r="I484" s="491"/>
    </row>
    <row r="485" spans="1:9">
      <c r="A485" s="403"/>
      <c r="C485" s="403"/>
      <c r="D485" s="1303"/>
      <c r="E485" s="1303"/>
      <c r="F485" s="1303"/>
      <c r="I485" s="491"/>
    </row>
    <row r="486" spans="1:9">
      <c r="A486" s="403"/>
      <c r="B486" s="486" t="s">
        <v>2744</v>
      </c>
      <c r="C486" s="403"/>
      <c r="D486" s="1303"/>
      <c r="E486" s="1303"/>
      <c r="F486" s="1303"/>
      <c r="I486" s="491"/>
    </row>
    <row r="487" spans="1:9">
      <c r="A487" s="403"/>
      <c r="C487" s="403"/>
      <c r="D487" s="1303"/>
      <c r="E487" s="1303"/>
      <c r="F487" s="1303"/>
      <c r="I487" s="491"/>
    </row>
    <row r="488" spans="1:9">
      <c r="A488" s="403"/>
      <c r="B488" s="486" t="s">
        <v>2744</v>
      </c>
      <c r="C488" s="403"/>
      <c r="D488" s="1303" t="s">
        <v>1139</v>
      </c>
      <c r="E488" s="1303"/>
      <c r="F488" s="1303"/>
      <c r="I488" s="491"/>
    </row>
    <row r="489" spans="1:9">
      <c r="A489" s="403"/>
      <c r="B489" s="403"/>
      <c r="C489" s="403"/>
      <c r="D489" s="1303"/>
      <c r="E489" s="1303"/>
      <c r="F489" s="1303"/>
      <c r="I489" s="491"/>
    </row>
    <row r="490" spans="1:9">
      <c r="A490" s="403"/>
      <c r="B490" s="403"/>
      <c r="C490" s="403"/>
      <c r="D490" s="1303"/>
      <c r="E490" s="1303"/>
      <c r="F490" s="1303"/>
      <c r="I490" s="491"/>
    </row>
    <row r="491" spans="1:9">
      <c r="A491" s="403"/>
      <c r="B491" s="403"/>
      <c r="C491" s="403"/>
      <c r="D491" s="1303"/>
      <c r="E491" s="1303"/>
      <c r="F491" s="1303"/>
      <c r="I491" s="491"/>
    </row>
    <row r="492" spans="1:9">
      <c r="D492" s="1303"/>
      <c r="E492" s="1303"/>
      <c r="F492" s="1303"/>
      <c r="I492" s="491"/>
    </row>
    <row r="493" spans="1:9">
      <c r="D493" s="447"/>
      <c r="E493" s="447"/>
      <c r="F493" s="447"/>
      <c r="I493" s="491"/>
    </row>
    <row r="494" spans="1:9">
      <c r="B494" s="486" t="s">
        <v>2744</v>
      </c>
      <c r="D494" s="1301" t="s">
        <v>1140</v>
      </c>
      <c r="E494" s="1301"/>
      <c r="F494" s="1301"/>
      <c r="I494" s="491"/>
    </row>
    <row r="495" spans="1:9">
      <c r="A495" s="447"/>
      <c r="B495" s="447"/>
      <c r="I495" s="491"/>
    </row>
    <row r="496" spans="1:9">
      <c r="A496" s="1310" t="s">
        <v>1050</v>
      </c>
      <c r="B496" s="1310"/>
      <c r="C496" s="1310"/>
      <c r="D496" s="1310"/>
      <c r="E496" s="1310"/>
      <c r="F496" s="1310"/>
      <c r="G496" s="1310"/>
      <c r="H496" s="1029"/>
      <c r="I496" s="1155"/>
    </row>
    <row r="497" spans="1:9">
      <c r="A497" s="447"/>
      <c r="B497" s="447"/>
      <c r="I497" s="491"/>
    </row>
    <row r="498" spans="1:9">
      <c r="D498" s="1329" t="s">
        <v>883</v>
      </c>
      <c r="E498" s="1329"/>
      <c r="F498" s="1329"/>
      <c r="I498" s="491"/>
    </row>
    <row r="499" spans="1:9" ht="14.25">
      <c r="A499" s="485"/>
      <c r="B499" s="485"/>
      <c r="D499" s="1320" t="s">
        <v>1141</v>
      </c>
      <c r="E499" s="1320"/>
      <c r="F499" s="1320"/>
      <c r="I499" s="491"/>
    </row>
    <row r="500" spans="1:9" ht="14.25">
      <c r="A500" s="485"/>
      <c r="B500" s="485"/>
      <c r="D500" s="448"/>
      <c r="I500" s="491"/>
    </row>
    <row r="501" spans="1:9" ht="14.25">
      <c r="A501" s="485"/>
      <c r="B501" s="486" t="s">
        <v>2744</v>
      </c>
      <c r="D501" s="1274" t="s">
        <v>1142</v>
      </c>
      <c r="E501" s="1274"/>
      <c r="F501" s="1274"/>
      <c r="I501" s="491"/>
    </row>
    <row r="502" spans="1:9" ht="14.25">
      <c r="A502" s="485"/>
      <c r="B502" s="485"/>
      <c r="D502" s="1274"/>
      <c r="E502" s="1274"/>
      <c r="F502" s="1274"/>
      <c r="I502" s="491"/>
    </row>
    <row r="503" spans="1:9" ht="14.25">
      <c r="A503" s="485"/>
      <c r="B503" s="485"/>
      <c r="D503" s="447"/>
      <c r="I503" s="491"/>
    </row>
    <row r="504" spans="1:9" ht="12.75" customHeight="1">
      <c r="B504" s="486" t="s">
        <v>2744</v>
      </c>
      <c r="D504" s="1315" t="s">
        <v>1273</v>
      </c>
      <c r="E504" s="1315"/>
      <c r="F504" s="1315"/>
      <c r="I504" s="491"/>
    </row>
    <row r="505" spans="1:9" ht="14.25">
      <c r="A505" s="485"/>
      <c r="D505" s="1315"/>
      <c r="E505" s="1315"/>
      <c r="F505" s="1315"/>
      <c r="I505" s="491"/>
    </row>
    <row r="506" spans="1:9" ht="14.25">
      <c r="A506" s="485"/>
      <c r="B506" s="485"/>
      <c r="D506" s="1315"/>
      <c r="E506" s="1315"/>
      <c r="F506" s="1315"/>
      <c r="I506" s="491"/>
    </row>
    <row r="507" spans="1:9" ht="14.25">
      <c r="A507" s="485"/>
      <c r="B507" s="485"/>
      <c r="D507" s="1315"/>
      <c r="E507" s="1315"/>
      <c r="F507" s="1315"/>
      <c r="I507" s="491"/>
    </row>
    <row r="508" spans="1:9" ht="14.25">
      <c r="A508" s="485"/>
      <c r="D508" s="521"/>
      <c r="E508" s="521"/>
      <c r="F508" s="521"/>
      <c r="I508" s="491"/>
    </row>
    <row r="509" spans="1:9" ht="14.25">
      <c r="A509" s="485"/>
      <c r="B509" s="486" t="s">
        <v>2744</v>
      </c>
      <c r="D509" s="1301" t="s">
        <v>1143</v>
      </c>
      <c r="E509" s="1301"/>
      <c r="F509" s="1301"/>
      <c r="I509" s="491"/>
    </row>
    <row r="510" spans="1:9" ht="14.25">
      <c r="A510" s="485"/>
      <c r="B510" s="485"/>
      <c r="D510" s="447"/>
      <c r="I510" s="491"/>
    </row>
    <row r="511" spans="1:9" ht="14.25">
      <c r="A511" s="485"/>
      <c r="B511" s="486" t="s">
        <v>2744</v>
      </c>
      <c r="D511" s="1303" t="s">
        <v>1144</v>
      </c>
      <c r="E511" s="1303"/>
      <c r="F511" s="1303"/>
      <c r="I511" s="491"/>
    </row>
    <row r="512" spans="1:9" ht="14.25">
      <c r="A512" s="485"/>
      <c r="D512" s="1303"/>
      <c r="E512" s="1303"/>
      <c r="F512" s="1303"/>
      <c r="I512" s="491"/>
    </row>
    <row r="513" spans="1:9">
      <c r="A513" s="491"/>
      <c r="B513" s="491"/>
      <c r="D513" s="448"/>
      <c r="I513" s="491"/>
    </row>
    <row r="514" spans="1:9">
      <c r="A514" s="491"/>
      <c r="B514" s="486" t="s">
        <v>2744</v>
      </c>
      <c r="D514" s="1301" t="s">
        <v>1145</v>
      </c>
      <c r="E514" s="1301"/>
      <c r="F514" s="1301"/>
      <c r="I514" s="491"/>
    </row>
    <row r="515" spans="1:9">
      <c r="D515" s="447"/>
      <c r="E515" s="447"/>
      <c r="F515" s="447"/>
      <c r="I515" s="491"/>
    </row>
    <row r="516" spans="1:9">
      <c r="B516" s="486" t="s">
        <v>2744</v>
      </c>
      <c r="D516" s="1303" t="s">
        <v>2283</v>
      </c>
      <c r="E516" s="1303"/>
      <c r="F516" s="1303"/>
      <c r="I516" s="491"/>
    </row>
    <row r="517" spans="1:9">
      <c r="D517" s="1303"/>
      <c r="E517" s="1303"/>
      <c r="F517" s="1303"/>
      <c r="I517" s="491"/>
    </row>
    <row r="518" spans="1:9">
      <c r="D518" s="1303"/>
      <c r="E518" s="1303"/>
      <c r="F518" s="1303"/>
      <c r="I518" s="491"/>
    </row>
    <row r="519" spans="1:9">
      <c r="D519" s="447"/>
      <c r="E519" s="447"/>
      <c r="F519" s="447"/>
      <c r="I519" s="491"/>
    </row>
    <row r="520" spans="1:9" ht="14.25">
      <c r="A520" s="485"/>
      <c r="B520" s="485"/>
      <c r="D520" s="447"/>
      <c r="I520" s="491"/>
    </row>
    <row r="521" spans="1:9">
      <c r="A521" s="1310" t="s">
        <v>1051</v>
      </c>
      <c r="B521" s="1310"/>
      <c r="C521" s="1310"/>
      <c r="D521" s="1310"/>
      <c r="E521" s="1310"/>
      <c r="F521" s="1310"/>
      <c r="G521" s="1310"/>
      <c r="H521" s="1029"/>
      <c r="I521" s="1155"/>
    </row>
    <row r="522" spans="1:9" ht="12" customHeight="1">
      <c r="A522" s="485"/>
      <c r="B522" s="485"/>
      <c r="D522" s="447"/>
      <c r="I522" s="491"/>
    </row>
    <row r="523" spans="1:9">
      <c r="C523" s="483"/>
      <c r="D523" s="1311" t="s">
        <v>793</v>
      </c>
      <c r="E523" s="1311"/>
      <c r="F523" s="1311"/>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2743</v>
      </c>
      <c r="C527" s="484"/>
      <c r="D527" s="1274" t="s">
        <v>2061</v>
      </c>
      <c r="E527" s="1274"/>
      <c r="F527" s="1274"/>
      <c r="I527" s="491"/>
    </row>
    <row r="528" spans="1:9">
      <c r="A528" s="484"/>
      <c r="B528" s="484"/>
      <c r="C528" s="484"/>
      <c r="D528" s="1274"/>
      <c r="E528" s="1274"/>
      <c r="F528" s="1274"/>
      <c r="I528" s="491"/>
    </row>
    <row r="529" spans="1:9">
      <c r="A529" s="484"/>
      <c r="B529" s="484"/>
      <c r="C529" s="484"/>
      <c r="D529" s="452"/>
      <c r="E529" s="452"/>
      <c r="F529" s="452"/>
      <c r="I529" s="481"/>
    </row>
    <row r="530" spans="1:9" ht="12.75" customHeight="1">
      <c r="A530" s="484"/>
      <c r="B530" s="486" t="s">
        <v>2744</v>
      </c>
      <c r="D530" s="387" t="s">
        <v>1904</v>
      </c>
      <c r="E530" s="386"/>
      <c r="F530" s="386"/>
      <c r="I530" s="491"/>
    </row>
    <row r="531" spans="1:9">
      <c r="A531" s="484"/>
      <c r="B531" s="484"/>
      <c r="C531" s="484"/>
      <c r="D531" s="386"/>
      <c r="E531" s="96" t="s">
        <v>1905</v>
      </c>
      <c r="I531" s="491"/>
    </row>
    <row r="532" spans="1:9">
      <c r="A532" s="484"/>
      <c r="B532" s="484"/>
      <c r="D532" s="1282" t="s">
        <v>2062</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35" customHeight="1">
      <c r="A536" s="484"/>
      <c r="B536" s="486" t="s">
        <v>2744</v>
      </c>
      <c r="C536" s="484"/>
      <c r="D536" s="1303" t="s">
        <v>2063</v>
      </c>
      <c r="E536" s="1303"/>
      <c r="F536" s="1303"/>
      <c r="I536" s="491"/>
    </row>
    <row r="537" spans="1:9">
      <c r="A537" s="484"/>
      <c r="B537" s="484"/>
      <c r="C537" s="484"/>
      <c r="D537" s="1303"/>
      <c r="E537" s="1303"/>
      <c r="F537" s="1303"/>
      <c r="I537" s="491"/>
    </row>
    <row r="538" spans="1:9" ht="12" customHeight="1">
      <c r="A538" s="447"/>
      <c r="B538" s="447"/>
      <c r="C538" s="488"/>
      <c r="D538" s="447"/>
      <c r="F538" s="449"/>
      <c r="I538" s="491"/>
    </row>
    <row r="539" spans="1:9">
      <c r="A539" s="1310" t="s">
        <v>1052</v>
      </c>
      <c r="B539" s="1310"/>
      <c r="C539" s="1310"/>
      <c r="D539" s="1310"/>
      <c r="E539" s="1310"/>
      <c r="F539" s="1310"/>
      <c r="G539" s="1310"/>
      <c r="H539" s="1029"/>
      <c r="I539" s="1155"/>
    </row>
    <row r="540" spans="1:9">
      <c r="A540" s="447"/>
      <c r="B540" s="447"/>
      <c r="C540" s="488"/>
      <c r="F540" s="449"/>
      <c r="I540" s="491"/>
    </row>
    <row r="541" spans="1:9">
      <c r="B541" s="1305" t="s">
        <v>446</v>
      </c>
      <c r="C541" s="1305"/>
      <c r="D541" s="1305"/>
      <c r="E541" s="1305"/>
      <c r="F541" s="1305"/>
      <c r="I541" s="491"/>
    </row>
    <row r="542" spans="1:9">
      <c r="A542" s="447"/>
      <c r="B542" s="447"/>
      <c r="C542" s="488"/>
      <c r="D542" s="447"/>
      <c r="F542" s="447"/>
      <c r="I542" s="491"/>
    </row>
    <row r="543" spans="1:9">
      <c r="A543" s="1302" t="s">
        <v>1053</v>
      </c>
      <c r="B543" s="1302"/>
      <c r="C543" s="1302"/>
      <c r="D543" s="1302"/>
      <c r="E543" s="1302"/>
      <c r="F543" s="1302"/>
      <c r="G543" s="1302"/>
      <c r="H543" s="1029"/>
      <c r="I543" s="1155"/>
    </row>
    <row r="544" spans="1:9">
      <c r="A544" s="447"/>
      <c r="B544" s="447"/>
      <c r="C544" s="488"/>
      <c r="D544" s="447"/>
      <c r="F544" s="447"/>
      <c r="I544" s="491"/>
    </row>
    <row r="545" spans="1:9">
      <c r="C545" s="488"/>
      <c r="D545" s="1311" t="s">
        <v>683</v>
      </c>
      <c r="E545" s="1311"/>
      <c r="F545" s="1311"/>
      <c r="I545" s="491"/>
    </row>
    <row r="546" spans="1:9">
      <c r="C546" s="488"/>
      <c r="D546" s="1301" t="s">
        <v>1081</v>
      </c>
      <c r="E546" s="1301"/>
      <c r="F546" s="1301"/>
      <c r="I546" s="491"/>
    </row>
    <row r="547" spans="1:9">
      <c r="C547" s="488"/>
      <c r="D547" s="447"/>
      <c r="E547" s="447"/>
      <c r="F547" s="447"/>
      <c r="I547" s="491"/>
    </row>
    <row r="548" spans="1:9" ht="13.7" customHeight="1">
      <c r="A548" s="485"/>
      <c r="B548" s="486" t="s">
        <v>2743</v>
      </c>
      <c r="C548" s="488"/>
      <c r="D548" s="1301" t="s">
        <v>884</v>
      </c>
      <c r="E548" s="1301"/>
      <c r="F548" s="1301"/>
      <c r="I548" s="491"/>
    </row>
    <row r="549" spans="1:9" ht="13.7" customHeight="1">
      <c r="A549" s="488"/>
      <c r="B549" s="488"/>
      <c r="C549" s="488"/>
      <c r="D549" s="447"/>
      <c r="I549" s="491"/>
    </row>
    <row r="550" spans="1:9" ht="14.25">
      <c r="A550" s="485"/>
      <c r="B550" s="486" t="s">
        <v>2743</v>
      </c>
      <c r="C550" s="488"/>
      <c r="D550" s="1303" t="s">
        <v>1082</v>
      </c>
      <c r="E550" s="1303"/>
      <c r="F550" s="1303"/>
      <c r="I550" s="491"/>
    </row>
    <row r="551" spans="1:9">
      <c r="A551" s="488"/>
      <c r="B551" s="488"/>
      <c r="C551" s="488"/>
      <c r="D551" s="1303"/>
      <c r="E551" s="1303"/>
      <c r="F551" s="1303"/>
      <c r="I551" s="491"/>
    </row>
    <row r="552" spans="1:9">
      <c r="A552" s="488"/>
      <c r="B552" s="488"/>
      <c r="C552" s="488"/>
      <c r="D552" s="447"/>
      <c r="E552" s="447"/>
      <c r="F552" s="447"/>
      <c r="I552" s="491"/>
    </row>
    <row r="553" spans="1:9" ht="14.25">
      <c r="A553" s="485"/>
      <c r="B553" s="486" t="s">
        <v>2743</v>
      </c>
      <c r="C553" s="488"/>
      <c r="D553" s="1303" t="s">
        <v>1083</v>
      </c>
      <c r="E553" s="1303"/>
      <c r="F553" s="1303"/>
      <c r="I553" s="491"/>
    </row>
    <row r="554" spans="1:9">
      <c r="A554" s="488"/>
      <c r="B554" s="488"/>
      <c r="C554" s="488"/>
      <c r="D554" s="1303"/>
      <c r="E554" s="1303"/>
      <c r="F554" s="1303"/>
      <c r="I554" s="491"/>
    </row>
    <row r="555" spans="1:9">
      <c r="A555" s="488"/>
      <c r="B555" s="488"/>
      <c r="C555" s="488"/>
      <c r="D555" s="447"/>
      <c r="E555" s="447"/>
      <c r="F555" s="447"/>
      <c r="I555" s="491"/>
    </row>
    <row r="556" spans="1:9" ht="14.25">
      <c r="A556" s="485"/>
      <c r="B556" s="486" t="s">
        <v>2743</v>
      </c>
      <c r="C556" s="488"/>
      <c r="D556" s="1303" t="s">
        <v>1084</v>
      </c>
      <c r="E556" s="1303"/>
      <c r="F556" s="1303"/>
      <c r="I556" s="491"/>
    </row>
    <row r="557" spans="1:9">
      <c r="A557" s="488"/>
      <c r="B557" s="488"/>
      <c r="C557" s="488"/>
      <c r="D557" s="1303"/>
      <c r="E557" s="1303"/>
      <c r="F557" s="1303"/>
      <c r="I557" s="491"/>
    </row>
    <row r="558" spans="1:9">
      <c r="A558" s="488"/>
      <c r="B558" s="488"/>
      <c r="C558" s="488"/>
      <c r="D558" s="447"/>
      <c r="E558" s="447"/>
      <c r="F558" s="447"/>
      <c r="I558" s="491"/>
    </row>
    <row r="559" spans="1:9" ht="14.25">
      <c r="A559" s="485"/>
      <c r="B559" s="486" t="s">
        <v>2743</v>
      </c>
      <c r="C559" s="488"/>
      <c r="D559" s="1303" t="s">
        <v>1085</v>
      </c>
      <c r="E559" s="1303"/>
      <c r="F559" s="1303"/>
      <c r="I559" s="491"/>
    </row>
    <row r="560" spans="1:9">
      <c r="A560" s="488"/>
      <c r="B560" s="488"/>
      <c r="C560" s="488"/>
      <c r="D560" s="1303"/>
      <c r="E560" s="1303"/>
      <c r="F560" s="1303"/>
      <c r="I560" s="491"/>
    </row>
    <row r="561" spans="1:9">
      <c r="A561" s="488"/>
      <c r="B561" s="488"/>
      <c r="C561" s="488"/>
      <c r="D561" s="1303"/>
      <c r="E561" s="1303"/>
      <c r="F561" s="1303"/>
      <c r="I561" s="491"/>
    </row>
    <row r="562" spans="1:9">
      <c r="A562" s="488"/>
      <c r="B562" s="488"/>
      <c r="C562" s="488"/>
      <c r="D562" s="447"/>
      <c r="E562" s="447"/>
      <c r="F562" s="447"/>
      <c r="I562" s="491"/>
    </row>
    <row r="563" spans="1:9" ht="14.25">
      <c r="A563" s="485"/>
      <c r="B563" s="486" t="s">
        <v>2744</v>
      </c>
      <c r="C563" s="488"/>
      <c r="D563" s="1303" t="s">
        <v>2250</v>
      </c>
      <c r="E563" s="1303"/>
      <c r="F563" s="1303"/>
      <c r="I563" s="491"/>
    </row>
    <row r="564" spans="1:9">
      <c r="A564" s="488"/>
      <c r="B564" s="488"/>
      <c r="C564" s="488"/>
      <c r="D564" s="1303"/>
      <c r="E564" s="1303"/>
      <c r="F564" s="1303"/>
      <c r="I564" s="491"/>
    </row>
    <row r="565" spans="1:9">
      <c r="A565" s="488"/>
      <c r="B565" s="488"/>
      <c r="C565" s="488"/>
      <c r="D565" s="447"/>
      <c r="E565" s="447"/>
      <c r="F565" s="447"/>
      <c r="I565" s="491"/>
    </row>
    <row r="566" spans="1:9" ht="14.25">
      <c r="A566" s="485"/>
      <c r="B566" s="486" t="s">
        <v>2743</v>
      </c>
      <c r="C566" s="488"/>
      <c r="D566" s="1303" t="s">
        <v>1086</v>
      </c>
      <c r="E566" s="1303"/>
      <c r="F566" s="1303"/>
      <c r="I566" s="491"/>
    </row>
    <row r="567" spans="1:9">
      <c r="A567" s="488"/>
      <c r="B567" s="488"/>
      <c r="C567" s="488"/>
      <c r="D567" s="1303"/>
      <c r="E567" s="1303"/>
      <c r="F567" s="1303"/>
      <c r="I567" s="491"/>
    </row>
    <row r="568" spans="1:9">
      <c r="A568" s="488"/>
      <c r="B568" s="488"/>
      <c r="C568" s="488"/>
      <c r="D568" s="447"/>
      <c r="E568" s="447"/>
      <c r="F568" s="447"/>
      <c r="I568" s="491"/>
    </row>
    <row r="569" spans="1:9" ht="14.25">
      <c r="A569" s="485"/>
      <c r="B569" s="486" t="s">
        <v>2743</v>
      </c>
      <c r="C569" s="488"/>
      <c r="D569" s="1301" t="s">
        <v>1087</v>
      </c>
      <c r="E569" s="1301"/>
      <c r="F569" s="1301"/>
      <c r="I569" s="491"/>
    </row>
    <row r="570" spans="1:9">
      <c r="A570" s="491"/>
      <c r="B570" s="491"/>
      <c r="C570" s="488"/>
      <c r="D570" s="1301" t="s">
        <v>1907</v>
      </c>
      <c r="E570" s="1301"/>
      <c r="F570" s="1301"/>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2743</v>
      </c>
      <c r="C573" s="488"/>
      <c r="D573" s="1301" t="s">
        <v>1088</v>
      </c>
      <c r="E573" s="1301"/>
      <c r="F573" s="1301"/>
      <c r="I573" s="491"/>
    </row>
    <row r="574" spans="1:9">
      <c r="C574" s="488"/>
      <c r="D574" s="1303" t="s">
        <v>1089</v>
      </c>
      <c r="E574" s="1303"/>
      <c r="F574" s="1303"/>
      <c r="I574" s="491"/>
    </row>
    <row r="575" spans="1:9">
      <c r="A575" s="488"/>
      <c r="B575" s="488"/>
      <c r="C575" s="488"/>
      <c r="D575" s="1303"/>
      <c r="E575" s="1303"/>
      <c r="F575" s="1303"/>
      <c r="I575" s="491"/>
    </row>
    <row r="576" spans="1:9">
      <c r="A576" s="488"/>
      <c r="B576" s="488"/>
      <c r="C576" s="488"/>
      <c r="D576" s="1303"/>
      <c r="E576" s="1303"/>
      <c r="F576" s="1303"/>
      <c r="I576" s="491"/>
    </row>
    <row r="577" spans="1:9">
      <c r="A577" s="488"/>
      <c r="B577" s="488"/>
      <c r="C577" s="488"/>
      <c r="D577" s="447"/>
      <c r="E577" s="447"/>
      <c r="F577" s="447"/>
      <c r="I577" s="491"/>
    </row>
    <row r="578" spans="1:9" ht="14.25">
      <c r="A578" s="485"/>
      <c r="B578" s="486" t="s">
        <v>2743</v>
      </c>
      <c r="C578" s="488"/>
      <c r="D578" s="1303" t="s">
        <v>2064</v>
      </c>
      <c r="E578" s="1303"/>
      <c r="F578" s="1303"/>
      <c r="I578" s="491"/>
    </row>
    <row r="579" spans="1:9" ht="14.25">
      <c r="A579" s="485"/>
      <c r="B579" s="485"/>
      <c r="C579" s="488"/>
      <c r="D579" s="1303"/>
      <c r="E579" s="1303"/>
      <c r="F579" s="1303"/>
      <c r="I579" s="491"/>
    </row>
    <row r="580" spans="1:9" ht="14.25">
      <c r="A580" s="485"/>
      <c r="B580" s="485"/>
      <c r="C580" s="488"/>
      <c r="D580" s="1303"/>
      <c r="E580" s="1303"/>
      <c r="F580" s="1303"/>
      <c r="I580" s="491"/>
    </row>
    <row r="581" spans="1:9" ht="14.25">
      <c r="A581" s="485"/>
      <c r="B581" s="485"/>
      <c r="C581" s="488"/>
      <c r="D581" s="1303"/>
      <c r="E581" s="1303"/>
      <c r="F581" s="1303"/>
      <c r="I581" s="491"/>
    </row>
    <row r="582" spans="1:9" ht="14.25">
      <c r="A582" s="485"/>
      <c r="B582" s="485"/>
      <c r="C582" s="488"/>
      <c r="D582" s="447"/>
      <c r="E582" s="447"/>
      <c r="F582" s="447"/>
      <c r="I582" s="491"/>
    </row>
    <row r="583" spans="1:9">
      <c r="A583" s="1310" t="s">
        <v>1054</v>
      </c>
      <c r="B583" s="1310"/>
      <c r="C583" s="1310"/>
      <c r="D583" s="1310"/>
      <c r="E583" s="1310"/>
      <c r="F583" s="1310"/>
      <c r="G583" s="1310"/>
      <c r="H583" s="1029"/>
      <c r="I583" s="1155"/>
    </row>
    <row r="584" spans="1:9">
      <c r="A584" s="488"/>
      <c r="B584" s="488"/>
      <c r="C584" s="488"/>
      <c r="E584" s="447"/>
      <c r="F584" s="447"/>
      <c r="I584" s="491"/>
    </row>
    <row r="585" spans="1:9" ht="12.75" customHeight="1">
      <c r="C585" s="483"/>
      <c r="D585" s="1319" t="s">
        <v>209</v>
      </c>
      <c r="E585" s="1319"/>
      <c r="F585" s="1319"/>
      <c r="I585" s="491"/>
    </row>
    <row r="586" spans="1:9">
      <c r="A586" s="484"/>
      <c r="B586" s="484"/>
      <c r="C586" s="484"/>
      <c r="D586" s="1315" t="s">
        <v>1067</v>
      </c>
      <c r="E586" s="1315"/>
      <c r="F586" s="1315"/>
      <c r="I586" s="491"/>
    </row>
    <row r="587" spans="1:9">
      <c r="A587" s="403"/>
      <c r="B587" s="403"/>
      <c r="C587" s="484"/>
      <c r="D587" s="500"/>
      <c r="I587" s="491"/>
    </row>
    <row r="588" spans="1:9">
      <c r="A588" s="484"/>
      <c r="B588" s="486" t="s">
        <v>2743</v>
      </c>
      <c r="D588" s="1315" t="s">
        <v>888</v>
      </c>
      <c r="E588" s="1315"/>
      <c r="F588" s="1315"/>
      <c r="I588" s="491"/>
    </row>
    <row r="589" spans="1:9">
      <c r="A589" s="491"/>
      <c r="B589" s="491"/>
      <c r="D589" s="477"/>
      <c r="I589" s="491"/>
    </row>
    <row r="590" spans="1:9">
      <c r="A590" s="491"/>
      <c r="B590" s="486" t="s">
        <v>2743</v>
      </c>
      <c r="D590" s="1315" t="s">
        <v>2065</v>
      </c>
      <c r="E590" s="1315"/>
      <c r="F590" s="1315"/>
      <c r="I590" s="491"/>
    </row>
    <row r="591" spans="1:9">
      <c r="A591" s="491"/>
      <c r="B591" s="491"/>
      <c r="D591" s="1315"/>
      <c r="E591" s="1315"/>
      <c r="F591" s="1315"/>
      <c r="I591" s="491"/>
    </row>
    <row r="592" spans="1:9">
      <c r="A592" s="491"/>
      <c r="B592" s="491"/>
      <c r="D592" s="1315"/>
      <c r="E592" s="1315"/>
      <c r="F592" s="1315"/>
      <c r="I592" s="491"/>
    </row>
    <row r="593" spans="1:9">
      <c r="A593" s="491"/>
      <c r="B593" s="491"/>
      <c r="D593" s="1315"/>
      <c r="E593" s="1315"/>
      <c r="F593" s="1315"/>
      <c r="I593" s="491"/>
    </row>
    <row r="594" spans="1:9">
      <c r="A594" s="491"/>
      <c r="B594" s="486" t="s">
        <v>2744</v>
      </c>
      <c r="D594" s="1315" t="s">
        <v>1068</v>
      </c>
      <c r="E594" s="1315"/>
      <c r="F594" s="1315"/>
      <c r="I594" s="491"/>
    </row>
    <row r="595" spans="1:9">
      <c r="A595" s="491"/>
      <c r="B595" s="491"/>
      <c r="D595" s="1315"/>
      <c r="E595" s="1315"/>
      <c r="F595" s="1315"/>
      <c r="I595" s="491"/>
    </row>
    <row r="596" spans="1:9">
      <c r="A596" s="491"/>
      <c r="B596" s="491"/>
      <c r="D596" s="1315"/>
      <c r="E596" s="1315"/>
      <c r="F596" s="1315"/>
      <c r="I596" s="491"/>
    </row>
    <row r="597" spans="1:9">
      <c r="A597" s="491"/>
      <c r="B597" s="491"/>
      <c r="D597" s="1315"/>
      <c r="E597" s="1315"/>
      <c r="F597" s="1315"/>
      <c r="I597" s="491"/>
    </row>
    <row r="598" spans="1:9">
      <c r="A598" s="491"/>
      <c r="B598" s="491"/>
      <c r="D598" s="441"/>
      <c r="E598" s="441"/>
      <c r="F598" s="441"/>
      <c r="I598" s="491"/>
    </row>
    <row r="599" spans="1:9">
      <c r="A599" s="491"/>
      <c r="B599" s="486" t="s">
        <v>2743</v>
      </c>
      <c r="D599" s="1315" t="s">
        <v>2066</v>
      </c>
      <c r="E599" s="1315"/>
      <c r="F599" s="1315"/>
      <c r="I599" s="491"/>
    </row>
    <row r="600" spans="1:9">
      <c r="A600" s="491"/>
      <c r="B600" s="491"/>
      <c r="D600" s="1315"/>
      <c r="E600" s="1315"/>
      <c r="F600" s="1315"/>
      <c r="I600" s="491"/>
    </row>
    <row r="601" spans="1:9">
      <c r="A601" s="491"/>
      <c r="B601" s="491"/>
      <c r="D601" s="500"/>
      <c r="I601" s="491"/>
    </row>
    <row r="602" spans="1:9">
      <c r="A602" s="491"/>
      <c r="B602" s="486" t="s">
        <v>2744</v>
      </c>
      <c r="D602" s="1315" t="s">
        <v>1069</v>
      </c>
      <c r="E602" s="1315"/>
      <c r="F602" s="1315"/>
      <c r="I602" s="491"/>
    </row>
    <row r="603" spans="1:9">
      <c r="A603" s="491"/>
      <c r="B603" s="491"/>
      <c r="D603" s="1315"/>
      <c r="E603" s="1315"/>
      <c r="F603" s="1315"/>
      <c r="I603" s="491"/>
    </row>
    <row r="604" spans="1:9" ht="14.25">
      <c r="A604" s="485"/>
      <c r="B604" s="485"/>
      <c r="D604" s="500"/>
      <c r="I604" s="491"/>
    </row>
    <row r="605" spans="1:9">
      <c r="A605" s="1310" t="s">
        <v>1055</v>
      </c>
      <c r="B605" s="1310"/>
      <c r="C605" s="1310"/>
      <c r="D605" s="1310"/>
      <c r="E605" s="1310"/>
      <c r="F605" s="1310"/>
      <c r="G605" s="1310"/>
      <c r="H605" s="1029"/>
      <c r="I605" s="1155"/>
    </row>
    <row r="606" spans="1:9">
      <c r="I606" s="491"/>
    </row>
    <row r="607" spans="1:9">
      <c r="D607" s="1311" t="s">
        <v>1107</v>
      </c>
      <c r="E607" s="1311"/>
      <c r="F607" s="1311"/>
      <c r="I607" s="491"/>
    </row>
    <row r="608" spans="1:9">
      <c r="D608" s="1283" t="s">
        <v>1108</v>
      </c>
      <c r="E608" s="1283"/>
      <c r="F608" s="1283"/>
      <c r="I608" s="491"/>
    </row>
    <row r="609" spans="1:9">
      <c r="D609" s="445"/>
      <c r="I609" s="491"/>
    </row>
    <row r="610" spans="1:9" ht="14.25" customHeight="1">
      <c r="A610" s="485"/>
      <c r="B610" s="486" t="s">
        <v>2743</v>
      </c>
      <c r="D610" s="1316" t="s">
        <v>1908</v>
      </c>
      <c r="E610" s="1316"/>
      <c r="F610" s="1316"/>
      <c r="I610" s="491"/>
    </row>
    <row r="611" spans="1:9">
      <c r="D611" s="1316"/>
      <c r="E611" s="1316"/>
      <c r="F611" s="1316"/>
      <c r="I611" s="491"/>
    </row>
    <row r="612" spans="1:9">
      <c r="D612" s="386"/>
      <c r="E612" s="1037" t="s">
        <v>1909</v>
      </c>
      <c r="F612" s="386"/>
      <c r="I612" s="491"/>
    </row>
    <row r="613" spans="1:9">
      <c r="I613" s="491"/>
    </row>
    <row r="614" spans="1:9">
      <c r="A614" s="1310" t="s">
        <v>1056</v>
      </c>
      <c r="B614" s="1310"/>
      <c r="C614" s="1310"/>
      <c r="D614" s="1310"/>
      <c r="E614" s="1310"/>
      <c r="F614" s="1310"/>
      <c r="G614" s="1310"/>
      <c r="H614" s="1029"/>
      <c r="I614" s="1155"/>
    </row>
    <row r="615" spans="1:9">
      <c r="A615" s="447"/>
      <c r="B615" s="447"/>
      <c r="I615" s="491"/>
    </row>
    <row r="616" spans="1:9">
      <c r="A616" s="483"/>
      <c r="B616" s="483"/>
      <c r="C616" s="483"/>
      <c r="D616" s="1300" t="s">
        <v>1109</v>
      </c>
      <c r="E616" s="1300"/>
      <c r="F616" s="1300"/>
      <c r="I616" s="491"/>
    </row>
    <row r="617" spans="1:9">
      <c r="A617" s="483"/>
      <c r="B617" s="483"/>
      <c r="C617" s="483"/>
      <c r="D617" s="1300"/>
      <c r="E617" s="1300"/>
      <c r="F617" s="1300"/>
      <c r="I617" s="491"/>
    </row>
    <row r="618" spans="1:9">
      <c r="C618" s="484"/>
      <c r="D618" s="1283" t="s">
        <v>1110</v>
      </c>
      <c r="E618" s="1283"/>
      <c r="F618" s="1283"/>
      <c r="I618" s="491"/>
    </row>
    <row r="619" spans="1:9">
      <c r="C619" s="484"/>
      <c r="D619" s="445"/>
      <c r="E619" s="445"/>
      <c r="F619" s="445"/>
      <c r="I619" s="491"/>
    </row>
    <row r="620" spans="1:9" ht="12.75" customHeight="1">
      <c r="A620" s="491"/>
      <c r="B620" s="486" t="s">
        <v>2743</v>
      </c>
      <c r="D620" s="1309" t="s">
        <v>1111</v>
      </c>
      <c r="E620" s="1309"/>
      <c r="F620" s="1309"/>
      <c r="I620" s="491"/>
    </row>
    <row r="621" spans="1:9">
      <c r="D621" s="1309"/>
      <c r="E621" s="1309"/>
      <c r="F621" s="1309"/>
      <c r="I621" s="491"/>
    </row>
    <row r="622" spans="1:9">
      <c r="I622" s="491"/>
    </row>
    <row r="623" spans="1:9">
      <c r="B623" s="486" t="s">
        <v>2743</v>
      </c>
      <c r="D623" s="1309" t="s">
        <v>1112</v>
      </c>
      <c r="E623" s="1309"/>
      <c r="F623" s="1309"/>
      <c r="I623" s="491"/>
    </row>
    <row r="624" spans="1:9">
      <c r="C624" s="501"/>
      <c r="D624" s="1309"/>
      <c r="E624" s="1309"/>
      <c r="F624" s="1309"/>
      <c r="I624" s="491"/>
    </row>
    <row r="625" spans="1:9">
      <c r="C625" s="501"/>
      <c r="I625" s="491"/>
    </row>
    <row r="626" spans="1:9">
      <c r="B626" s="486" t="s">
        <v>2744</v>
      </c>
      <c r="C626" s="501"/>
      <c r="D626" s="1309" t="s">
        <v>1113</v>
      </c>
      <c r="E626" s="1309"/>
      <c r="F626" s="1309"/>
      <c r="I626" s="491"/>
    </row>
    <row r="627" spans="1:9">
      <c r="C627" s="501"/>
      <c r="D627" s="1309"/>
      <c r="E627" s="1309"/>
      <c r="F627" s="1309"/>
      <c r="I627" s="501"/>
    </row>
    <row r="628" spans="1:9">
      <c r="C628" s="501"/>
      <c r="I628" s="491"/>
    </row>
    <row r="629" spans="1:9">
      <c r="A629" s="1310" t="s">
        <v>1057</v>
      </c>
      <c r="B629" s="1310"/>
      <c r="C629" s="1310"/>
      <c r="D629" s="1310"/>
      <c r="E629" s="1310"/>
      <c r="F629" s="1310"/>
      <c r="G629" s="1310"/>
      <c r="H629" s="1029"/>
      <c r="I629" s="1155"/>
    </row>
    <row r="630" spans="1:9">
      <c r="A630" s="483"/>
      <c r="B630" s="483"/>
      <c r="C630" s="483"/>
      <c r="I630" s="491"/>
    </row>
    <row r="631" spans="1:9">
      <c r="C631" s="491"/>
      <c r="D631" s="1311" t="s">
        <v>1114</v>
      </c>
      <c r="E631" s="1311"/>
      <c r="F631" s="1311"/>
      <c r="I631" s="491"/>
    </row>
    <row r="632" spans="1:9">
      <c r="A632" s="491"/>
      <c r="B632" s="491"/>
      <c r="D632" s="405"/>
      <c r="I632" s="491"/>
    </row>
    <row r="633" spans="1:9" ht="14.25" customHeight="1">
      <c r="A633" s="485"/>
      <c r="B633" s="486" t="s">
        <v>2743</v>
      </c>
      <c r="D633" s="1316" t="s">
        <v>2067</v>
      </c>
      <c r="E633" s="1316"/>
      <c r="F633" s="1316"/>
      <c r="I633" s="491"/>
    </row>
    <row r="634" spans="1:9">
      <c r="D634" s="1316"/>
      <c r="E634" s="1316"/>
      <c r="F634" s="1316"/>
      <c r="I634" s="491"/>
    </row>
    <row r="635" spans="1:9">
      <c r="D635" s="386"/>
      <c r="E635" s="1037" t="s">
        <v>1911</v>
      </c>
      <c r="F635" s="386"/>
      <c r="I635" s="491"/>
    </row>
    <row r="636" spans="1:9">
      <c r="D636" s="1303" t="s">
        <v>1910</v>
      </c>
      <c r="E636" s="1303"/>
      <c r="F636" s="1303"/>
      <c r="I636" s="491"/>
    </row>
    <row r="637" spans="1:9">
      <c r="D637" s="1303"/>
      <c r="E637" s="1303"/>
      <c r="F637" s="1303"/>
      <c r="I637" s="491"/>
    </row>
    <row r="638" spans="1:9">
      <c r="D638" s="1303"/>
      <c r="E638" s="1303"/>
      <c r="F638" s="1303"/>
      <c r="I638" s="491"/>
    </row>
    <row r="639" spans="1:9">
      <c r="D639" s="446"/>
      <c r="E639" s="446"/>
      <c r="F639" s="446"/>
      <c r="I639" s="491"/>
    </row>
    <row r="640" spans="1:9" ht="14.25">
      <c r="A640" s="485"/>
      <c r="B640" s="486" t="s">
        <v>2744</v>
      </c>
      <c r="D640" s="1303" t="s">
        <v>1115</v>
      </c>
      <c r="E640" s="1303"/>
      <c r="F640" s="1303"/>
      <c r="I640" s="491"/>
    </row>
    <row r="641" spans="1:9">
      <c r="A641" s="488"/>
      <c r="B641" s="488"/>
      <c r="C641" s="488"/>
      <c r="D641" s="1303"/>
      <c r="E641" s="1303"/>
      <c r="F641" s="1303"/>
      <c r="I641" s="491"/>
    </row>
    <row r="642" spans="1:9">
      <c r="A642" s="488"/>
      <c r="B642" s="488"/>
      <c r="C642" s="488"/>
      <c r="D642" s="447"/>
      <c r="E642" s="447"/>
      <c r="F642" s="447"/>
      <c r="I642" s="491"/>
    </row>
    <row r="643" spans="1:9" ht="14.25">
      <c r="A643" s="485"/>
      <c r="B643" s="486" t="s">
        <v>2744</v>
      </c>
      <c r="C643" s="488"/>
      <c r="D643" s="1303" t="s">
        <v>1225</v>
      </c>
      <c r="E643" s="1303"/>
      <c r="F643" s="1303"/>
      <c r="I643" s="491"/>
    </row>
    <row r="644" spans="1:9" ht="14.25">
      <c r="A644" s="485"/>
      <c r="B644" s="485"/>
      <c r="C644" s="488"/>
      <c r="D644" s="1303"/>
      <c r="E644" s="1303"/>
      <c r="F644" s="1303"/>
      <c r="I644" s="491"/>
    </row>
    <row r="645" spans="1:9" ht="14.25">
      <c r="A645" s="485"/>
      <c r="B645" s="485"/>
      <c r="C645" s="488"/>
      <c r="D645" s="1303"/>
      <c r="E645" s="1303"/>
      <c r="F645" s="1303"/>
      <c r="I645" s="491"/>
    </row>
    <row r="646" spans="1:9">
      <c r="A646" s="488"/>
      <c r="B646" s="486" t="s">
        <v>2744</v>
      </c>
      <c r="C646" s="488"/>
      <c r="D646" s="1301" t="s">
        <v>1116</v>
      </c>
      <c r="E646" s="1301"/>
      <c r="F646" s="1301"/>
      <c r="I646" s="491"/>
    </row>
    <row r="647" spans="1:9">
      <c r="A647" s="488"/>
      <c r="B647" s="488"/>
      <c r="C647" s="488"/>
      <c r="D647" s="447"/>
      <c r="E647" s="447"/>
      <c r="F647" s="447"/>
      <c r="I647" s="491"/>
    </row>
    <row r="648" spans="1:9">
      <c r="A648" s="1310" t="s">
        <v>1058</v>
      </c>
      <c r="B648" s="1310"/>
      <c r="C648" s="1310"/>
      <c r="D648" s="1310"/>
      <c r="E648" s="1310"/>
      <c r="F648" s="1310"/>
      <c r="G648" s="1310"/>
      <c r="H648" s="1029"/>
      <c r="I648" s="1155"/>
    </row>
    <row r="649" spans="1:9">
      <c r="A649" s="447"/>
      <c r="B649" s="447"/>
      <c r="C649" s="488"/>
      <c r="D649" s="447"/>
      <c r="E649" s="447"/>
      <c r="F649" s="447"/>
      <c r="I649" s="491"/>
    </row>
    <row r="650" spans="1:9">
      <c r="C650" s="483"/>
      <c r="D650" s="1311" t="s">
        <v>1146</v>
      </c>
      <c r="E650" s="1311"/>
      <c r="F650" s="1311"/>
      <c r="I650" s="491"/>
    </row>
    <row r="651" spans="1:9">
      <c r="A651" s="484"/>
      <c r="B651" s="484"/>
      <c r="C651" s="484"/>
      <c r="D651" s="1301" t="s">
        <v>1147</v>
      </c>
      <c r="E651" s="1301"/>
      <c r="F651" s="1301"/>
      <c r="I651" s="491"/>
    </row>
    <row r="652" spans="1:9">
      <c r="A652" s="484"/>
      <c r="B652" s="484"/>
      <c r="C652" s="484"/>
      <c r="D652" s="447"/>
      <c r="E652" s="447"/>
      <c r="F652" s="447"/>
      <c r="I652" s="491"/>
    </row>
    <row r="653" spans="1:9" ht="12.75" customHeight="1">
      <c r="B653" s="486" t="s">
        <v>2743</v>
      </c>
      <c r="C653" s="488"/>
      <c r="D653" s="1303" t="s">
        <v>1281</v>
      </c>
      <c r="E653" s="1303"/>
      <c r="F653" s="1303"/>
      <c r="I653" s="491"/>
    </row>
    <row r="654" spans="1:9">
      <c r="D654" s="1303"/>
      <c r="E654" s="1303"/>
      <c r="F654" s="1303"/>
      <c r="I654" s="491"/>
    </row>
    <row r="655" spans="1:9">
      <c r="D655" s="1303"/>
      <c r="E655" s="1303"/>
      <c r="F655" s="1303"/>
      <c r="I655" s="491"/>
    </row>
    <row r="656" spans="1:9">
      <c r="D656" s="1303"/>
      <c r="E656" s="1303"/>
      <c r="F656" s="1303"/>
      <c r="I656" s="491"/>
    </row>
    <row r="657" spans="1:9" ht="14.45" customHeight="1">
      <c r="A657" s="485"/>
      <c r="B657" s="485"/>
      <c r="C657" s="488"/>
      <c r="D657" s="386"/>
      <c r="E657" s="386"/>
      <c r="F657" s="386"/>
      <c r="I657" s="491"/>
    </row>
    <row r="658" spans="1:9" ht="12.75" customHeight="1">
      <c r="A658" s="484"/>
      <c r="B658" s="486" t="s">
        <v>2743</v>
      </c>
      <c r="C658" s="488"/>
      <c r="D658" s="1303" t="s">
        <v>1283</v>
      </c>
      <c r="E658" s="1303"/>
      <c r="F658" s="1303"/>
      <c r="I658" s="491"/>
    </row>
    <row r="659" spans="1:9" ht="14.25">
      <c r="A659" s="484"/>
      <c r="B659" s="485"/>
      <c r="C659" s="488"/>
      <c r="D659" s="1303"/>
      <c r="E659" s="1303"/>
      <c r="F659" s="1303"/>
      <c r="I659" s="491"/>
    </row>
    <row r="660" spans="1:9" ht="14.25">
      <c r="A660" s="484"/>
      <c r="B660" s="485"/>
      <c r="C660" s="488"/>
      <c r="D660" s="1303"/>
      <c r="E660" s="1303"/>
      <c r="F660" s="1303"/>
      <c r="I660" s="491"/>
    </row>
    <row r="661" spans="1:9" ht="14.25">
      <c r="A661" s="484"/>
      <c r="B661" s="485"/>
      <c r="C661" s="488"/>
      <c r="D661" s="1303"/>
      <c r="E661" s="1303"/>
      <c r="F661" s="1303"/>
      <c r="I661" s="491"/>
    </row>
    <row r="662" spans="1:9" ht="14.25">
      <c r="A662" s="484"/>
      <c r="B662" s="485"/>
      <c r="C662" s="488"/>
      <c r="D662" s="1303"/>
      <c r="E662" s="1303"/>
      <c r="F662" s="1303"/>
      <c r="I662" s="491"/>
    </row>
    <row r="663" spans="1:9" ht="14.25" customHeight="1">
      <c r="A663" s="484"/>
      <c r="B663" s="485"/>
      <c r="C663" s="488"/>
      <c r="F663" s="387"/>
      <c r="I663" s="491"/>
    </row>
    <row r="664" spans="1:9" ht="12.75" customHeight="1">
      <c r="A664" s="484"/>
      <c r="B664" s="486" t="s">
        <v>2743</v>
      </c>
      <c r="C664" s="488"/>
      <c r="D664" s="1303" t="s">
        <v>1282</v>
      </c>
      <c r="E664" s="1303"/>
      <c r="F664" s="1303"/>
      <c r="I664" s="491"/>
    </row>
    <row r="665" spans="1:9" ht="14.25">
      <c r="A665" s="484"/>
      <c r="B665" s="485"/>
      <c r="C665" s="488"/>
      <c r="D665" s="1303"/>
      <c r="E665" s="1303"/>
      <c r="F665" s="1303"/>
      <c r="I665" s="491"/>
    </row>
    <row r="666" spans="1:9" ht="14.25">
      <c r="A666" s="485"/>
      <c r="B666" s="485"/>
      <c r="C666" s="488"/>
      <c r="D666" s="1303"/>
      <c r="E666" s="1303"/>
      <c r="F666" s="1303"/>
      <c r="I666" s="491"/>
    </row>
    <row r="667" spans="1:9" ht="14.25">
      <c r="A667" s="485"/>
      <c r="B667" s="485"/>
      <c r="C667" s="488"/>
      <c r="D667" s="1303"/>
      <c r="E667" s="1303"/>
      <c r="F667" s="1303"/>
      <c r="I667" s="491"/>
    </row>
    <row r="668" spans="1:9" ht="14.25">
      <c r="A668" s="485"/>
      <c r="B668" s="485"/>
      <c r="C668" s="488"/>
      <c r="D668" s="446"/>
      <c r="E668" s="446"/>
      <c r="F668" s="446"/>
      <c r="I668" s="491"/>
    </row>
    <row r="669" spans="1:9" ht="12.75" customHeight="1">
      <c r="A669" s="484"/>
      <c r="B669" s="486" t="s">
        <v>2744</v>
      </c>
      <c r="C669" s="488"/>
      <c r="D669" s="1303" t="s">
        <v>2068</v>
      </c>
      <c r="E669" s="1303"/>
      <c r="F669" s="1303"/>
      <c r="I669" s="491"/>
    </row>
    <row r="670" spans="1:9" ht="12.75" customHeight="1">
      <c r="A670" s="484"/>
      <c r="B670" s="485"/>
      <c r="C670" s="488"/>
      <c r="D670" s="1303"/>
      <c r="E670" s="1303"/>
      <c r="F670" s="1303"/>
      <c r="I670" s="491"/>
    </row>
    <row r="671" spans="1:9" ht="12.75" customHeight="1">
      <c r="A671" s="484"/>
      <c r="B671" s="485"/>
      <c r="C671" s="488"/>
      <c r="D671" s="1303"/>
      <c r="E671" s="1303"/>
      <c r="F671" s="1303"/>
      <c r="I671" s="491"/>
    </row>
    <row r="672" spans="1:9" ht="12.75" customHeight="1">
      <c r="A672" s="484"/>
      <c r="B672" s="485"/>
      <c r="C672" s="488"/>
      <c r="D672" s="1303"/>
      <c r="E672" s="1303"/>
      <c r="F672" s="1303"/>
      <c r="I672" s="491"/>
    </row>
    <row r="673" spans="1:11" ht="12.75" customHeight="1">
      <c r="A673" s="484"/>
      <c r="B673" s="485"/>
      <c r="C673" s="488"/>
      <c r="D673" s="1303"/>
      <c r="E673" s="1303"/>
      <c r="F673" s="1303"/>
      <c r="I673" s="491"/>
    </row>
    <row r="674" spans="1:11" ht="12.75" customHeight="1">
      <c r="A674" s="484"/>
      <c r="B674" s="485"/>
      <c r="C674" s="488"/>
      <c r="D674" s="1303"/>
      <c r="E674" s="1303"/>
      <c r="F674" s="1303"/>
      <c r="I674" s="491"/>
    </row>
    <row r="675" spans="1:11" ht="12.75" customHeight="1">
      <c r="A675" s="484"/>
      <c r="B675" s="485"/>
      <c r="C675" s="488"/>
      <c r="D675" s="1303"/>
      <c r="E675" s="1303"/>
      <c r="F675" s="1303"/>
      <c r="I675" s="491"/>
    </row>
    <row r="676" spans="1:11" ht="12.75" customHeight="1">
      <c r="A676" s="484"/>
      <c r="B676" s="485"/>
      <c r="C676" s="488"/>
      <c r="D676" s="1303"/>
      <c r="E676" s="1303"/>
      <c r="F676" s="1303"/>
      <c r="I676" s="491"/>
    </row>
    <row r="677" spans="1:11" ht="12.75" customHeight="1">
      <c r="A677" s="484"/>
      <c r="B677" s="485"/>
      <c r="C677" s="488"/>
      <c r="D677" s="1303"/>
      <c r="E677" s="1303"/>
      <c r="F677" s="1303"/>
      <c r="I677" s="491"/>
    </row>
    <row r="678" spans="1:11">
      <c r="A678" s="488"/>
      <c r="B678" s="488"/>
      <c r="C678" s="488"/>
      <c r="D678" s="447"/>
      <c r="E678" s="447"/>
      <c r="F678" s="447"/>
      <c r="I678" s="491"/>
    </row>
    <row r="679" spans="1:11">
      <c r="A679" s="1310" t="s">
        <v>1059</v>
      </c>
      <c r="B679" s="1310"/>
      <c r="C679" s="1310"/>
      <c r="D679" s="1310"/>
      <c r="E679" s="1310"/>
      <c r="F679" s="1310"/>
      <c r="G679" s="1310"/>
      <c r="H679" s="1031"/>
      <c r="I679" s="1159"/>
      <c r="J679" s="502"/>
      <c r="K679" s="502"/>
    </row>
    <row r="680" spans="1:11">
      <c r="A680" s="449"/>
      <c r="B680" s="449"/>
      <c r="C680" s="449"/>
      <c r="D680" s="449"/>
      <c r="E680" s="449"/>
      <c r="F680" s="449"/>
      <c r="G680" s="449"/>
      <c r="H680" s="502"/>
      <c r="I680" s="484"/>
      <c r="J680" s="502"/>
      <c r="K680" s="502"/>
    </row>
    <row r="681" spans="1:11">
      <c r="C681" s="483"/>
      <c r="D681" s="1311" t="s">
        <v>99</v>
      </c>
      <c r="E681" s="1311"/>
      <c r="F681" s="1311"/>
      <c r="H681" s="502"/>
      <c r="I681" s="484"/>
      <c r="J681" s="502"/>
      <c r="K681" s="502"/>
    </row>
    <row r="682" spans="1:11">
      <c r="A682" s="483"/>
      <c r="B682" s="483"/>
      <c r="C682" s="483"/>
      <c r="D682" s="1311" t="s">
        <v>123</v>
      </c>
      <c r="E682" s="1311"/>
      <c r="F682" s="1311"/>
      <c r="H682" s="502"/>
      <c r="I682" s="484"/>
      <c r="J682" s="502"/>
      <c r="K682" s="502"/>
    </row>
    <row r="683" spans="1:11">
      <c r="A683" s="484"/>
      <c r="B683" s="484"/>
      <c r="C683" s="484"/>
      <c r="D683" s="1301" t="s">
        <v>1076</v>
      </c>
      <c r="E683" s="1301"/>
      <c r="F683" s="1301"/>
      <c r="H683" s="502"/>
      <c r="I683" s="484"/>
      <c r="J683" s="502"/>
      <c r="K683" s="502"/>
    </row>
    <row r="684" spans="1:11">
      <c r="A684" s="484"/>
      <c r="B684" s="484"/>
      <c r="C684" s="484"/>
      <c r="H684" s="502"/>
      <c r="I684" s="484"/>
      <c r="J684" s="502"/>
      <c r="K684" s="502"/>
    </row>
    <row r="685" spans="1:11" ht="14.25">
      <c r="A685" s="485"/>
      <c r="B685" s="486" t="s">
        <v>2744</v>
      </c>
      <c r="C685" s="484"/>
      <c r="D685" s="1301" t="s">
        <v>885</v>
      </c>
      <c r="E685" s="1301"/>
      <c r="F685" s="1301"/>
      <c r="H685" s="502"/>
      <c r="I685" s="484"/>
      <c r="J685" s="502"/>
      <c r="K685" s="502"/>
    </row>
    <row r="686" spans="1:11">
      <c r="A686" s="484"/>
      <c r="B686" s="484"/>
      <c r="C686" s="484"/>
      <c r="D686" s="1301" t="s">
        <v>894</v>
      </c>
      <c r="E686" s="1301"/>
      <c r="F686" s="1301"/>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2744</v>
      </c>
      <c r="C690" s="484"/>
      <c r="D690" s="1303" t="s">
        <v>2069</v>
      </c>
      <c r="E690" s="1303"/>
      <c r="F690" s="1303"/>
      <c r="H690" s="502"/>
      <c r="I690" s="484"/>
      <c r="J690" s="502"/>
      <c r="K690" s="502"/>
    </row>
    <row r="691" spans="1:11">
      <c r="A691" s="491"/>
      <c r="B691" s="491"/>
      <c r="C691" s="484"/>
      <c r="D691" s="1303"/>
      <c r="E691" s="1303"/>
      <c r="F691" s="1303"/>
      <c r="H691" s="502"/>
      <c r="I691" s="484"/>
      <c r="J691" s="502"/>
      <c r="K691" s="502"/>
    </row>
    <row r="692" spans="1:11">
      <c r="A692" s="484"/>
      <c r="B692" s="484"/>
      <c r="C692" s="484"/>
      <c r="D692" s="1303"/>
      <c r="E692" s="1303"/>
      <c r="F692" s="1303"/>
      <c r="H692" s="502"/>
      <c r="I692" s="484"/>
      <c r="J692" s="502"/>
      <c r="K692" s="502"/>
    </row>
    <row r="693" spans="1:11">
      <c r="A693" s="484"/>
      <c r="B693" s="484"/>
      <c r="C693" s="484"/>
      <c r="H693" s="502"/>
      <c r="J693" s="502"/>
      <c r="K693" s="502"/>
    </row>
    <row r="694" spans="1:11" ht="14.25">
      <c r="A694" s="485"/>
      <c r="B694" s="486" t="s">
        <v>2743</v>
      </c>
      <c r="C694" s="484"/>
      <c r="D694" s="1301" t="s">
        <v>917</v>
      </c>
      <c r="E694" s="1301"/>
      <c r="F694" s="1301"/>
      <c r="H694" s="502"/>
      <c r="I694" s="484"/>
      <c r="J694" s="502"/>
      <c r="K694" s="502"/>
    </row>
    <row r="695" spans="1:11" ht="14.25">
      <c r="A695" s="485"/>
      <c r="B695" s="485"/>
      <c r="C695" s="484"/>
      <c r="D695" s="1301" t="s">
        <v>894</v>
      </c>
      <c r="E695" s="1301"/>
      <c r="F695" s="1301"/>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2744</v>
      </c>
      <c r="C698" s="484"/>
      <c r="D698" s="1301" t="s">
        <v>2472</v>
      </c>
      <c r="E698" s="1301"/>
      <c r="F698" s="1301"/>
      <c r="H698" s="502"/>
      <c r="I698" s="484"/>
      <c r="J698" s="502"/>
      <c r="K698" s="502"/>
    </row>
    <row r="699" spans="1:11" ht="14.25">
      <c r="A699" s="485"/>
      <c r="B699" s="485"/>
      <c r="C699" s="484"/>
      <c r="D699" s="1301" t="s">
        <v>894</v>
      </c>
      <c r="E699" s="1301"/>
      <c r="F699" s="1301"/>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2743</v>
      </c>
      <c r="C702" s="484"/>
      <c r="D702" s="1303" t="s">
        <v>2247</v>
      </c>
      <c r="E702" s="1303"/>
      <c r="F702" s="1303"/>
      <c r="H702" s="502"/>
      <c r="I702" s="484"/>
      <c r="J702" s="502"/>
      <c r="K702" s="502"/>
    </row>
    <row r="703" spans="1:11">
      <c r="A703" s="484"/>
      <c r="B703" s="484"/>
      <c r="C703" s="484"/>
      <c r="D703" s="1303"/>
      <c r="E703" s="1303"/>
      <c r="F703" s="1303"/>
      <c r="H703" s="502"/>
      <c r="I703" s="484"/>
      <c r="J703" s="502"/>
      <c r="K703" s="502"/>
    </row>
    <row r="704" spans="1:11">
      <c r="A704" s="484"/>
      <c r="B704" s="484"/>
      <c r="C704" s="484"/>
      <c r="D704" s="1303"/>
      <c r="E704" s="1303"/>
      <c r="F704" s="1303"/>
      <c r="H704" s="502"/>
      <c r="I704" s="484"/>
      <c r="J704" s="502"/>
      <c r="K704" s="502"/>
    </row>
    <row r="705" spans="1:11">
      <c r="A705" s="484"/>
      <c r="B705" s="484"/>
      <c r="C705" s="484"/>
      <c r="D705" s="1303"/>
      <c r="E705" s="1303"/>
      <c r="F705" s="1303"/>
      <c r="H705" s="502"/>
      <c r="I705" s="484"/>
      <c r="J705" s="502"/>
      <c r="K705" s="502"/>
    </row>
    <row r="706" spans="1:11">
      <c r="A706" s="484"/>
      <c r="B706" s="484"/>
      <c r="C706" s="484"/>
      <c r="D706" s="1303"/>
      <c r="E706" s="1303"/>
      <c r="F706" s="1303"/>
      <c r="H706" s="502"/>
      <c r="I706" s="484"/>
      <c r="J706" s="502"/>
      <c r="K706" s="502"/>
    </row>
    <row r="707" spans="1:11">
      <c r="A707" s="484"/>
      <c r="B707" s="484"/>
      <c r="C707" s="484"/>
      <c r="D707" s="1303"/>
      <c r="E707" s="1303"/>
      <c r="F707" s="1303"/>
      <c r="H707" s="502"/>
      <c r="I707" s="484"/>
      <c r="J707" s="502"/>
      <c r="K707" s="502"/>
    </row>
    <row r="708" spans="1:11">
      <c r="A708" s="484"/>
      <c r="B708" s="484"/>
      <c r="C708" s="484"/>
      <c r="D708" s="446"/>
      <c r="E708" s="446"/>
      <c r="F708" s="446"/>
      <c r="H708" s="502"/>
      <c r="I708" s="484"/>
      <c r="J708" s="502"/>
      <c r="K708" s="502"/>
    </row>
    <row r="709" spans="1:11">
      <c r="A709" s="484"/>
      <c r="B709" s="486" t="s">
        <v>2743</v>
      </c>
      <c r="C709" s="484"/>
      <c r="D709" s="1303" t="s">
        <v>1201</v>
      </c>
      <c r="E709" s="1303"/>
      <c r="F709" s="1303"/>
      <c r="H709" s="502"/>
      <c r="I709" s="484"/>
      <c r="J709" s="502"/>
      <c r="K709" s="502"/>
    </row>
    <row r="710" spans="1:11">
      <c r="A710" s="484"/>
      <c r="B710" s="484"/>
      <c r="C710" s="484"/>
      <c r="D710" s="1303"/>
      <c r="E710" s="1303"/>
      <c r="F710" s="1303"/>
      <c r="H710" s="502"/>
      <c r="I710" s="484"/>
      <c r="J710" s="502"/>
      <c r="K710" s="502"/>
    </row>
    <row r="711" spans="1:11">
      <c r="A711" s="484"/>
      <c r="B711" s="484"/>
      <c r="C711" s="484"/>
      <c r="D711" s="446"/>
      <c r="E711" s="446"/>
      <c r="F711" s="446"/>
      <c r="H711" s="502"/>
      <c r="I711" s="484"/>
      <c r="J711" s="502"/>
      <c r="K711" s="502"/>
    </row>
    <row r="712" spans="1:11" ht="14.25">
      <c r="A712" s="485"/>
      <c r="B712" s="486" t="s">
        <v>2744</v>
      </c>
      <c r="C712" s="484"/>
      <c r="D712" s="1303" t="s">
        <v>1077</v>
      </c>
      <c r="E712" s="1303"/>
      <c r="F712" s="1303"/>
      <c r="H712" s="502"/>
      <c r="I712" s="484"/>
      <c r="J712" s="502"/>
      <c r="K712" s="502"/>
    </row>
    <row r="713" spans="1:11">
      <c r="A713" s="484"/>
      <c r="B713" s="484"/>
      <c r="C713" s="484"/>
      <c r="D713" s="1303"/>
      <c r="E713" s="1303"/>
      <c r="F713" s="1303"/>
      <c r="H713" s="502"/>
      <c r="I713" s="484"/>
      <c r="J713" s="502"/>
      <c r="K713" s="502"/>
    </row>
    <row r="714" spans="1:11">
      <c r="A714" s="484"/>
      <c r="B714" s="484"/>
      <c r="C714" s="484"/>
      <c r="D714" s="1303"/>
      <c r="E714" s="1303"/>
      <c r="F714" s="1303"/>
      <c r="H714" s="502"/>
      <c r="I714" s="484"/>
      <c r="J714" s="502"/>
      <c r="K714" s="502"/>
    </row>
    <row r="715" spans="1:11" ht="15" customHeight="1">
      <c r="A715" s="484"/>
      <c r="B715" s="484"/>
      <c r="C715" s="484"/>
      <c r="D715" s="1303"/>
      <c r="E715" s="1303"/>
      <c r="F715" s="1303"/>
      <c r="H715" s="502"/>
      <c r="I715" s="484"/>
      <c r="J715" s="502"/>
      <c r="K715" s="502"/>
    </row>
    <row r="716" spans="1:11" ht="15" customHeight="1">
      <c r="A716" s="484"/>
      <c r="B716" s="484"/>
      <c r="C716" s="484"/>
      <c r="D716" s="1303"/>
      <c r="E716" s="1303"/>
      <c r="F716" s="1303"/>
      <c r="H716" s="502"/>
      <c r="I716" s="484"/>
      <c r="J716" s="502"/>
      <c r="K716" s="502"/>
    </row>
    <row r="717" spans="1:11">
      <c r="A717" s="484"/>
      <c r="B717" s="484"/>
      <c r="C717" s="484"/>
      <c r="D717" s="1303"/>
      <c r="E717" s="1303"/>
      <c r="F717" s="1303"/>
      <c r="H717" s="502"/>
      <c r="I717" s="484"/>
      <c r="J717" s="502"/>
      <c r="K717" s="502"/>
    </row>
    <row r="718" spans="1:11">
      <c r="A718" s="484"/>
      <c r="B718" s="484"/>
      <c r="C718" s="484"/>
      <c r="D718" s="1303"/>
      <c r="E718" s="1303"/>
      <c r="F718" s="1303"/>
      <c r="H718" s="502"/>
      <c r="I718" s="484"/>
      <c r="J718" s="502"/>
      <c r="K718" s="502"/>
    </row>
    <row r="719" spans="1:11">
      <c r="A719" s="484"/>
      <c r="B719" s="484"/>
      <c r="C719" s="484"/>
      <c r="D719" s="1303"/>
      <c r="E719" s="1303"/>
      <c r="F719" s="1303"/>
      <c r="H719" s="502"/>
      <c r="I719" s="484"/>
      <c r="J719" s="502"/>
      <c r="K719" s="502"/>
    </row>
    <row r="720" spans="1:11" ht="15" customHeight="1">
      <c r="A720" s="484"/>
      <c r="B720" s="484"/>
      <c r="C720" s="484"/>
      <c r="D720" s="1303"/>
      <c r="E720" s="1303"/>
      <c r="F720" s="1303"/>
      <c r="H720" s="502"/>
      <c r="I720" s="484"/>
      <c r="J720" s="502"/>
      <c r="K720" s="502"/>
    </row>
    <row r="721" spans="1:11">
      <c r="A721" s="484"/>
      <c r="B721" s="484"/>
      <c r="C721" s="484"/>
      <c r="D721" s="1303"/>
      <c r="E721" s="1303"/>
      <c r="F721" s="1303"/>
      <c r="H721" s="502"/>
      <c r="I721" s="484"/>
      <c r="J721" s="502"/>
      <c r="K721" s="502"/>
    </row>
    <row r="722" spans="1:11">
      <c r="A722" s="484"/>
      <c r="B722" s="484"/>
      <c r="C722" s="484"/>
      <c r="D722" s="1303"/>
      <c r="E722" s="1303"/>
      <c r="F722" s="1303"/>
      <c r="H722" s="502"/>
      <c r="I722" s="484"/>
      <c r="J722" s="502"/>
      <c r="K722" s="502"/>
    </row>
    <row r="723" spans="1:11">
      <c r="A723" s="484"/>
      <c r="B723" s="484"/>
      <c r="C723" s="484"/>
      <c r="D723" s="1303"/>
      <c r="E723" s="1303"/>
      <c r="F723" s="1303"/>
      <c r="H723" s="502"/>
      <c r="I723" s="484"/>
      <c r="J723" s="502"/>
      <c r="K723" s="502"/>
    </row>
    <row r="724" spans="1:11">
      <c r="A724" s="484"/>
      <c r="B724" s="484"/>
      <c r="C724" s="484"/>
      <c r="D724" s="1303"/>
      <c r="E724" s="1303"/>
      <c r="F724" s="1303"/>
      <c r="H724" s="502"/>
      <c r="I724" s="484"/>
      <c r="J724" s="502"/>
      <c r="K724" s="502"/>
    </row>
    <row r="725" spans="1:11">
      <c r="A725" s="484"/>
      <c r="B725" s="486" t="s">
        <v>2744</v>
      </c>
      <c r="C725" s="484"/>
      <c r="D725" s="1303" t="s">
        <v>2465</v>
      </c>
      <c r="E725" s="1303"/>
      <c r="F725" s="1303"/>
      <c r="H725" s="502"/>
      <c r="I725" s="484"/>
      <c r="J725" s="502"/>
      <c r="K725" s="502"/>
    </row>
    <row r="726" spans="1:11">
      <c r="A726" s="484"/>
      <c r="B726" s="484"/>
      <c r="C726" s="484"/>
      <c r="D726" s="1303"/>
      <c r="E726" s="1303"/>
      <c r="F726" s="1303"/>
      <c r="H726" s="502"/>
      <c r="I726" s="484"/>
      <c r="J726" s="502"/>
      <c r="K726" s="502"/>
    </row>
    <row r="727" spans="1:11">
      <c r="A727" s="484"/>
      <c r="B727" s="484"/>
      <c r="C727" s="484"/>
      <c r="D727" s="1303"/>
      <c r="E727" s="1303"/>
      <c r="F727" s="1303"/>
      <c r="H727" s="502"/>
      <c r="I727" s="484"/>
      <c r="J727" s="502"/>
      <c r="K727" s="502"/>
    </row>
    <row r="728" spans="1:11">
      <c r="A728" s="484"/>
      <c r="B728" s="484"/>
      <c r="C728" s="484"/>
      <c r="D728" s="446"/>
      <c r="E728" s="446"/>
      <c r="F728" s="446"/>
      <c r="H728" s="502"/>
      <c r="I728" s="484"/>
      <c r="J728" s="502"/>
      <c r="K728" s="502"/>
    </row>
    <row r="729" spans="1:11">
      <c r="A729" s="484"/>
      <c r="B729" s="486" t="s">
        <v>2744</v>
      </c>
      <c r="C729" s="484"/>
      <c r="D729" s="1303" t="s">
        <v>2464</v>
      </c>
      <c r="E729" s="1303"/>
      <c r="F729" s="1303"/>
      <c r="H729" s="502"/>
      <c r="I729" s="484"/>
      <c r="J729" s="502"/>
      <c r="K729" s="502"/>
    </row>
    <row r="730" spans="1:11">
      <c r="A730" s="484"/>
      <c r="B730" s="484"/>
      <c r="C730" s="484"/>
      <c r="D730" s="1303"/>
      <c r="E730" s="1303"/>
      <c r="F730" s="1303"/>
      <c r="H730" s="502"/>
      <c r="I730" s="484"/>
      <c r="J730" s="502"/>
      <c r="K730" s="502"/>
    </row>
    <row r="731" spans="1:11">
      <c r="A731" s="484"/>
      <c r="B731" s="484"/>
      <c r="C731" s="484"/>
      <c r="D731" s="1303"/>
      <c r="E731" s="1303"/>
      <c r="F731" s="1303"/>
      <c r="H731" s="502"/>
      <c r="I731" s="484"/>
      <c r="J731" s="502"/>
      <c r="K731" s="502"/>
    </row>
    <row r="732" spans="1:11">
      <c r="A732" s="484"/>
      <c r="B732" s="484"/>
      <c r="C732" s="484"/>
      <c r="H732" s="502"/>
      <c r="I732" s="484"/>
      <c r="J732" s="502"/>
      <c r="K732" s="502"/>
    </row>
    <row r="733" spans="1:11">
      <c r="A733" s="484"/>
      <c r="B733" s="486" t="s">
        <v>2744</v>
      </c>
      <c r="C733" s="484"/>
      <c r="D733" s="1303" t="s">
        <v>2463</v>
      </c>
      <c r="E733" s="1303"/>
      <c r="F733" s="1303"/>
      <c r="H733" s="502"/>
      <c r="I733" s="484"/>
      <c r="J733" s="502"/>
      <c r="K733" s="502"/>
    </row>
    <row r="734" spans="1:11">
      <c r="A734" s="484"/>
      <c r="B734" s="484"/>
      <c r="C734" s="484"/>
      <c r="D734" s="1303"/>
      <c r="E734" s="1303"/>
      <c r="F734" s="1303"/>
      <c r="H734" s="502"/>
      <c r="I734" s="484"/>
      <c r="J734" s="502"/>
      <c r="K734" s="502"/>
    </row>
    <row r="735" spans="1:11">
      <c r="A735" s="484"/>
      <c r="B735" s="484"/>
      <c r="C735" s="484"/>
      <c r="D735" s="1303"/>
      <c r="E735" s="1303"/>
      <c r="F735" s="1303"/>
      <c r="H735" s="502"/>
      <c r="I735" s="484"/>
      <c r="J735" s="502"/>
      <c r="K735" s="502"/>
    </row>
    <row r="736" spans="1:11">
      <c r="A736" s="484"/>
      <c r="B736" s="484"/>
      <c r="C736" s="484"/>
      <c r="D736" s="1303"/>
      <c r="E736" s="1303"/>
      <c r="F736" s="1303"/>
      <c r="H736" s="502"/>
      <c r="I736" s="484"/>
      <c r="J736" s="502"/>
      <c r="K736" s="502"/>
    </row>
    <row r="737" spans="1:11">
      <c r="A737" s="484"/>
      <c r="B737" s="484"/>
      <c r="C737" s="484"/>
      <c r="H737" s="502"/>
      <c r="I737" s="484"/>
      <c r="J737" s="502"/>
      <c r="K737" s="502"/>
    </row>
    <row r="738" spans="1:11" ht="14.25">
      <c r="A738" s="485"/>
      <c r="B738" s="486" t="s">
        <v>2744</v>
      </c>
      <c r="C738" s="484"/>
      <c r="D738" s="1303" t="s">
        <v>1078</v>
      </c>
      <c r="E738" s="1303"/>
      <c r="F738" s="1303"/>
      <c r="H738" s="502"/>
      <c r="I738" s="484"/>
      <c r="J738" s="502"/>
      <c r="K738" s="502"/>
    </row>
    <row r="739" spans="1:11">
      <c r="A739" s="484"/>
      <c r="B739" s="484"/>
      <c r="C739" s="484"/>
      <c r="D739" s="1303"/>
      <c r="E739" s="1303"/>
      <c r="F739" s="1303"/>
      <c r="H739" s="502"/>
      <c r="I739" s="484"/>
      <c r="J739" s="502"/>
      <c r="K739" s="502"/>
    </row>
    <row r="740" spans="1:11">
      <c r="A740" s="484"/>
      <c r="B740" s="484"/>
      <c r="C740" s="484"/>
      <c r="D740" s="1303"/>
      <c r="E740" s="1303"/>
      <c r="F740" s="1303"/>
      <c r="H740" s="502"/>
      <c r="I740" s="484"/>
      <c r="J740" s="502"/>
      <c r="K740" s="502"/>
    </row>
    <row r="741" spans="1:11">
      <c r="A741" s="484"/>
      <c r="B741" s="484"/>
      <c r="C741" s="484"/>
      <c r="D741" s="1303"/>
      <c r="E741" s="1303"/>
      <c r="F741" s="1303"/>
      <c r="H741" s="502"/>
      <c r="I741" s="484"/>
      <c r="J741" s="502"/>
      <c r="K741" s="502"/>
    </row>
    <row r="742" spans="1:11">
      <c r="A742" s="484"/>
      <c r="B742" s="484"/>
      <c r="C742" s="484"/>
      <c r="D742" s="1303"/>
      <c r="E742" s="1303"/>
      <c r="F742" s="1303"/>
      <c r="H742" s="502"/>
      <c r="I742" s="484"/>
      <c r="J742" s="502"/>
      <c r="K742" s="502"/>
    </row>
    <row r="743" spans="1:11">
      <c r="A743" s="484"/>
      <c r="B743" s="484"/>
      <c r="C743" s="484"/>
      <c r="D743" s="493"/>
      <c r="H743" s="502"/>
      <c r="I743" s="484"/>
      <c r="J743" s="502"/>
      <c r="K743" s="502"/>
    </row>
    <row r="744" spans="1:11" ht="14.25">
      <c r="A744" s="485"/>
      <c r="B744" s="486" t="s">
        <v>2744</v>
      </c>
      <c r="C744" s="484"/>
      <c r="D744" s="1303" t="s">
        <v>2147</v>
      </c>
      <c r="E744" s="1303"/>
      <c r="F744" s="1303"/>
      <c r="H744" s="502"/>
      <c r="I744" s="484"/>
      <c r="J744" s="502"/>
      <c r="K744" s="502"/>
    </row>
    <row r="745" spans="1:11">
      <c r="A745" s="484"/>
      <c r="B745" s="484"/>
      <c r="C745" s="484"/>
      <c r="D745" s="1303"/>
      <c r="E745" s="1303"/>
      <c r="F745" s="1303"/>
      <c r="H745" s="502"/>
      <c r="I745" s="484"/>
      <c r="J745" s="502"/>
      <c r="K745" s="502"/>
    </row>
    <row r="746" spans="1:11">
      <c r="A746" s="484"/>
      <c r="B746" s="484"/>
      <c r="C746" s="484"/>
      <c r="D746" s="1303"/>
      <c r="E746" s="1303"/>
      <c r="F746" s="1303"/>
      <c r="H746" s="502"/>
      <c r="I746" s="484"/>
      <c r="J746" s="502"/>
      <c r="K746" s="502"/>
    </row>
    <row r="747" spans="1:11">
      <c r="A747" s="484"/>
      <c r="B747" s="484"/>
      <c r="C747" s="484"/>
      <c r="D747" s="1303"/>
      <c r="E747" s="1303"/>
      <c r="F747" s="1303"/>
      <c r="H747" s="502"/>
      <c r="I747" s="484"/>
      <c r="J747" s="502"/>
      <c r="K747" s="502"/>
    </row>
    <row r="748" spans="1:11">
      <c r="A748" s="484"/>
      <c r="B748" s="484"/>
      <c r="C748" s="484"/>
      <c r="D748" s="1303"/>
      <c r="E748" s="1303"/>
      <c r="F748" s="1303"/>
      <c r="H748" s="502"/>
      <c r="I748" s="484"/>
      <c r="J748" s="502"/>
      <c r="K748" s="502"/>
    </row>
    <row r="749" spans="1:11">
      <c r="A749" s="484"/>
      <c r="B749" s="484"/>
      <c r="C749" s="484"/>
      <c r="D749" s="1303"/>
      <c r="E749" s="1303"/>
      <c r="F749" s="1303"/>
      <c r="H749" s="502"/>
      <c r="I749" s="484"/>
      <c r="J749" s="502"/>
      <c r="K749" s="502"/>
    </row>
    <row r="750" spans="1:11">
      <c r="A750" s="484"/>
      <c r="B750" s="484"/>
      <c r="C750" s="484"/>
      <c r="D750" s="1303"/>
      <c r="E750" s="1303"/>
      <c r="F750" s="1303"/>
      <c r="H750" s="502"/>
      <c r="I750" s="484"/>
      <c r="J750" s="502"/>
      <c r="K750" s="502"/>
    </row>
    <row r="751" spans="1:11">
      <c r="A751" s="484"/>
      <c r="B751" s="484"/>
      <c r="C751" s="484"/>
      <c r="D751" s="1304" t="s">
        <v>2076</v>
      </c>
      <c r="E751" s="1304"/>
      <c r="F751" s="1304"/>
      <c r="H751" s="502"/>
      <c r="I751" s="484"/>
      <c r="J751" s="502"/>
      <c r="K751" s="502"/>
    </row>
    <row r="752" spans="1:11">
      <c r="A752" s="484"/>
      <c r="B752" s="484"/>
      <c r="C752" s="484"/>
      <c r="D752" s="342"/>
      <c r="H752" s="502"/>
      <c r="I752" s="484"/>
      <c r="J752" s="502"/>
      <c r="K752" s="502"/>
    </row>
    <row r="753" spans="1:11">
      <c r="A753" s="1302" t="s">
        <v>1060</v>
      </c>
      <c r="B753" s="1302"/>
      <c r="C753" s="1302"/>
      <c r="D753" s="1302"/>
      <c r="E753" s="1302"/>
      <c r="F753" s="1302"/>
      <c r="G753" s="1302"/>
      <c r="H753" s="1031"/>
      <c r="I753" s="1159"/>
      <c r="J753" s="502"/>
      <c r="K753" s="502"/>
    </row>
    <row r="754" spans="1:11">
      <c r="A754" s="484"/>
      <c r="B754" s="484"/>
      <c r="C754" s="484"/>
      <c r="D754" s="493"/>
      <c r="G754" s="502"/>
      <c r="H754" s="502"/>
      <c r="I754" s="484"/>
      <c r="J754" s="502"/>
      <c r="K754" s="502"/>
    </row>
    <row r="755" spans="1:11" ht="13.7" customHeight="1">
      <c r="C755" s="484"/>
      <c r="D755" s="1319" t="s">
        <v>1070</v>
      </c>
      <c r="E755" s="1319"/>
      <c r="F755" s="1319"/>
      <c r="G755" s="502"/>
      <c r="H755" s="502"/>
      <c r="I755" s="484"/>
      <c r="J755" s="502"/>
      <c r="K755" s="502"/>
    </row>
    <row r="756" spans="1:11">
      <c r="A756" s="484"/>
      <c r="B756" s="484"/>
      <c r="C756" s="484"/>
      <c r="D756" s="1305" t="s">
        <v>1071</v>
      </c>
      <c r="E756" s="1305"/>
      <c r="F756" s="1305"/>
      <c r="G756" s="502"/>
      <c r="H756" s="502"/>
      <c r="I756" s="484"/>
      <c r="J756" s="502"/>
      <c r="K756" s="502"/>
    </row>
    <row r="757" spans="1:11">
      <c r="A757" s="484"/>
      <c r="B757" s="484"/>
      <c r="C757" s="484"/>
      <c r="G757" s="502"/>
      <c r="H757" s="502"/>
      <c r="I757" s="484"/>
      <c r="J757" s="502"/>
      <c r="K757" s="502"/>
    </row>
    <row r="758" spans="1:11" ht="14.25">
      <c r="A758" s="485"/>
      <c r="B758" s="486" t="s">
        <v>2743</v>
      </c>
      <c r="D758" s="1303" t="s">
        <v>1072</v>
      </c>
      <c r="E758" s="1303"/>
      <c r="F758" s="1303"/>
      <c r="G758" s="502"/>
      <c r="H758" s="502"/>
      <c r="I758" s="484"/>
      <c r="J758" s="502"/>
      <c r="K758" s="502"/>
    </row>
    <row r="759" spans="1:11" ht="10.5" customHeight="1">
      <c r="D759" s="1303"/>
      <c r="E759" s="1303"/>
      <c r="F759" s="1303"/>
      <c r="G759" s="502"/>
      <c r="H759" s="502"/>
      <c r="I759" s="484"/>
      <c r="J759" s="502"/>
      <c r="K759" s="502"/>
    </row>
    <row r="760" spans="1:11">
      <c r="D760" s="1303"/>
      <c r="E760" s="1303"/>
      <c r="F760" s="1303"/>
      <c r="G760" s="502"/>
      <c r="H760" s="502"/>
      <c r="I760" s="484"/>
      <c r="J760" s="502"/>
      <c r="K760" s="502"/>
    </row>
    <row r="761" spans="1:11">
      <c r="D761" s="1303"/>
      <c r="E761" s="1303"/>
      <c r="F761" s="1303"/>
      <c r="G761" s="502"/>
      <c r="H761" s="502"/>
      <c r="I761" s="484"/>
      <c r="J761" s="502"/>
      <c r="K761" s="502"/>
    </row>
    <row r="762" spans="1:11">
      <c r="D762" s="1303"/>
      <c r="E762" s="1303"/>
      <c r="F762" s="1303"/>
      <c r="G762" s="502"/>
      <c r="H762" s="502"/>
      <c r="I762" s="484"/>
      <c r="J762" s="502"/>
      <c r="K762" s="502"/>
    </row>
    <row r="763" spans="1:11" ht="15.6" customHeight="1">
      <c r="D763" s="1303"/>
      <c r="E763" s="1303"/>
      <c r="F763" s="1303"/>
      <c r="G763" s="502"/>
      <c r="H763" s="502"/>
      <c r="I763" s="484"/>
      <c r="J763" s="502"/>
      <c r="K763" s="502"/>
    </row>
    <row r="764" spans="1:11">
      <c r="D764" s="500"/>
      <c r="E764" s="447"/>
      <c r="F764" s="447"/>
      <c r="G764" s="502"/>
      <c r="H764" s="502"/>
      <c r="I764" s="484"/>
      <c r="J764" s="502"/>
      <c r="K764" s="502"/>
    </row>
    <row r="765" spans="1:11" s="506" customFormat="1" ht="14.25">
      <c r="A765" s="504"/>
      <c r="B765" s="486" t="s">
        <v>2743</v>
      </c>
      <c r="C765" s="505"/>
      <c r="D765" s="1303" t="s">
        <v>1241</v>
      </c>
      <c r="E765" s="1303"/>
      <c r="F765" s="1303"/>
      <c r="I765" s="1160"/>
    </row>
    <row r="766" spans="1:11" s="506" customFormat="1">
      <c r="A766" s="505"/>
      <c r="B766" s="505"/>
      <c r="C766" s="505"/>
      <c r="D766" s="1303"/>
      <c r="E766" s="1303"/>
      <c r="F766" s="1303"/>
      <c r="I766" s="1160"/>
    </row>
    <row r="767" spans="1:11" s="506" customFormat="1">
      <c r="A767" s="505"/>
      <c r="B767" s="505"/>
      <c r="C767" s="505"/>
      <c r="D767" s="1303"/>
      <c r="E767" s="1303"/>
      <c r="F767" s="1303"/>
      <c r="I767" s="1160"/>
    </row>
    <row r="768" spans="1:11" s="506" customFormat="1">
      <c r="A768" s="505"/>
      <c r="B768" s="505"/>
      <c r="C768" s="505"/>
      <c r="D768" s="1303"/>
      <c r="E768" s="1303"/>
      <c r="F768" s="1303"/>
      <c r="I768" s="1160"/>
    </row>
    <row r="769" spans="1:11" s="506" customFormat="1">
      <c r="A769" s="505"/>
      <c r="B769" s="505"/>
      <c r="C769" s="505"/>
      <c r="D769" s="500"/>
      <c r="I769" s="1160"/>
    </row>
    <row r="770" spans="1:11" s="506" customFormat="1" ht="14.25">
      <c r="A770" s="485"/>
      <c r="B770" s="486" t="s">
        <v>2744</v>
      </c>
      <c r="C770" s="505"/>
      <c r="D770" s="1309" t="s">
        <v>1242</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ht="14.25">
      <c r="A774" s="485"/>
      <c r="B774" s="486" t="s">
        <v>2744</v>
      </c>
      <c r="D774" s="1303" t="s">
        <v>1198</v>
      </c>
      <c r="E774" s="1303"/>
      <c r="F774" s="1303"/>
      <c r="G774" s="502"/>
      <c r="H774" s="502"/>
      <c r="I774" s="484"/>
      <c r="J774" s="502"/>
      <c r="K774" s="502"/>
    </row>
    <row r="775" spans="1:11">
      <c r="D775" s="1303"/>
      <c r="E775" s="1303"/>
      <c r="F775" s="1303"/>
      <c r="G775" s="502"/>
      <c r="H775" s="502"/>
      <c r="I775" s="484"/>
      <c r="J775" s="502"/>
      <c r="K775" s="502"/>
    </row>
    <row r="776" spans="1:11">
      <c r="D776" s="446"/>
      <c r="E776" s="446"/>
      <c r="F776" s="446"/>
      <c r="G776" s="502"/>
      <c r="H776" s="502"/>
      <c r="I776" s="484"/>
      <c r="J776" s="502"/>
      <c r="K776" s="502"/>
    </row>
    <row r="777" spans="1:11">
      <c r="B777" s="486" t="s">
        <v>2744</v>
      </c>
      <c r="D777" s="1303" t="s">
        <v>1215</v>
      </c>
      <c r="E777" s="1303"/>
      <c r="F777" s="1303"/>
      <c r="G777" s="502"/>
      <c r="H777" s="502"/>
      <c r="I777" s="484"/>
      <c r="J777" s="502"/>
      <c r="K777" s="502"/>
    </row>
    <row r="778" spans="1:11">
      <c r="D778" s="1303"/>
      <c r="E778" s="1303"/>
      <c r="F778" s="1303"/>
      <c r="G778" s="502"/>
      <c r="H778" s="502"/>
      <c r="I778" s="484"/>
      <c r="J778" s="502"/>
      <c r="K778" s="502"/>
    </row>
    <row r="779" spans="1:11">
      <c r="D779" s="1303"/>
      <c r="E779" s="1303"/>
      <c r="F779" s="1303"/>
      <c r="G779" s="502"/>
      <c r="H779" s="502"/>
      <c r="I779" s="484"/>
      <c r="J779" s="502"/>
      <c r="K779" s="502"/>
    </row>
    <row r="780" spans="1:11">
      <c r="D780" s="446"/>
      <c r="E780" s="446"/>
      <c r="F780" s="446"/>
      <c r="G780" s="502"/>
      <c r="H780" s="502"/>
      <c r="I780" s="484"/>
      <c r="J780" s="502"/>
      <c r="K780" s="502"/>
    </row>
    <row r="781" spans="1:11">
      <c r="A781" s="1318" t="s">
        <v>1801</v>
      </c>
      <c r="B781" s="1318"/>
      <c r="C781" s="1318"/>
      <c r="D781" s="1318"/>
      <c r="E781" s="1318"/>
      <c r="F781" s="1318"/>
      <c r="G781" s="1318"/>
      <c r="H781" s="1029"/>
      <c r="I781" s="1155"/>
    </row>
    <row r="782" spans="1:11">
      <c r="A782" s="57"/>
      <c r="B782" s="57"/>
      <c r="C782" s="355"/>
      <c r="D782" s="3"/>
      <c r="E782" s="3"/>
      <c r="F782" s="3"/>
      <c r="G782" s="3"/>
      <c r="I782" s="491"/>
    </row>
    <row r="783" spans="1:11">
      <c r="A783" s="57"/>
      <c r="B783" s="57"/>
      <c r="C783" s="355"/>
      <c r="D783" s="1317" t="s">
        <v>1855</v>
      </c>
      <c r="E783" s="1317"/>
      <c r="F783" s="1317"/>
      <c r="G783" s="3"/>
      <c r="I783" s="491"/>
    </row>
    <row r="784" spans="1:11">
      <c r="A784" s="57"/>
      <c r="B784" s="57"/>
      <c r="C784" s="355"/>
      <c r="D784" s="1320" t="s">
        <v>1755</v>
      </c>
      <c r="E784" s="1320"/>
      <c r="F784" s="1320"/>
      <c r="G784" s="3"/>
      <c r="I784" s="491"/>
    </row>
    <row r="785" spans="1:9">
      <c r="A785" s="57"/>
      <c r="B785" s="57"/>
      <c r="C785" s="355"/>
      <c r="D785" s="448"/>
      <c r="E785" s="448"/>
      <c r="F785" s="448"/>
      <c r="G785" s="3"/>
      <c r="I785" s="491"/>
    </row>
    <row r="786" spans="1:9">
      <c r="A786" s="57"/>
      <c r="B786" s="486" t="s">
        <v>2743</v>
      </c>
      <c r="C786" s="355"/>
      <c r="D786" s="1296" t="s">
        <v>1756</v>
      </c>
      <c r="E786" s="1296"/>
      <c r="F786" s="1296"/>
      <c r="G786" s="3"/>
      <c r="I786" s="484"/>
    </row>
    <row r="787" spans="1:9">
      <c r="A787" s="57"/>
      <c r="B787" s="57"/>
      <c r="C787" s="355"/>
      <c r="D787" s="1296"/>
      <c r="E787" s="1296"/>
      <c r="F787" s="1296"/>
      <c r="G787" s="3"/>
      <c r="I787" s="491"/>
    </row>
    <row r="788" spans="1:9">
      <c r="A788" s="174"/>
      <c r="B788" s="174"/>
      <c r="C788" s="174"/>
      <c r="D788" s="1296"/>
      <c r="E788" s="1296"/>
      <c r="F788" s="1296"/>
      <c r="G788" s="118"/>
      <c r="I788" s="491"/>
    </row>
    <row r="789" spans="1:9">
      <c r="A789" s="355"/>
      <c r="B789" s="355"/>
      <c r="C789" s="355"/>
      <c r="D789" s="173"/>
      <c r="E789" s="3"/>
      <c r="F789" s="3"/>
      <c r="G789" s="3"/>
      <c r="I789" s="491"/>
    </row>
    <row r="790" spans="1:9">
      <c r="A790" s="172"/>
      <c r="B790" s="486" t="s">
        <v>2743</v>
      </c>
      <c r="C790" s="172"/>
      <c r="D790" s="1296" t="s">
        <v>1757</v>
      </c>
      <c r="E790" s="1296"/>
      <c r="F790" s="1296"/>
      <c r="G790" s="3"/>
      <c r="I790" s="484"/>
    </row>
    <row r="791" spans="1:9">
      <c r="A791" s="172"/>
      <c r="B791" s="172"/>
      <c r="C791" s="172"/>
      <c r="D791" s="1296"/>
      <c r="E791" s="1296"/>
      <c r="F791" s="1296"/>
      <c r="G791" s="3"/>
      <c r="I791" s="491"/>
    </row>
    <row r="792" spans="1:9">
      <c r="A792" s="172"/>
      <c r="B792" s="172"/>
      <c r="C792" s="172"/>
      <c r="D792" s="1296"/>
      <c r="E792" s="1296"/>
      <c r="F792" s="1296"/>
      <c r="G792" s="3"/>
      <c r="I792" s="491"/>
    </row>
    <row r="793" spans="1:9">
      <c r="A793" s="174"/>
      <c r="B793" s="174"/>
      <c r="C793" s="174"/>
      <c r="D793" s="3"/>
      <c r="E793" s="989"/>
      <c r="F793" s="989"/>
      <c r="G793" s="989"/>
      <c r="I793" s="491"/>
    </row>
    <row r="794" spans="1:9" ht="14.25">
      <c r="A794" s="175"/>
      <c r="B794" s="486" t="s">
        <v>2744</v>
      </c>
      <c r="C794" s="990"/>
      <c r="D794" s="1296" t="s">
        <v>1758</v>
      </c>
      <c r="E794" s="1296"/>
      <c r="F794" s="1296"/>
      <c r="G794" s="989"/>
      <c r="I794" s="484"/>
    </row>
    <row r="795" spans="1:9" ht="14.25">
      <c r="A795" s="175"/>
      <c r="B795" s="175"/>
      <c r="C795" s="990"/>
      <c r="D795" s="1296"/>
      <c r="E795" s="1296"/>
      <c r="F795" s="1296"/>
      <c r="G795" s="989"/>
      <c r="I795" s="491"/>
    </row>
    <row r="796" spans="1:9" ht="14.25">
      <c r="A796" s="175"/>
      <c r="B796" s="175"/>
      <c r="C796" s="990"/>
      <c r="D796" s="1296"/>
      <c r="E796" s="1296"/>
      <c r="F796" s="1296"/>
      <c r="G796" s="989"/>
      <c r="I796" s="491"/>
    </row>
    <row r="797" spans="1:9" ht="14.25">
      <c r="A797" s="175"/>
      <c r="B797" s="175"/>
      <c r="C797" s="990"/>
      <c r="D797" s="118"/>
      <c r="E797" s="3"/>
      <c r="F797" s="3"/>
      <c r="G797" s="989"/>
      <c r="I797" s="491"/>
    </row>
    <row r="798" spans="1:9" ht="14.25">
      <c r="A798" s="175"/>
      <c r="B798" s="486" t="s">
        <v>2744</v>
      </c>
      <c r="C798" s="990"/>
      <c r="D798" s="1296" t="s">
        <v>1759</v>
      </c>
      <c r="E798" s="1296"/>
      <c r="F798" s="1296"/>
      <c r="G798" s="989"/>
      <c r="I798" s="484"/>
    </row>
    <row r="799" spans="1:9" ht="14.25">
      <c r="A799" s="175"/>
      <c r="B799" s="175"/>
      <c r="C799" s="990"/>
      <c r="D799" s="1296"/>
      <c r="E799" s="1296"/>
      <c r="F799" s="1296"/>
      <c r="G799" s="989"/>
      <c r="I799" s="491"/>
    </row>
    <row r="800" spans="1:9" ht="14.25">
      <c r="A800" s="175"/>
      <c r="B800" s="175"/>
      <c r="C800" s="990"/>
      <c r="D800" s="1296"/>
      <c r="E800" s="1296"/>
      <c r="F800" s="1296"/>
      <c r="G800" s="989"/>
      <c r="I800" s="491"/>
    </row>
    <row r="801" spans="1:9" ht="14.25">
      <c r="A801" s="175"/>
      <c r="B801" s="175"/>
      <c r="C801" s="990"/>
      <c r="D801" s="1296"/>
      <c r="E801" s="1296"/>
      <c r="F801" s="1296"/>
      <c r="G801" s="989"/>
      <c r="I801" s="491"/>
    </row>
    <row r="802" spans="1:9" ht="14.25">
      <c r="A802" s="175"/>
      <c r="B802" s="175"/>
      <c r="C802" s="990"/>
      <c r="D802" s="1296"/>
      <c r="E802" s="1296"/>
      <c r="F802" s="1296"/>
      <c r="G802" s="989"/>
      <c r="I802" s="491"/>
    </row>
    <row r="803" spans="1:9" ht="14.25">
      <c r="A803" s="175"/>
      <c r="B803" s="175"/>
      <c r="C803" s="990"/>
      <c r="D803" s="1296"/>
      <c r="E803" s="1296"/>
      <c r="F803" s="1296"/>
      <c r="G803" s="989"/>
      <c r="I803" s="491"/>
    </row>
    <row r="804" spans="1:9" ht="14.25">
      <c r="A804" s="175"/>
      <c r="B804" s="175"/>
      <c r="C804" s="990"/>
      <c r="D804" s="1296" t="s">
        <v>1802</v>
      </c>
      <c r="E804" s="1296"/>
      <c r="F804" s="1296"/>
      <c r="G804" s="989"/>
      <c r="I804" s="491"/>
    </row>
    <row r="805" spans="1:9" ht="14.25">
      <c r="A805" s="175"/>
      <c r="B805" s="175"/>
      <c r="C805" s="990"/>
      <c r="D805" s="1296"/>
      <c r="E805" s="1296"/>
      <c r="F805" s="1296"/>
      <c r="G805" s="989"/>
      <c r="I805" s="491"/>
    </row>
    <row r="806" spans="1:9" ht="14.25">
      <c r="A806" s="175"/>
      <c r="B806" s="175"/>
      <c r="C806" s="990"/>
      <c r="D806" s="1296"/>
      <c r="E806" s="1296"/>
      <c r="F806" s="1296"/>
      <c r="G806" s="989"/>
      <c r="I806" s="491"/>
    </row>
    <row r="807" spans="1:9" ht="14.25">
      <c r="A807" s="175"/>
      <c r="B807" s="355"/>
      <c r="C807" s="990"/>
      <c r="D807" s="991"/>
      <c r="E807" s="991"/>
      <c r="F807" s="991"/>
      <c r="G807" s="989"/>
      <c r="I807" s="491"/>
    </row>
    <row r="808" spans="1:9" ht="14.25">
      <c r="A808" s="175"/>
      <c r="B808" s="486" t="s">
        <v>2744</v>
      </c>
      <c r="C808" s="990"/>
      <c r="D808" s="1296" t="s">
        <v>1760</v>
      </c>
      <c r="E808" s="1296"/>
      <c r="F808" s="1296"/>
      <c r="G808" s="989"/>
      <c r="I808" s="484"/>
    </row>
    <row r="809" spans="1:9" ht="14.25">
      <c r="A809" s="175"/>
      <c r="B809" s="175"/>
      <c r="C809" s="990"/>
      <c r="D809" s="1296"/>
      <c r="E809" s="1296"/>
      <c r="F809" s="1296"/>
      <c r="G809" s="989"/>
      <c r="I809" s="491"/>
    </row>
    <row r="810" spans="1:9" ht="14.25">
      <c r="A810" s="175"/>
      <c r="B810" s="175"/>
      <c r="C810" s="990"/>
      <c r="D810" s="1296"/>
      <c r="E810" s="1296"/>
      <c r="F810" s="1296"/>
      <c r="G810" s="989"/>
      <c r="I810" s="491"/>
    </row>
    <row r="811" spans="1:9" ht="14.25">
      <c r="A811" s="175"/>
      <c r="B811" s="175"/>
      <c r="C811" s="990"/>
      <c r="D811" s="1296"/>
      <c r="E811" s="1296"/>
      <c r="F811" s="1296"/>
      <c r="G811" s="989"/>
      <c r="I811" s="491"/>
    </row>
    <row r="812" spans="1:9" ht="14.25">
      <c r="A812" s="175"/>
      <c r="B812" s="175"/>
      <c r="C812" s="990"/>
      <c r="D812" s="1296"/>
      <c r="E812" s="1296"/>
      <c r="F812" s="1296"/>
      <c r="G812" s="989"/>
      <c r="I812" s="491"/>
    </row>
    <row r="813" spans="1:9" ht="14.25">
      <c r="A813" s="175"/>
      <c r="B813" s="175"/>
      <c r="C813" s="990"/>
      <c r="D813" s="1296"/>
      <c r="E813" s="1296"/>
      <c r="F813" s="1296"/>
      <c r="G813" s="989"/>
      <c r="I813" s="491"/>
    </row>
    <row r="814" spans="1:9" ht="14.25">
      <c r="A814" s="175"/>
      <c r="B814" s="175"/>
      <c r="C814" s="990"/>
      <c r="D814" s="983"/>
      <c r="E814" s="983"/>
      <c r="F814" s="983"/>
      <c r="G814" s="989"/>
      <c r="I814" s="491"/>
    </row>
    <row r="815" spans="1:9" ht="14.25">
      <c r="A815" s="175"/>
      <c r="B815" s="486" t="s">
        <v>2744</v>
      </c>
      <c r="C815" s="990"/>
      <c r="D815" s="1296" t="s">
        <v>1761</v>
      </c>
      <c r="E815" s="1296"/>
      <c r="F815" s="1296"/>
      <c r="G815" s="989"/>
      <c r="I815" s="484"/>
    </row>
    <row r="816" spans="1:9" ht="14.25">
      <c r="A816" s="175"/>
      <c r="B816" s="175"/>
      <c r="C816" s="990"/>
      <c r="D816" s="1296"/>
      <c r="E816" s="1296"/>
      <c r="F816" s="1296"/>
      <c r="G816" s="989"/>
      <c r="I816" s="491"/>
    </row>
    <row r="817" spans="1:9" ht="14.25">
      <c r="A817" s="175"/>
      <c r="B817" s="175"/>
      <c r="C817" s="990"/>
      <c r="D817" s="1296"/>
      <c r="E817" s="1296"/>
      <c r="F817" s="1296"/>
      <c r="G817" s="989"/>
      <c r="I817" s="491"/>
    </row>
    <row r="818" spans="1:9" ht="14.25">
      <c r="A818" s="175"/>
      <c r="B818" s="175"/>
      <c r="C818" s="990"/>
      <c r="D818" s="1296"/>
      <c r="E818" s="1296"/>
      <c r="F818" s="1296"/>
      <c r="G818" s="989"/>
      <c r="I818" s="491"/>
    </row>
    <row r="819" spans="1:9" ht="14.25">
      <c r="A819" s="175"/>
      <c r="B819" s="175"/>
      <c r="C819" s="990"/>
      <c r="D819" s="1296"/>
      <c r="E819" s="1296"/>
      <c r="F819" s="1296"/>
      <c r="G819" s="989"/>
      <c r="I819" s="491"/>
    </row>
    <row r="820" spans="1:9" ht="14.25">
      <c r="A820" s="175"/>
      <c r="B820" s="175"/>
      <c r="C820" s="990"/>
      <c r="D820" s="1296"/>
      <c r="E820" s="1296"/>
      <c r="F820" s="1296"/>
      <c r="G820" s="989"/>
      <c r="I820" s="491"/>
    </row>
    <row r="821" spans="1:9" ht="14.25">
      <c r="A821" s="175"/>
      <c r="B821" s="175"/>
      <c r="C821" s="990"/>
      <c r="D821" s="983"/>
      <c r="E821" s="983"/>
      <c r="F821" s="983"/>
      <c r="G821" s="989"/>
      <c r="I821" s="491"/>
    </row>
    <row r="822" spans="1:9" ht="14.25">
      <c r="A822" s="175"/>
      <c r="B822" s="486" t="s">
        <v>2744</v>
      </c>
      <c r="C822" s="990"/>
      <c r="D822" s="1291" t="s">
        <v>1762</v>
      </c>
      <c r="E822" s="1291"/>
      <c r="F822" s="1291"/>
      <c r="G822" s="989"/>
      <c r="I822" s="484"/>
    </row>
    <row r="823" spans="1:9" ht="14.25">
      <c r="A823" s="175"/>
      <c r="B823" s="175"/>
      <c r="C823" s="990"/>
      <c r="D823" s="1291"/>
      <c r="E823" s="1291"/>
      <c r="F823" s="1291"/>
      <c r="G823" s="989"/>
      <c r="I823" s="491"/>
    </row>
    <row r="824" spans="1:9">
      <c r="A824" s="13"/>
      <c r="B824" s="13"/>
      <c r="C824" s="990"/>
      <c r="D824" s="1291"/>
      <c r="E824" s="1291"/>
      <c r="F824" s="1291"/>
      <c r="G824" s="989"/>
      <c r="I824" s="491"/>
    </row>
    <row r="825" spans="1:9" ht="14.25">
      <c r="A825" s="175"/>
      <c r="B825" s="13"/>
      <c r="C825" s="990"/>
      <c r="D825" s="1291"/>
      <c r="E825" s="1291"/>
      <c r="F825" s="1291"/>
      <c r="G825" s="989"/>
      <c r="I825" s="491"/>
    </row>
    <row r="826" spans="1:9" ht="12.75" customHeight="1">
      <c r="A826" s="175"/>
      <c r="B826" s="13"/>
      <c r="C826" s="990"/>
      <c r="D826" s="1291"/>
      <c r="E826" s="1291"/>
      <c r="F826" s="1291"/>
      <c r="G826" s="989"/>
      <c r="I826" s="491"/>
    </row>
    <row r="827" spans="1:9" ht="12.75" customHeight="1">
      <c r="A827" s="175"/>
      <c r="B827" s="13"/>
      <c r="C827" s="990"/>
      <c r="D827" s="1291"/>
      <c r="E827" s="1291"/>
      <c r="F827" s="1291"/>
      <c r="G827" s="989"/>
      <c r="I827" s="491"/>
    </row>
    <row r="828" spans="1:9" ht="12.75" customHeight="1">
      <c r="A828" s="13"/>
      <c r="B828" s="13"/>
      <c r="C828" s="990"/>
      <c r="D828" s="989"/>
      <c r="E828" s="3"/>
      <c r="F828" s="3"/>
      <c r="G828" s="989"/>
      <c r="I828" s="491"/>
    </row>
    <row r="829" spans="1:9" ht="12.75" customHeight="1">
      <c r="A829" s="1287" t="s">
        <v>1763</v>
      </c>
      <c r="B829" s="1287"/>
      <c r="C829" s="1287"/>
      <c r="D829" s="1287"/>
      <c r="E829" s="1287"/>
      <c r="F829" s="1287"/>
      <c r="G829" s="1287"/>
      <c r="H829" s="1029"/>
      <c r="I829" s="1155"/>
    </row>
    <row r="830" spans="1:9" ht="12.75" customHeight="1">
      <c r="A830" s="172"/>
      <c r="B830" s="172"/>
      <c r="C830" s="990"/>
      <c r="D830" s="989"/>
      <c r="E830" s="989"/>
      <c r="F830" s="989"/>
      <c r="G830" s="989"/>
      <c r="I830" s="491"/>
    </row>
    <row r="831" spans="1:9" ht="12.75" customHeight="1">
      <c r="A831" s="175"/>
      <c r="B831" s="175"/>
      <c r="C831" s="355"/>
      <c r="D831" s="1307" t="s">
        <v>1803</v>
      </c>
      <c r="E831" s="1307"/>
      <c r="F831" s="1307"/>
      <c r="G831" s="3"/>
      <c r="I831" s="491"/>
    </row>
    <row r="832" spans="1:9" ht="14.25" customHeight="1">
      <c r="A832" s="175"/>
      <c r="B832" s="175"/>
      <c r="C832" s="355"/>
      <c r="D832" s="1264" t="s">
        <v>1764</v>
      </c>
      <c r="E832" s="1264"/>
      <c r="F832" s="1264"/>
      <c r="G832" s="3"/>
      <c r="I832" s="491"/>
    </row>
    <row r="833" spans="1:9" ht="12.75" customHeight="1">
      <c r="A833" s="175"/>
      <c r="B833" s="175"/>
      <c r="C833" s="355"/>
      <c r="D833" s="442"/>
      <c r="E833" s="442"/>
      <c r="F833" s="442"/>
      <c r="G833" s="3"/>
      <c r="I833" s="491"/>
    </row>
    <row r="834" spans="1:9" ht="12.75" customHeight="1">
      <c r="A834" s="355"/>
      <c r="B834" s="486" t="s">
        <v>2743</v>
      </c>
      <c r="C834" s="990"/>
      <c r="D834" s="1264" t="s">
        <v>1765</v>
      </c>
      <c r="E834" s="1264"/>
      <c r="F834" s="1264"/>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8" t="s">
        <v>2077</v>
      </c>
      <c r="E837" s="1308"/>
      <c r="F837" s="1308"/>
      <c r="G837" s="3"/>
      <c r="I837" s="491"/>
    </row>
    <row r="838" spans="1:9" ht="12.75" hidden="1" customHeight="1">
      <c r="A838" s="13"/>
      <c r="B838" s="13"/>
      <c r="C838" s="990"/>
      <c r="D838" s="1308"/>
      <c r="E838" s="1308"/>
      <c r="F838" s="1308"/>
      <c r="G838" s="3"/>
      <c r="I838" s="491"/>
    </row>
    <row r="839" spans="1:9" ht="12.75" hidden="1" customHeight="1">
      <c r="A839" s="13"/>
      <c r="B839" s="13"/>
      <c r="C839" s="990"/>
      <c r="D839" s="1308"/>
      <c r="E839" s="1308"/>
      <c r="F839" s="1308"/>
      <c r="G839" s="3"/>
      <c r="I839" s="491"/>
    </row>
    <row r="840" spans="1:9" ht="12.75" hidden="1" customHeight="1">
      <c r="A840" s="13"/>
      <c r="B840" s="13"/>
      <c r="C840" s="990"/>
      <c r="D840" s="1308"/>
      <c r="E840" s="1308"/>
      <c r="F840" s="1308"/>
      <c r="G840" s="3"/>
      <c r="I840" s="491"/>
    </row>
    <row r="841" spans="1:9" ht="12.75" hidden="1" customHeight="1">
      <c r="A841" s="13"/>
      <c r="B841" s="13"/>
      <c r="C841" s="990"/>
      <c r="D841" s="1308"/>
      <c r="E841" s="1308"/>
      <c r="F841" s="1308"/>
      <c r="G841" s="3"/>
      <c r="I841" s="491"/>
    </row>
    <row r="842" spans="1:9" ht="12.75" hidden="1" customHeight="1">
      <c r="A842" s="13"/>
      <c r="B842" s="13"/>
      <c r="C842" s="990"/>
      <c r="D842" s="1308"/>
      <c r="E842" s="1308"/>
      <c r="F842" s="1308"/>
      <c r="G842" s="3"/>
      <c r="I842" s="491"/>
    </row>
    <row r="843" spans="1:9" ht="12.75" hidden="1" customHeight="1">
      <c r="A843" s="13"/>
      <c r="B843" s="13"/>
      <c r="C843" s="990"/>
      <c r="D843" s="1308"/>
      <c r="E843" s="1308"/>
      <c r="F843" s="1308"/>
      <c r="G843" s="3"/>
      <c r="I843" s="491"/>
    </row>
    <row r="844" spans="1:9" ht="12.75" hidden="1" customHeight="1">
      <c r="A844" s="13"/>
      <c r="B844" s="13"/>
      <c r="C844" s="990"/>
      <c r="D844" s="1308"/>
      <c r="E844" s="1308"/>
      <c r="F844" s="1308"/>
      <c r="G844" s="3"/>
      <c r="I844" s="491"/>
    </row>
    <row r="845" spans="1:9" ht="12.75" hidden="1" customHeight="1">
      <c r="A845" s="13"/>
      <c r="B845" s="13"/>
      <c r="C845" s="990"/>
      <c r="D845" s="1308"/>
      <c r="E845" s="1308"/>
      <c r="F845" s="1308"/>
      <c r="G845" s="3"/>
      <c r="I845" s="491"/>
    </row>
    <row r="846" spans="1:9" ht="12.75" hidden="1" customHeight="1">
      <c r="A846" s="13"/>
      <c r="B846" s="13"/>
      <c r="C846" s="990"/>
      <c r="D846" s="1308"/>
      <c r="E846" s="1308"/>
      <c r="F846" s="1308"/>
      <c r="G846" s="3"/>
      <c r="I846" s="491"/>
    </row>
    <row r="847" spans="1:9" ht="12.75" hidden="1" customHeight="1">
      <c r="A847" s="13"/>
      <c r="B847" s="13"/>
      <c r="C847" s="990"/>
      <c r="D847" s="992"/>
      <c r="E847" s="3"/>
      <c r="F847" s="3"/>
      <c r="G847" s="3"/>
      <c r="I847" s="491"/>
    </row>
    <row r="848" spans="1:9" ht="12.75" customHeight="1">
      <c r="A848" s="175"/>
      <c r="B848" s="486" t="s">
        <v>2743</v>
      </c>
      <c r="C848" s="990"/>
      <c r="D848" s="1264" t="s">
        <v>1766</v>
      </c>
      <c r="E848" s="1264"/>
      <c r="F848" s="1264"/>
      <c r="G848" s="3"/>
      <c r="I848" s="491" t="s">
        <v>1883</v>
      </c>
    </row>
    <row r="849" spans="1:9" ht="12.75" customHeight="1">
      <c r="A849" s="175"/>
      <c r="B849" s="175"/>
      <c r="C849" s="990"/>
      <c r="D849" s="1264"/>
      <c r="E849" s="1264"/>
      <c r="F849" s="1264"/>
      <c r="G849" s="3"/>
      <c r="I849" s="491"/>
    </row>
    <row r="850" spans="1:9" ht="12.75" customHeight="1">
      <c r="A850" s="175"/>
      <c r="B850" s="175"/>
      <c r="C850" s="990"/>
      <c r="D850" s="1264"/>
      <c r="E850" s="1264"/>
      <c r="F850" s="1264"/>
      <c r="G850" s="3"/>
      <c r="I850" s="491"/>
    </row>
    <row r="851" spans="1:9" ht="12.75" customHeight="1">
      <c r="A851" s="175"/>
      <c r="B851" s="175"/>
      <c r="C851" s="990"/>
      <c r="D851" s="118"/>
      <c r="E851" s="3"/>
      <c r="F851" s="3"/>
      <c r="G851" s="3"/>
      <c r="I851" s="491"/>
    </row>
    <row r="852" spans="1:9" ht="12.75" customHeight="1">
      <c r="A852" s="993"/>
      <c r="B852" s="486" t="s">
        <v>2744</v>
      </c>
      <c r="C852" s="990"/>
      <c r="D852" s="1307" t="s">
        <v>1767</v>
      </c>
      <c r="E852" s="1307"/>
      <c r="F852" s="1307"/>
      <c r="G852" s="3"/>
      <c r="I852" s="491"/>
    </row>
    <row r="853" spans="1:9" ht="12.75" customHeight="1">
      <c r="A853" s="355"/>
      <c r="B853" s="993"/>
      <c r="C853" s="990"/>
      <c r="D853" s="1307"/>
      <c r="E853" s="1307"/>
      <c r="F853" s="1307"/>
      <c r="G853" s="3"/>
      <c r="I853" s="491"/>
    </row>
    <row r="854" spans="1:9" ht="12.75" customHeight="1">
      <c r="A854" s="175"/>
      <c r="B854" s="355"/>
      <c r="C854" s="990"/>
      <c r="D854" s="1264" t="s">
        <v>2070</v>
      </c>
      <c r="E854" s="1264"/>
      <c r="F854" s="1264"/>
      <c r="G854" s="3"/>
      <c r="I854" s="491"/>
    </row>
    <row r="855" spans="1:9" ht="12.75" customHeight="1">
      <c r="A855" s="175"/>
      <c r="B855" s="175"/>
      <c r="C855" s="990"/>
      <c r="D855" s="1264"/>
      <c r="E855" s="1264"/>
      <c r="F855" s="1264"/>
      <c r="G855" s="3"/>
      <c r="I855" s="491"/>
    </row>
    <row r="856" spans="1:9" ht="12.75" customHeight="1">
      <c r="A856" s="175"/>
      <c r="B856" s="175"/>
      <c r="C856" s="990"/>
      <c r="D856" s="1264"/>
      <c r="E856" s="1264"/>
      <c r="F856" s="1264"/>
      <c r="G856" s="3"/>
      <c r="I856" s="491"/>
    </row>
    <row r="857" spans="1:9" ht="12.75" customHeight="1">
      <c r="A857" s="175"/>
      <c r="B857" s="175"/>
      <c r="C857" s="990"/>
      <c r="D857" s="1264"/>
      <c r="E857" s="1264"/>
      <c r="F857" s="1264"/>
      <c r="G857" s="3"/>
      <c r="I857" s="491"/>
    </row>
    <row r="858" spans="1:9" ht="12.75" customHeight="1">
      <c r="A858" s="175"/>
      <c r="B858" s="175"/>
      <c r="C858" s="990"/>
      <c r="D858" s="1264"/>
      <c r="E858" s="1264"/>
      <c r="F858" s="1264"/>
      <c r="G858" s="3"/>
      <c r="I858" s="491"/>
    </row>
    <row r="859" spans="1:9" ht="12.75" customHeight="1">
      <c r="A859" s="175"/>
      <c r="B859" s="175"/>
      <c r="C859" s="990"/>
      <c r="D859" s="1264"/>
      <c r="E859" s="1264"/>
      <c r="F859" s="1264"/>
      <c r="G859" s="3"/>
      <c r="I859" s="491"/>
    </row>
    <row r="860" spans="1:9" ht="12.75" customHeight="1">
      <c r="A860" s="175"/>
      <c r="B860" s="175"/>
      <c r="C860" s="990"/>
      <c r="D860" s="118"/>
      <c r="E860" s="3"/>
      <c r="F860" s="3"/>
      <c r="G860" s="3"/>
      <c r="I860" s="491"/>
    </row>
    <row r="861" spans="1:9" ht="12.75" customHeight="1">
      <c r="A861" s="175"/>
      <c r="B861" s="486" t="s">
        <v>2744</v>
      </c>
      <c r="C861" s="990"/>
      <c r="D861" s="1264" t="s">
        <v>1768</v>
      </c>
      <c r="E861" s="1264"/>
      <c r="F861" s="1264"/>
      <c r="G861" s="3"/>
      <c r="I861" s="491" t="s">
        <v>1881</v>
      </c>
    </row>
    <row r="862" spans="1:9" ht="12.75" customHeight="1">
      <c r="A862" s="175"/>
      <c r="B862" s="175"/>
      <c r="C862" s="990"/>
      <c r="D862" s="1264" t="s">
        <v>1769</v>
      </c>
      <c r="E862" s="1264"/>
      <c r="F862" s="1264"/>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2744</v>
      </c>
      <c r="C865" s="990"/>
      <c r="D865" s="1264" t="s">
        <v>1770</v>
      </c>
      <c r="E865" s="1264"/>
      <c r="F865" s="1264"/>
      <c r="G865" s="3"/>
      <c r="I865" s="491" t="s">
        <v>1884</v>
      </c>
    </row>
    <row r="866" spans="1:9" ht="12.75" customHeight="1">
      <c r="A866" s="175"/>
      <c r="B866" s="175"/>
      <c r="C866" s="990"/>
      <c r="D866" s="1264"/>
      <c r="E866" s="1264"/>
      <c r="F866" s="1264"/>
      <c r="G866" s="3"/>
      <c r="I866" s="491"/>
    </row>
    <row r="867" spans="1:9" ht="12.75" customHeight="1">
      <c r="A867" s="175"/>
      <c r="B867" s="175"/>
      <c r="C867" s="990"/>
      <c r="D867" s="1264"/>
      <c r="E867" s="1264"/>
      <c r="F867" s="1264"/>
      <c r="G867" s="3"/>
      <c r="I867" s="491"/>
    </row>
    <row r="868" spans="1:9" ht="12.75" customHeight="1">
      <c r="A868" s="175"/>
      <c r="B868" s="175"/>
      <c r="C868" s="990"/>
      <c r="D868" s="1264"/>
      <c r="E868" s="1264"/>
      <c r="F868" s="1264"/>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7" t="s">
        <v>1804</v>
      </c>
      <c r="E872" s="1297"/>
      <c r="F872" s="1297"/>
      <c r="G872" s="989"/>
      <c r="I872" s="491"/>
    </row>
    <row r="873" spans="1:9" ht="12.75" customHeight="1">
      <c r="A873" s="355"/>
      <c r="B873" s="355"/>
      <c r="C873" s="174"/>
      <c r="D873" s="1306" t="s">
        <v>1772</v>
      </c>
      <c r="E873" s="1306"/>
      <c r="F873" s="1306"/>
      <c r="G873" s="989"/>
      <c r="I873" s="491"/>
    </row>
    <row r="874" spans="1:9" ht="12.75" customHeight="1">
      <c r="A874" s="355"/>
      <c r="B874" s="355"/>
      <c r="C874" s="174"/>
      <c r="D874" s="996"/>
      <c r="E874" s="996"/>
      <c r="F874" s="996"/>
      <c r="G874" s="989"/>
      <c r="I874" s="491"/>
    </row>
    <row r="875" spans="1:9" ht="12.75" customHeight="1">
      <c r="A875" s="175"/>
      <c r="B875" s="486" t="s">
        <v>2743</v>
      </c>
      <c r="C875" s="355"/>
      <c r="D875" s="1290" t="s">
        <v>1773</v>
      </c>
      <c r="E875" s="1290"/>
      <c r="F875" s="1290"/>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2743</v>
      </c>
      <c r="C878" s="355"/>
      <c r="D878" s="1264" t="s">
        <v>1774</v>
      </c>
      <c r="E878" s="1313"/>
      <c r="F878" s="1313"/>
      <c r="G878" s="3"/>
      <c r="I878" s="491" t="s">
        <v>1884</v>
      </c>
    </row>
    <row r="879" spans="1:9" ht="12.75" customHeight="1">
      <c r="A879" s="355"/>
      <c r="B879" s="355"/>
      <c r="C879" s="355"/>
      <c r="D879" s="1313"/>
      <c r="E879" s="1313"/>
      <c r="F879" s="1313"/>
      <c r="G879" s="3"/>
      <c r="I879" s="491"/>
    </row>
    <row r="880" spans="1:9" ht="12.75" customHeight="1">
      <c r="A880" s="355"/>
      <c r="B880" s="355"/>
      <c r="C880" s="355"/>
      <c r="D880" s="118"/>
      <c r="E880" s="3"/>
      <c r="F880" s="3"/>
      <c r="G880" s="3"/>
      <c r="I880" s="491"/>
    </row>
    <row r="881" spans="1:9" ht="12.75" customHeight="1">
      <c r="A881" s="355"/>
      <c r="B881" s="486" t="s">
        <v>2744</v>
      </c>
      <c r="C881" s="355"/>
      <c r="D881" s="1314" t="s">
        <v>1775</v>
      </c>
      <c r="E881" s="1314"/>
      <c r="F881" s="1314"/>
      <c r="G881" s="989"/>
      <c r="I881" s="491"/>
    </row>
    <row r="882" spans="1:9" ht="12.75" customHeight="1">
      <c r="A882" s="355"/>
      <c r="B882" s="997"/>
      <c r="C882" s="355"/>
      <c r="D882" s="1314"/>
      <c r="E882" s="1314"/>
      <c r="F882" s="1314"/>
      <c r="G882" s="989"/>
      <c r="I882" s="491"/>
    </row>
    <row r="883" spans="1:9" ht="12.75" customHeight="1">
      <c r="A883" s="175"/>
      <c r="B883"/>
      <c r="C883" s="355"/>
      <c r="D883" s="1264" t="s">
        <v>2070</v>
      </c>
      <c r="E883" s="1264"/>
      <c r="F883" s="1264"/>
      <c r="G883" s="989"/>
      <c r="I883" s="491"/>
    </row>
    <row r="884" spans="1:9" ht="12.75" customHeight="1">
      <c r="A884" s="175"/>
      <c r="B884" s="175"/>
      <c r="C884" s="355"/>
      <c r="D884" s="1264"/>
      <c r="E884" s="1264"/>
      <c r="F884" s="1264"/>
      <c r="G884" s="989"/>
      <c r="I884" s="491"/>
    </row>
    <row r="885" spans="1:9" ht="12.75" customHeight="1">
      <c r="A885" s="175"/>
      <c r="B885" s="175"/>
      <c r="C885" s="355"/>
      <c r="D885" s="1264"/>
      <c r="E885" s="1264"/>
      <c r="F885" s="1264"/>
      <c r="G885" s="989"/>
      <c r="I885" s="491"/>
    </row>
    <row r="886" spans="1:9" ht="12.75" customHeight="1">
      <c r="A886" s="175"/>
      <c r="B886" s="175"/>
      <c r="C886" s="355"/>
      <c r="D886" s="1264"/>
      <c r="E886" s="1264"/>
      <c r="F886" s="1264"/>
      <c r="G886" s="989"/>
      <c r="I886" s="491"/>
    </row>
    <row r="887" spans="1:9" ht="12.75" customHeight="1">
      <c r="A887" s="175"/>
      <c r="B887" s="175"/>
      <c r="C887" s="355"/>
      <c r="D887" s="1264"/>
      <c r="E887" s="1264"/>
      <c r="F887" s="1264"/>
      <c r="G887" s="989"/>
      <c r="I887" s="491"/>
    </row>
    <row r="888" spans="1:9" ht="12.75" customHeight="1">
      <c r="A888" s="175"/>
      <c r="B888" s="175"/>
      <c r="C888" s="355"/>
      <c r="D888" s="1264"/>
      <c r="E888" s="1264"/>
      <c r="F888" s="1264"/>
      <c r="G888" s="989"/>
      <c r="I888" s="491"/>
    </row>
    <row r="889" spans="1:9" ht="12.75" customHeight="1">
      <c r="A889" s="175"/>
      <c r="B889" s="175"/>
      <c r="C889" s="355"/>
      <c r="D889" s="118"/>
      <c r="E889" s="989"/>
      <c r="F889" s="989"/>
      <c r="G889" s="989"/>
      <c r="I889" s="491"/>
    </row>
    <row r="890" spans="1:9" ht="12.75" customHeight="1">
      <c r="A890" s="175"/>
      <c r="B890" s="486" t="s">
        <v>2744</v>
      </c>
      <c r="C890" s="355"/>
      <c r="D890" s="1289" t="s">
        <v>1768</v>
      </c>
      <c r="E890" s="1289"/>
      <c r="F890" s="1289"/>
      <c r="G890" s="989"/>
      <c r="I890" s="491"/>
    </row>
    <row r="891" spans="1:9" ht="12.75" customHeight="1">
      <c r="A891" s="175"/>
      <c r="B891" s="175"/>
      <c r="C891" s="355"/>
      <c r="D891" s="1289" t="s">
        <v>1769</v>
      </c>
      <c r="E891" s="1289"/>
      <c r="F891" s="1289"/>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2744</v>
      </c>
      <c r="C894" s="355"/>
      <c r="D894" s="1264" t="s">
        <v>1770</v>
      </c>
      <c r="E894" s="1264"/>
      <c r="F894" s="1264"/>
      <c r="G894" s="989"/>
      <c r="I894" s="491"/>
    </row>
    <row r="895" spans="1:9" ht="12.75" customHeight="1">
      <c r="A895" s="175"/>
      <c r="B895" s="175"/>
      <c r="C895" s="355"/>
      <c r="D895" s="1264"/>
      <c r="E895" s="1264"/>
      <c r="F895" s="1264"/>
      <c r="G895" s="989"/>
      <c r="I895" s="491"/>
    </row>
    <row r="896" spans="1:9" ht="12.75" customHeight="1">
      <c r="A896" s="175"/>
      <c r="B896" s="175"/>
      <c r="C896" s="355"/>
      <c r="D896" s="1264"/>
      <c r="E896" s="1264"/>
      <c r="F896" s="1264"/>
      <c r="G896" s="989"/>
      <c r="I896" s="491"/>
    </row>
    <row r="897" spans="1:9" ht="12.75" customHeight="1">
      <c r="A897" s="175"/>
      <c r="B897" s="175"/>
      <c r="C897" s="355"/>
      <c r="D897" s="1264"/>
      <c r="E897" s="1264"/>
      <c r="F897" s="1264"/>
      <c r="G897" s="989"/>
      <c r="I897" s="491"/>
    </row>
    <row r="898" spans="1:9" ht="12.75" customHeight="1">
      <c r="A898" s="118"/>
      <c r="B898" s="118"/>
      <c r="C898" s="990"/>
      <c r="D898" s="989"/>
      <c r="E898" s="989"/>
      <c r="F898" s="989"/>
      <c r="G898" s="989"/>
      <c r="I898" s="491"/>
    </row>
    <row r="899" spans="1:9" ht="12.75" customHeight="1">
      <c r="A899" s="1287" t="s">
        <v>1805</v>
      </c>
      <c r="B899" s="1287"/>
      <c r="C899" s="1287"/>
      <c r="D899" s="1287"/>
      <c r="E899" s="1287"/>
      <c r="F899" s="1287"/>
      <c r="G899" s="1287"/>
      <c r="H899" s="1029"/>
      <c r="I899" s="1155"/>
    </row>
    <row r="900" spans="1:9" ht="12.75" customHeight="1">
      <c r="A900" s="57"/>
      <c r="B900" s="57"/>
      <c r="C900" s="57"/>
      <c r="D900" s="57"/>
      <c r="E900" s="57"/>
      <c r="F900" s="57"/>
      <c r="G900" s="57"/>
      <c r="I900" s="491"/>
    </row>
    <row r="901" spans="1:9" ht="12.75" customHeight="1">
      <c r="A901" s="57"/>
      <c r="B901" s="57"/>
      <c r="C901" s="57"/>
      <c r="D901" s="1285" t="s">
        <v>1811</v>
      </c>
      <c r="E901" s="1285"/>
      <c r="F901" s="1285"/>
      <c r="G901" s="57"/>
      <c r="I901" s="491"/>
    </row>
    <row r="902" spans="1:9" ht="12.75" customHeight="1">
      <c r="A902" s="57"/>
      <c r="B902" s="57"/>
      <c r="C902" s="57"/>
      <c r="D902" s="982"/>
      <c r="E902" s="982"/>
      <c r="F902" s="982"/>
      <c r="G902" s="57"/>
      <c r="I902" s="491"/>
    </row>
    <row r="903" spans="1:9" ht="12.75" customHeight="1">
      <c r="A903" s="57"/>
      <c r="B903" s="486" t="s">
        <v>2743</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5" t="s">
        <v>1806</v>
      </c>
      <c r="E905" s="1285"/>
      <c r="F905" s="1285"/>
      <c r="G905" s="989"/>
      <c r="I905" s="491"/>
    </row>
    <row r="906" spans="1:9" ht="12.75" customHeight="1">
      <c r="A906" s="172"/>
      <c r="B906" s="172"/>
      <c r="C906" s="172"/>
      <c r="D906" s="1290" t="s">
        <v>1776</v>
      </c>
      <c r="E906" s="1290"/>
      <c r="F906" s="1290"/>
      <c r="G906" s="989"/>
      <c r="I906" s="491"/>
    </row>
    <row r="907" spans="1:9" ht="12.75" customHeight="1">
      <c r="A907" s="990"/>
      <c r="B907" s="990"/>
      <c r="C907" s="990"/>
      <c r="D907" s="2"/>
      <c r="E907" s="989"/>
      <c r="F907" s="989"/>
      <c r="G907" s="989"/>
      <c r="I907" s="491"/>
    </row>
    <row r="908" spans="1:9" ht="12.75" customHeight="1">
      <c r="A908" s="175"/>
      <c r="B908" s="486" t="s">
        <v>2743</v>
      </c>
      <c r="C908" s="355"/>
      <c r="D908" s="1264" t="s">
        <v>1780</v>
      </c>
      <c r="E908" s="1264"/>
      <c r="F908" s="1264"/>
      <c r="G908" s="3"/>
      <c r="I908" s="491"/>
    </row>
    <row r="909" spans="1:9" ht="12.75" customHeight="1">
      <c r="A909" s="355"/>
      <c r="B909" s="355"/>
      <c r="C909" s="355"/>
      <c r="D909" s="1264"/>
      <c r="E909" s="1264"/>
      <c r="F909" s="1264"/>
      <c r="G909" s="3"/>
      <c r="I909" s="491"/>
    </row>
    <row r="910" spans="1:9" ht="12.75" customHeight="1">
      <c r="A910" s="172"/>
      <c r="B910" s="172"/>
      <c r="C910" s="172"/>
      <c r="D910" s="1264" t="s">
        <v>1779</v>
      </c>
      <c r="E910" s="1264"/>
      <c r="F910" s="1264"/>
      <c r="G910" s="989"/>
      <c r="I910" s="491"/>
    </row>
    <row r="911" spans="1:9" ht="12.75" customHeight="1">
      <c r="A911" s="172"/>
      <c r="B911" s="172"/>
      <c r="C911" s="172"/>
      <c r="D911" s="1264"/>
      <c r="E911" s="1264"/>
      <c r="F911" s="1264"/>
      <c r="G911" s="989"/>
      <c r="I911" s="491"/>
    </row>
    <row r="912" spans="1:9" ht="12.75" customHeight="1">
      <c r="A912" s="172"/>
      <c r="B912" s="172"/>
      <c r="C912" s="172"/>
      <c r="D912" s="3"/>
      <c r="E912" s="3"/>
      <c r="F912" s="989"/>
      <c r="G912" s="989"/>
      <c r="I912" s="491"/>
    </row>
    <row r="913" spans="1:9" ht="12.75" customHeight="1">
      <c r="A913" s="175"/>
      <c r="B913" s="486" t="s">
        <v>2743</v>
      </c>
      <c r="C913" s="174"/>
      <c r="D913" s="1275" t="s">
        <v>1777</v>
      </c>
      <c r="E913" s="1275"/>
      <c r="F913" s="1275"/>
      <c r="G913" s="989"/>
      <c r="I913" s="491"/>
    </row>
    <row r="914" spans="1:9" ht="12.75" customHeight="1">
      <c r="A914" s="175"/>
      <c r="B914" s="175"/>
      <c r="C914" s="174"/>
      <c r="D914" s="1275"/>
      <c r="E914" s="1275"/>
      <c r="F914" s="1275"/>
      <c r="G914" s="989"/>
      <c r="I914" s="491"/>
    </row>
    <row r="915" spans="1:9" ht="12.75" customHeight="1">
      <c r="A915" s="175"/>
      <c r="B915" s="175"/>
      <c r="C915" s="174"/>
      <c r="D915" s="1275"/>
      <c r="E915" s="1275"/>
      <c r="F915" s="1275"/>
      <c r="G915" s="989"/>
      <c r="I915" s="491"/>
    </row>
    <row r="916" spans="1:9" ht="12.75" customHeight="1">
      <c r="A916" s="175"/>
      <c r="B916" s="175"/>
      <c r="C916" s="174"/>
      <c r="D916" s="1275"/>
      <c r="E916" s="1275"/>
      <c r="F916" s="1275"/>
      <c r="G916" s="989"/>
      <c r="I916" s="491"/>
    </row>
    <row r="917" spans="1:9" ht="12.75" customHeight="1">
      <c r="A917" s="175"/>
      <c r="B917" s="175"/>
      <c r="C917" s="174"/>
      <c r="D917" s="1275"/>
      <c r="E917" s="1275"/>
      <c r="F917" s="1275"/>
      <c r="G917" s="989"/>
      <c r="I917" s="491"/>
    </row>
    <row r="918" spans="1:9" ht="12.75" customHeight="1">
      <c r="A918" s="174"/>
      <c r="B918" s="174"/>
      <c r="C918" s="174"/>
      <c r="D918" s="1275"/>
      <c r="E918" s="1275"/>
      <c r="F918" s="1275"/>
      <c r="G918" s="989"/>
      <c r="I918" s="491"/>
    </row>
    <row r="919" spans="1:9" ht="12.75" customHeight="1">
      <c r="A919" s="174"/>
      <c r="B919" s="174"/>
      <c r="C919" s="174"/>
      <c r="D919" s="1275"/>
      <c r="E919" s="1275"/>
      <c r="F919" s="1275"/>
      <c r="G919" s="989"/>
      <c r="I919" s="491"/>
    </row>
    <row r="920" spans="1:9" ht="12.75" customHeight="1">
      <c r="A920" s="174"/>
      <c r="B920" s="174"/>
      <c r="C920" s="174"/>
      <c r="D920" s="1275"/>
      <c r="E920" s="1275"/>
      <c r="F920" s="1275"/>
      <c r="G920" s="989"/>
      <c r="I920" s="491"/>
    </row>
    <row r="921" spans="1:9" ht="12.75" customHeight="1">
      <c r="A921" s="174"/>
      <c r="B921" s="174"/>
      <c r="C921" s="174"/>
      <c r="D921" s="336"/>
      <c r="E921" s="336"/>
      <c r="F921" s="336"/>
      <c r="G921" s="989"/>
      <c r="I921" s="491"/>
    </row>
    <row r="922" spans="1:9" ht="12.75" customHeight="1">
      <c r="A922" s="990"/>
      <c r="B922" s="486" t="s">
        <v>2744</v>
      </c>
      <c r="C922" s="990"/>
      <c r="D922" s="1264" t="s">
        <v>1781</v>
      </c>
      <c r="E922" s="1264"/>
      <c r="F922" s="1264"/>
      <c r="G922" s="989"/>
      <c r="I922" s="491"/>
    </row>
    <row r="923" spans="1:9" ht="12.75" customHeight="1">
      <c r="A923" s="990"/>
      <c r="B923" s="990"/>
      <c r="C923" s="990"/>
      <c r="D923" s="1264"/>
      <c r="E923" s="1264"/>
      <c r="F923" s="1264"/>
      <c r="G923" s="989"/>
      <c r="I923" s="491"/>
    </row>
    <row r="924" spans="1:9" ht="12.75" customHeight="1">
      <c r="A924" s="990"/>
      <c r="B924" s="990"/>
      <c r="C924" s="990"/>
      <c r="D924" s="989"/>
      <c r="E924" s="989"/>
      <c r="F924" s="989"/>
      <c r="G924" s="989"/>
      <c r="I924" s="491"/>
    </row>
    <row r="925" spans="1:9" ht="12.75" customHeight="1">
      <c r="A925" s="990"/>
      <c r="B925" s="486" t="s">
        <v>2744</v>
      </c>
      <c r="C925" s="990"/>
      <c r="D925" s="1291" t="s">
        <v>1782</v>
      </c>
      <c r="E925" s="1291"/>
      <c r="F925" s="1291"/>
      <c r="G925" s="989"/>
      <c r="I925" s="491"/>
    </row>
    <row r="926" spans="1:9" ht="12.75" customHeight="1">
      <c r="A926" s="990"/>
      <c r="B926" s="990"/>
      <c r="C926" s="990"/>
      <c r="D926" s="1291"/>
      <c r="E926" s="1291"/>
      <c r="F926" s="1291"/>
      <c r="G926" s="989"/>
      <c r="I926" s="491"/>
    </row>
    <row r="927" spans="1:9" ht="12.75" customHeight="1">
      <c r="A927" s="990"/>
      <c r="B927" s="990"/>
      <c r="C927" s="990"/>
      <c r="D927" s="1291"/>
      <c r="E927" s="1291"/>
      <c r="F927" s="1291"/>
      <c r="G927" s="989"/>
      <c r="I927" s="491"/>
    </row>
    <row r="928" spans="1:9" ht="12.75" customHeight="1">
      <c r="A928" s="990"/>
      <c r="B928" s="990"/>
      <c r="C928" s="990"/>
      <c r="D928" s="1291"/>
      <c r="E928" s="1291"/>
      <c r="F928" s="1291"/>
      <c r="G928" s="989"/>
      <c r="I928" s="491"/>
    </row>
    <row r="929" spans="1:9" ht="12.75" customHeight="1">
      <c r="A929" s="990"/>
      <c r="B929" s="990"/>
      <c r="C929" s="990"/>
      <c r="D929" s="118"/>
      <c r="E929" s="989"/>
      <c r="F929" s="989"/>
      <c r="G929" s="989"/>
      <c r="I929" s="491"/>
    </row>
    <row r="930" spans="1:9" ht="12.75" customHeight="1">
      <c r="A930" s="990"/>
      <c r="B930" s="486" t="s">
        <v>2744</v>
      </c>
      <c r="C930" s="990"/>
      <c r="D930" s="1290" t="s">
        <v>2071</v>
      </c>
      <c r="E930" s="1290"/>
      <c r="F930" s="1290"/>
      <c r="G930" s="989"/>
      <c r="I930" s="491"/>
    </row>
    <row r="931" spans="1:9" ht="12.75" customHeight="1">
      <c r="A931" s="990"/>
      <c r="B931" s="990"/>
      <c r="C931" s="990"/>
      <c r="D931" s="118"/>
      <c r="E931" s="989"/>
      <c r="F931" s="989"/>
      <c r="G931" s="989"/>
      <c r="I931" s="491"/>
    </row>
    <row r="932" spans="1:9" ht="12.75" customHeight="1">
      <c r="A932" s="990"/>
      <c r="B932" s="486" t="s">
        <v>2744</v>
      </c>
      <c r="C932" s="990"/>
      <c r="D932" s="1290" t="s">
        <v>2072</v>
      </c>
      <c r="E932" s="1290"/>
      <c r="F932" s="1290"/>
      <c r="G932" s="989"/>
      <c r="I932" s="491"/>
    </row>
    <row r="933" spans="1:9" ht="12.75" customHeight="1">
      <c r="A933" s="174"/>
      <c r="B933" s="174"/>
      <c r="C933" s="174"/>
      <c r="D933" s="2"/>
      <c r="E933" s="3"/>
      <c r="F933" s="989"/>
      <c r="G933" s="989"/>
      <c r="I933" s="491"/>
    </row>
    <row r="934" spans="1:9" ht="12.75" customHeight="1">
      <c r="A934" s="998"/>
      <c r="B934" s="486" t="s">
        <v>2743</v>
      </c>
      <c r="C934" s="999"/>
      <c r="D934" s="1275" t="s">
        <v>1778</v>
      </c>
      <c r="E934" s="1275"/>
      <c r="F934" s="1275"/>
      <c r="G934" s="1000"/>
      <c r="I934" s="491"/>
    </row>
    <row r="935" spans="1:9" ht="12.75" customHeight="1">
      <c r="A935" s="998"/>
      <c r="B935" s="998"/>
      <c r="C935" s="999"/>
      <c r="D935" s="1275"/>
      <c r="E935" s="1275"/>
      <c r="F935" s="1275"/>
      <c r="G935" s="1000"/>
      <c r="I935" s="491"/>
    </row>
    <row r="936" spans="1:9" ht="12.75" customHeight="1">
      <c r="A936" s="998"/>
      <c r="B936" s="998"/>
      <c r="C936" s="999"/>
      <c r="D936" s="1275"/>
      <c r="E936" s="1275"/>
      <c r="F936" s="1275"/>
      <c r="G936" s="1000"/>
      <c r="I936" s="491"/>
    </row>
    <row r="937" spans="1:9" ht="12.75" customHeight="1">
      <c r="A937" s="998"/>
      <c r="B937" s="998"/>
      <c r="C937" s="999"/>
      <c r="D937" s="1275"/>
      <c r="E937" s="1275"/>
      <c r="F937" s="1275"/>
      <c r="G937" s="1000"/>
      <c r="I937" s="491"/>
    </row>
    <row r="938" spans="1:9" ht="12.75" customHeight="1">
      <c r="A938" s="998"/>
      <c r="B938" s="998"/>
      <c r="C938" s="999"/>
      <c r="D938" s="1275"/>
      <c r="E938" s="1275"/>
      <c r="F938" s="1275"/>
      <c r="G938" s="1000"/>
      <c r="I938" s="491"/>
    </row>
    <row r="939" spans="1:9" ht="12.75" customHeight="1">
      <c r="A939" s="998"/>
      <c r="B939" s="998"/>
      <c r="C939" s="999"/>
      <c r="D939" s="1275"/>
      <c r="E939" s="1275"/>
      <c r="F939" s="1275"/>
      <c r="G939" s="1000"/>
      <c r="I939" s="491"/>
    </row>
    <row r="940" spans="1:9" ht="12.75" customHeight="1">
      <c r="A940" s="998"/>
      <c r="B940" s="998"/>
      <c r="C940" s="999"/>
      <c r="D940" s="1275"/>
      <c r="E940" s="1275"/>
      <c r="F940" s="1275"/>
      <c r="G940" s="1000"/>
      <c r="I940" s="491"/>
    </row>
    <row r="941" spans="1:9" ht="12.75" customHeight="1">
      <c r="A941" s="998"/>
      <c r="B941" s="998"/>
      <c r="C941" s="999"/>
      <c r="D941" s="1275"/>
      <c r="E941" s="1275"/>
      <c r="F941" s="1275"/>
      <c r="G941" s="1000"/>
      <c r="I941" s="491"/>
    </row>
    <row r="942" spans="1:9" ht="12.75" customHeight="1">
      <c r="A942" s="998"/>
      <c r="B942" s="998"/>
      <c r="C942" s="999"/>
      <c r="D942" s="1275"/>
      <c r="E942" s="1275"/>
      <c r="F942" s="1275"/>
      <c r="G942" s="1000"/>
      <c r="I942" s="491"/>
    </row>
    <row r="943" spans="1:9" ht="12.75" customHeight="1">
      <c r="A943" s="174"/>
      <c r="B943" s="174"/>
      <c r="C943" s="174"/>
      <c r="D943" s="2"/>
      <c r="E943" s="3"/>
      <c r="F943" s="989"/>
      <c r="G943" s="989"/>
      <c r="I943" s="491"/>
    </row>
    <row r="944" spans="1:9" ht="12.75" customHeight="1">
      <c r="A944" s="175"/>
      <c r="B944" s="486" t="s">
        <v>2743</v>
      </c>
      <c r="C944" s="174"/>
      <c r="D944" s="1299" t="s">
        <v>1887</v>
      </c>
      <c r="E944" s="1299"/>
      <c r="F944" s="1299"/>
      <c r="G944" s="989"/>
      <c r="I944" s="491"/>
    </row>
    <row r="945" spans="1:9" ht="12.75" customHeight="1">
      <c r="A945" s="175"/>
      <c r="B945" s="175"/>
      <c r="C945" s="174"/>
      <c r="D945" s="1299"/>
      <c r="E945" s="1299"/>
      <c r="F945" s="1299"/>
      <c r="G945" s="989"/>
      <c r="I945" s="491"/>
    </row>
    <row r="946" spans="1:9" ht="12.75" customHeight="1">
      <c r="A946" s="175"/>
      <c r="B946" s="175"/>
      <c r="C946" s="174"/>
      <c r="D946" s="1299"/>
      <c r="E946" s="1299"/>
      <c r="F946" s="1299"/>
      <c r="G946" s="989"/>
      <c r="I946" s="491"/>
    </row>
    <row r="947" spans="1:9" ht="12.75" customHeight="1">
      <c r="A947" s="175"/>
      <c r="B947" s="175"/>
      <c r="C947" s="174"/>
      <c r="D947" s="1299"/>
      <c r="E947" s="1299"/>
      <c r="F947" s="1299"/>
      <c r="G947" s="989"/>
      <c r="I947" s="491"/>
    </row>
    <row r="948" spans="1:9" ht="12.75" customHeight="1">
      <c r="A948" s="175"/>
      <c r="B948" s="175"/>
      <c r="C948" s="174"/>
      <c r="D948" s="1299"/>
      <c r="E948" s="1299"/>
      <c r="F948" s="1299"/>
      <c r="G948" s="989"/>
      <c r="I948" s="491"/>
    </row>
    <row r="949" spans="1:9" ht="12.75" customHeight="1">
      <c r="A949" s="175"/>
      <c r="B949" s="175"/>
      <c r="C949" s="174"/>
      <c r="D949" s="1299"/>
      <c r="E949" s="1299"/>
      <c r="F949" s="1299"/>
      <c r="G949" s="989"/>
      <c r="I949" s="491"/>
    </row>
    <row r="950" spans="1:9" ht="12.75" customHeight="1">
      <c r="A950" s="175"/>
      <c r="B950" s="175"/>
      <c r="C950" s="174"/>
      <c r="D950" s="1299"/>
      <c r="E950" s="1299"/>
      <c r="F950" s="1299"/>
      <c r="G950" s="989"/>
      <c r="I950" s="491"/>
    </row>
    <row r="951" spans="1:9" ht="12.75" customHeight="1">
      <c r="A951" s="175"/>
      <c r="B951" s="175"/>
      <c r="C951" s="174"/>
      <c r="D951" s="1027"/>
      <c r="E951" s="1027"/>
      <c r="F951" s="1027"/>
      <c r="G951" s="989"/>
      <c r="I951" s="491"/>
    </row>
    <row r="952" spans="1:9" ht="12.75" customHeight="1">
      <c r="A952" s="175"/>
      <c r="B952" s="486" t="s">
        <v>2744</v>
      </c>
      <c r="C952" s="174"/>
      <c r="D952" s="1274" t="s">
        <v>2139</v>
      </c>
      <c r="E952" s="1274"/>
      <c r="F952" s="1274"/>
      <c r="G952" s="989"/>
      <c r="I952" s="491"/>
    </row>
    <row r="953" spans="1:9" ht="12.75" customHeight="1">
      <c r="A953" s="175"/>
      <c r="B953" s="175"/>
      <c r="C953" s="174"/>
      <c r="D953" s="1274"/>
      <c r="E953" s="1274"/>
      <c r="F953" s="1274"/>
      <c r="G953" s="989"/>
      <c r="I953" s="491"/>
    </row>
    <row r="954" spans="1:9" ht="12.75" customHeight="1">
      <c r="A954" s="175"/>
      <c r="B954" s="175"/>
      <c r="C954" s="174"/>
      <c r="D954" s="1274"/>
      <c r="E954" s="1274"/>
      <c r="F954" s="1274"/>
      <c r="G954" s="989"/>
      <c r="I954" s="491"/>
    </row>
    <row r="955" spans="1:9" ht="12.75" customHeight="1">
      <c r="A955" s="175"/>
      <c r="B955" s="175"/>
      <c r="C955" s="174"/>
      <c r="D955" s="1274"/>
      <c r="E955" s="1274"/>
      <c r="F955" s="1274"/>
      <c r="G955" s="989"/>
      <c r="I955" s="491"/>
    </row>
    <row r="956" spans="1:9" ht="12.75" customHeight="1">
      <c r="A956" s="175"/>
      <c r="B956" s="175"/>
      <c r="C956" s="174"/>
      <c r="D956" s="1274"/>
      <c r="E956" s="1274"/>
      <c r="F956" s="1274"/>
      <c r="G956" s="989"/>
      <c r="I956" s="491"/>
    </row>
    <row r="957" spans="1:9" ht="12.75" customHeight="1">
      <c r="A957" s="175"/>
      <c r="B957" s="175"/>
      <c r="C957" s="174"/>
      <c r="D957" s="1274"/>
      <c r="E957" s="1274"/>
      <c r="F957" s="1274"/>
      <c r="G957" s="989"/>
      <c r="I957" s="491"/>
    </row>
    <row r="958" spans="1:9" ht="12.75" customHeight="1">
      <c r="A958" s="175"/>
      <c r="B958" s="175"/>
      <c r="C958" s="174"/>
      <c r="D958" s="1027"/>
      <c r="E958" s="1027"/>
      <c r="F958" s="1027"/>
      <c r="G958" s="989"/>
      <c r="I958" s="491"/>
    </row>
    <row r="959" spans="1:9" ht="12.75" customHeight="1">
      <c r="A959" s="990"/>
      <c r="B959" s="486" t="s">
        <v>306</v>
      </c>
      <c r="C959" s="990"/>
      <c r="D959" s="1291" t="s">
        <v>1783</v>
      </c>
      <c r="E959" s="1291"/>
      <c r="F959" s="1291"/>
      <c r="G959" s="989"/>
      <c r="I959" s="491"/>
    </row>
    <row r="960" spans="1:9" ht="12.75" customHeight="1">
      <c r="A960" s="990"/>
      <c r="B960" s="990"/>
      <c r="C960" s="990"/>
      <c r="D960" s="1291"/>
      <c r="E960" s="1291"/>
      <c r="F960" s="1291"/>
      <c r="G960" s="989"/>
      <c r="I960" s="491"/>
    </row>
    <row r="961" spans="1:9" ht="12.75" customHeight="1">
      <c r="A961" s="990"/>
      <c r="B961" s="990"/>
      <c r="C961" s="990"/>
      <c r="D961" s="1291"/>
      <c r="E961" s="1291"/>
      <c r="F961" s="1291"/>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2744</v>
      </c>
      <c r="C964" s="174"/>
      <c r="D964" s="1275" t="s">
        <v>1886</v>
      </c>
      <c r="E964" s="1275"/>
      <c r="F964" s="1275"/>
      <c r="G964" s="989"/>
      <c r="I964" s="491"/>
    </row>
    <row r="965" spans="1:9" ht="12.75" customHeight="1">
      <c r="A965" s="175"/>
      <c r="B965" s="175"/>
      <c r="C965" s="174"/>
      <c r="D965" s="1275"/>
      <c r="E965" s="1275"/>
      <c r="F965" s="1275"/>
      <c r="G965" s="989"/>
      <c r="I965" s="491"/>
    </row>
    <row r="966" spans="1:9" ht="12.75" customHeight="1">
      <c r="A966" s="175"/>
      <c r="B966" s="175"/>
      <c r="C966" s="174"/>
      <c r="D966" s="1275"/>
      <c r="E966" s="1275"/>
      <c r="F966" s="1275"/>
      <c r="G966" s="989"/>
      <c r="I966" s="491"/>
    </row>
    <row r="967" spans="1:9" ht="12.75" customHeight="1">
      <c r="A967" s="175"/>
      <c r="B967" s="175"/>
      <c r="C967" s="174"/>
      <c r="D967" s="1275"/>
      <c r="E967" s="1275"/>
      <c r="F967" s="1275"/>
      <c r="G967" s="989"/>
      <c r="I967" s="491"/>
    </row>
    <row r="968" spans="1:9" ht="12.75" customHeight="1">
      <c r="A968" s="990"/>
      <c r="B968" s="990"/>
      <c r="C968" s="990"/>
      <c r="D968" s="981"/>
      <c r="E968" s="981"/>
      <c r="F968" s="981"/>
      <c r="G968" s="981"/>
      <c r="I968" s="491"/>
    </row>
    <row r="969" spans="1:9" ht="12.75" customHeight="1">
      <c r="A969" s="355"/>
      <c r="B969" s="355"/>
      <c r="C969" s="355"/>
      <c r="D969" s="1297" t="s">
        <v>1784</v>
      </c>
      <c r="E969" s="1297"/>
      <c r="F969" s="1297"/>
      <c r="G969" s="3"/>
      <c r="I969" s="491"/>
    </row>
    <row r="970" spans="1:9" ht="12.75" customHeight="1">
      <c r="A970" s="175"/>
      <c r="B970" s="486" t="s">
        <v>2744</v>
      </c>
      <c r="C970" s="355"/>
      <c r="D970" s="1290" t="s">
        <v>1807</v>
      </c>
      <c r="E970" s="1290"/>
      <c r="F970" s="1290"/>
      <c r="G970" s="3"/>
      <c r="I970" s="491"/>
    </row>
    <row r="971" spans="1:9" ht="12.75" customHeight="1">
      <c r="A971" s="355"/>
      <c r="B971" s="355"/>
      <c r="C971" s="355"/>
      <c r="D971" s="3"/>
      <c r="E971" s="3"/>
      <c r="F971" s="3"/>
      <c r="G971" s="3"/>
      <c r="I971" s="491"/>
    </row>
    <row r="972" spans="1:9" ht="12.75" customHeight="1">
      <c r="A972" s="355"/>
      <c r="B972" s="355"/>
      <c r="C972" s="355"/>
      <c r="D972" s="1297" t="s">
        <v>1785</v>
      </c>
      <c r="E972" s="1297"/>
      <c r="F972" s="1297"/>
      <c r="G972"/>
      <c r="I972" s="491"/>
    </row>
    <row r="973" spans="1:9" ht="12.75" customHeight="1">
      <c r="A973" s="175"/>
      <c r="B973" s="486" t="s">
        <v>2744</v>
      </c>
      <c r="C973" s="355"/>
      <c r="D973" s="1264" t="s">
        <v>2073</v>
      </c>
      <c r="E973" s="1264"/>
      <c r="F973" s="1264"/>
      <c r="G973"/>
      <c r="I973" s="491"/>
    </row>
    <row r="974" spans="1:9" ht="12.75" customHeight="1">
      <c r="A974" s="175"/>
      <c r="B974" s="175"/>
      <c r="C974" s="355"/>
      <c r="D974" s="1264"/>
      <c r="E974" s="1264"/>
      <c r="F974" s="1264"/>
      <c r="G974"/>
      <c r="I974" s="491"/>
    </row>
    <row r="975" spans="1:9" ht="12.75" customHeight="1">
      <c r="A975" s="175"/>
      <c r="B975" s="175"/>
      <c r="C975" s="355"/>
      <c r="D975" s="1264"/>
      <c r="E975" s="1264"/>
      <c r="F975" s="1264"/>
      <c r="G975"/>
      <c r="I975" s="491"/>
    </row>
    <row r="976" spans="1:9" ht="12.75" customHeight="1">
      <c r="A976" s="175"/>
      <c r="B976" s="175"/>
      <c r="C976" s="355"/>
      <c r="D976" s="1264"/>
      <c r="E976" s="1264"/>
      <c r="F976" s="1264"/>
      <c r="G976"/>
      <c r="I976" s="491"/>
    </row>
    <row r="977" spans="1:9" ht="12.75" customHeight="1">
      <c r="A977" s="175"/>
      <c r="B977" s="175"/>
      <c r="C977" s="355"/>
      <c r="D977" s="1264"/>
      <c r="E977" s="1264"/>
      <c r="F977" s="1264"/>
      <c r="G977"/>
      <c r="I977" s="491"/>
    </row>
    <row r="978" spans="1:9" ht="12.75" customHeight="1">
      <c r="A978" s="175"/>
      <c r="B978" s="175"/>
      <c r="C978" s="355"/>
      <c r="D978" s="1264"/>
      <c r="E978" s="1264"/>
      <c r="F978" s="1264"/>
      <c r="G978"/>
      <c r="I978" s="491"/>
    </row>
    <row r="979" spans="1:9" ht="12.75" customHeight="1">
      <c r="A979" s="175"/>
      <c r="B979" s="175"/>
      <c r="C979" s="355"/>
      <c r="D979" s="1264"/>
      <c r="E979" s="1264"/>
      <c r="F979" s="1264"/>
      <c r="G979"/>
      <c r="I979" s="491"/>
    </row>
    <row r="980" spans="1:9" ht="12.75" customHeight="1">
      <c r="A980" s="175"/>
      <c r="B980" s="175"/>
      <c r="C980" s="355"/>
      <c r="D980" s="1264"/>
      <c r="E980" s="1264"/>
      <c r="F980" s="1264"/>
      <c r="G980"/>
      <c r="I980" s="491"/>
    </row>
    <row r="981" spans="1:9" ht="12.75" customHeight="1">
      <c r="A981" s="175"/>
      <c r="B981" s="175"/>
      <c r="C981" s="355"/>
      <c r="D981" s="1264"/>
      <c r="E981" s="1264"/>
      <c r="F981" s="1264"/>
      <c r="G981"/>
      <c r="I981" s="491"/>
    </row>
    <row r="982" spans="1:9" ht="12.75" customHeight="1">
      <c r="A982" s="175"/>
      <c r="B982" s="175"/>
      <c r="C982" s="355"/>
      <c r="D982" s="1264"/>
      <c r="E982" s="1264"/>
      <c r="F982" s="1264"/>
      <c r="G982"/>
      <c r="I982" s="491"/>
    </row>
    <row r="983" spans="1:9" ht="12.75" customHeight="1">
      <c r="A983" s="175"/>
      <c r="B983" s="175"/>
      <c r="C983" s="355"/>
      <c r="D983" s="1264"/>
      <c r="E983" s="1264"/>
      <c r="F983" s="1264"/>
      <c r="G983"/>
      <c r="I983" s="491"/>
    </row>
    <row r="984" spans="1:9" ht="12.75" customHeight="1">
      <c r="A984" s="175"/>
      <c r="B984" s="175"/>
      <c r="C984" s="355"/>
      <c r="D984" s="1264"/>
      <c r="E984" s="1264"/>
      <c r="F984" s="1264"/>
      <c r="G984"/>
      <c r="I984" s="491"/>
    </row>
    <row r="985" spans="1:9" ht="12.75" customHeight="1">
      <c r="A985" s="175"/>
      <c r="B985" s="175"/>
      <c r="C985" s="355"/>
      <c r="D985" s="1264"/>
      <c r="E985" s="1264"/>
      <c r="F985" s="1264"/>
      <c r="G985"/>
      <c r="I985" s="491"/>
    </row>
    <row r="986" spans="1:9" ht="12.75" customHeight="1">
      <c r="A986" s="175"/>
      <c r="B986" s="175"/>
      <c r="C986" s="355"/>
      <c r="D986" s="1264"/>
      <c r="E986" s="1264"/>
      <c r="F986" s="1264"/>
      <c r="G986"/>
      <c r="I986" s="491"/>
    </row>
    <row r="987" spans="1:9" ht="12.75" customHeight="1">
      <c r="A987" s="175"/>
      <c r="B987" s="175"/>
      <c r="C987" s="355"/>
      <c r="D987" s="1264"/>
      <c r="E987" s="1264"/>
      <c r="F987" s="1264"/>
      <c r="G987" s="3"/>
      <c r="I987" s="491"/>
    </row>
    <row r="988" spans="1:9" ht="12.75" customHeight="1">
      <c r="A988" s="355"/>
      <c r="B988" s="355"/>
      <c r="C988" s="355"/>
      <c r="D988" s="3"/>
      <c r="E988" s="3"/>
      <c r="F988" s="3"/>
      <c r="G988" s="3"/>
      <c r="I988" s="491"/>
    </row>
    <row r="989" spans="1:9" ht="12.75" customHeight="1">
      <c r="A989" s="1287" t="s">
        <v>1786</v>
      </c>
      <c r="B989" s="1287"/>
      <c r="C989" s="1287"/>
      <c r="D989" s="1287"/>
      <c r="E989" s="1287"/>
      <c r="F989" s="1287"/>
      <c r="G989" s="1287"/>
      <c r="H989" s="1029"/>
      <c r="I989" s="1155"/>
    </row>
    <row r="990" spans="1:9" ht="12.75" customHeight="1">
      <c r="A990" s="118"/>
      <c r="B990" s="118"/>
      <c r="C990" s="355"/>
      <c r="D990" s="3"/>
      <c r="E990" s="3"/>
      <c r="F990" s="3"/>
      <c r="G990" s="3"/>
      <c r="I990" s="491"/>
    </row>
    <row r="991" spans="1:9" ht="12.75" customHeight="1">
      <c r="A991" s="355"/>
      <c r="B991" s="355"/>
      <c r="C991" s="990"/>
      <c r="D991" s="1297" t="s">
        <v>1808</v>
      </c>
      <c r="E991" s="1297"/>
      <c r="F991" s="1297"/>
      <c r="G991" s="3"/>
      <c r="I991" s="491"/>
    </row>
    <row r="992" spans="1:9" ht="12.75" customHeight="1">
      <c r="A992" s="172"/>
      <c r="B992" s="172"/>
      <c r="C992" s="172"/>
      <c r="D992" s="1290" t="s">
        <v>1787</v>
      </c>
      <c r="E992" s="1290"/>
      <c r="F992" s="1290"/>
      <c r="G992" s="3"/>
      <c r="I992" s="491"/>
    </row>
    <row r="993" spans="1:9" ht="12.75" customHeight="1">
      <c r="A993" s="172"/>
      <c r="B993" s="172"/>
      <c r="C993" s="172"/>
      <c r="D993" s="3"/>
      <c r="E993" s="3"/>
      <c r="F993" s="989"/>
      <c r="G993"/>
      <c r="I993" s="491"/>
    </row>
    <row r="994" spans="1:9" ht="12.75" customHeight="1">
      <c r="A994" s="355"/>
      <c r="B994" s="486" t="s">
        <v>2743</v>
      </c>
      <c r="C994" s="355"/>
      <c r="D994" s="1298" t="s">
        <v>1916</v>
      </c>
      <c r="E994" s="1298"/>
      <c r="F994" s="1298"/>
      <c r="G994"/>
      <c r="I994" s="491"/>
    </row>
    <row r="995" spans="1:9" ht="12.75" customHeight="1">
      <c r="A995" s="355"/>
      <c r="B995" s="355"/>
      <c r="C995" s="355"/>
      <c r="D995" s="1298"/>
      <c r="E995" s="1298"/>
      <c r="F995" s="1298"/>
      <c r="G995"/>
      <c r="I995" s="491"/>
    </row>
    <row r="996" spans="1:9" ht="12.75" customHeight="1">
      <c r="A996" s="355"/>
      <c r="B996" s="355"/>
      <c r="C996" s="355"/>
      <c r="D996" s="1039"/>
      <c r="E996" s="1037" t="s">
        <v>1917</v>
      </c>
      <c r="F996" s="1039"/>
      <c r="G996"/>
      <c r="I996" s="491"/>
    </row>
    <row r="997" spans="1:9" ht="12.75" customHeight="1">
      <c r="A997" s="355"/>
      <c r="B997" s="355"/>
      <c r="C997" s="355"/>
      <c r="D997" s="1269" t="s">
        <v>1915</v>
      </c>
      <c r="E997" s="1269"/>
      <c r="F997" s="1269"/>
      <c r="G997"/>
      <c r="I997" s="491"/>
    </row>
    <row r="998" spans="1:9" ht="12.75" customHeight="1">
      <c r="A998" s="355"/>
      <c r="B998" s="355"/>
      <c r="C998" s="355"/>
      <c r="D998" s="1269"/>
      <c r="E998" s="1269"/>
      <c r="F998" s="1269"/>
      <c r="G998"/>
      <c r="I998" s="491"/>
    </row>
    <row r="999" spans="1:9" ht="12.75" customHeight="1">
      <c r="A999" s="174"/>
      <c r="B999" s="174"/>
      <c r="C999" s="174"/>
      <c r="D999" s="1269"/>
      <c r="E999" s="1269"/>
      <c r="F999" s="1269"/>
      <c r="G999"/>
      <c r="I999" s="491"/>
    </row>
    <row r="1000" spans="1:9" ht="12.75" customHeight="1">
      <c r="A1000" s="174"/>
      <c r="B1000" s="174"/>
      <c r="C1000" s="174"/>
      <c r="D1000" s="1269"/>
      <c r="E1000" s="1269"/>
      <c r="F1000" s="1269"/>
      <c r="G1000"/>
      <c r="I1000" s="491"/>
    </row>
    <row r="1001" spans="1:9" ht="12.75" customHeight="1">
      <c r="A1001" s="174"/>
      <c r="B1001" s="174"/>
      <c r="C1001" s="174"/>
      <c r="D1001" s="336"/>
      <c r="E1001" s="336"/>
      <c r="F1001" s="336"/>
      <c r="G1001"/>
      <c r="I1001" s="491"/>
    </row>
    <row r="1002" spans="1:9" ht="12.75" customHeight="1">
      <c r="A1002" s="174"/>
      <c r="B1002" s="486" t="s">
        <v>2743</v>
      </c>
      <c r="C1002" s="174"/>
      <c r="D1002" s="1264" t="s">
        <v>1788</v>
      </c>
      <c r="E1002" s="1264"/>
      <c r="F1002" s="1264"/>
      <c r="G1002"/>
      <c r="I1002" s="491"/>
    </row>
    <row r="1003" spans="1:9" ht="12.75" customHeight="1">
      <c r="A1003" s="174"/>
      <c r="B1003" s="174"/>
      <c r="C1003" s="174"/>
      <c r="D1003" s="1264"/>
      <c r="E1003" s="1264"/>
      <c r="F1003" s="1264"/>
      <c r="G1003"/>
      <c r="I1003" s="491"/>
    </row>
    <row r="1004" spans="1:9" ht="12.75" customHeight="1">
      <c r="A1004" s="174"/>
      <c r="B1004" s="174"/>
      <c r="C1004" s="174"/>
      <c r="D1004" s="1264"/>
      <c r="E1004" s="1264"/>
      <c r="F1004" s="1264"/>
      <c r="G1004"/>
      <c r="I1004" s="491"/>
    </row>
    <row r="1005" spans="1:9" ht="12.75" customHeight="1">
      <c r="A1005" s="174"/>
      <c r="B1005" s="174"/>
      <c r="C1005" s="174"/>
      <c r="D1005" s="1264"/>
      <c r="E1005" s="1264"/>
      <c r="F1005" s="1264"/>
      <c r="G1005"/>
      <c r="I1005" s="491"/>
    </row>
    <row r="1006" spans="1:9" ht="12.75" customHeight="1">
      <c r="A1006" s="174"/>
      <c r="B1006" s="174"/>
      <c r="C1006" s="174"/>
      <c r="D1006" s="442"/>
      <c r="E1006" s="442"/>
      <c r="F1006" s="442"/>
      <c r="G1006"/>
      <c r="I1006" s="491"/>
    </row>
    <row r="1007" spans="1:9" ht="12.75" customHeight="1">
      <c r="A1007" s="174"/>
      <c r="B1007" s="486" t="s">
        <v>2744</v>
      </c>
      <c r="C1007" s="174"/>
      <c r="D1007" s="1264" t="s">
        <v>2233</v>
      </c>
      <c r="E1007" s="1264"/>
      <c r="F1007" s="1264"/>
      <c r="G1007"/>
      <c r="I1007" s="491"/>
    </row>
    <row r="1008" spans="1:9" ht="12.75" customHeight="1">
      <c r="A1008" s="174"/>
      <c r="B1008" s="174"/>
      <c r="C1008" s="174"/>
      <c r="D1008" s="1264"/>
      <c r="E1008" s="1264"/>
      <c r="F1008" s="1264"/>
      <c r="G1008"/>
      <c r="I1008" s="491"/>
    </row>
    <row r="1009" spans="1:9" ht="12.75" customHeight="1">
      <c r="A1009" s="174"/>
      <c r="B1009" s="174"/>
      <c r="C1009" s="174"/>
      <c r="D1009" s="442"/>
      <c r="E1009" s="442"/>
      <c r="F1009" s="442"/>
      <c r="G1009"/>
      <c r="I1009" s="491"/>
    </row>
    <row r="1010" spans="1:9" ht="12.75" customHeight="1">
      <c r="A1010" s="175"/>
      <c r="B1010" s="486" t="s">
        <v>2743</v>
      </c>
      <c r="C1010" s="355"/>
      <c r="D1010" s="1290" t="s">
        <v>1789</v>
      </c>
      <c r="E1010" s="1290"/>
      <c r="F1010" s="1290"/>
      <c r="G1010"/>
      <c r="I1010" s="491"/>
    </row>
    <row r="1011" spans="1:9" ht="12.75" customHeight="1">
      <c r="A1011" s="355"/>
      <c r="B1011" s="355"/>
      <c r="C1011" s="355"/>
      <c r="D1011" s="3"/>
      <c r="E1011" s="3"/>
      <c r="F1011" s="3"/>
      <c r="G1011"/>
      <c r="I1011" s="491"/>
    </row>
    <row r="1012" spans="1:9" ht="12.75" customHeight="1">
      <c r="A1012" s="175"/>
      <c r="B1012" s="486" t="s">
        <v>2743</v>
      </c>
      <c r="C1012" s="355"/>
      <c r="D1012" s="1290" t="s">
        <v>1790</v>
      </c>
      <c r="E1012" s="1290"/>
      <c r="F1012" s="1290"/>
      <c r="G1012"/>
      <c r="I1012" s="491"/>
    </row>
    <row r="1013" spans="1:9" ht="12.75" customHeight="1">
      <c r="A1013" s="355"/>
      <c r="B1013" s="355"/>
      <c r="C1013" s="355"/>
      <c r="D1013" s="118"/>
      <c r="E1013" s="3"/>
      <c r="F1013" s="3"/>
      <c r="G1013"/>
      <c r="I1013" s="491"/>
    </row>
    <row r="1014" spans="1:9" ht="12.75" customHeight="1">
      <c r="A1014" s="175"/>
      <c r="B1014" s="486" t="s">
        <v>2743</v>
      </c>
      <c r="C1014" s="355"/>
      <c r="D1014" s="1290" t="s">
        <v>1791</v>
      </c>
      <c r="E1014" s="1290"/>
      <c r="F1014" s="1290"/>
      <c r="G1014"/>
      <c r="I1014" s="491"/>
    </row>
    <row r="1015" spans="1:9" ht="12.75" customHeight="1">
      <c r="A1015" s="355"/>
      <c r="B1015" s="355"/>
      <c r="C1015" s="355"/>
      <c r="D1015" s="118"/>
      <c r="E1015" s="3"/>
      <c r="F1015" s="3"/>
      <c r="G1015"/>
      <c r="I1015" s="491"/>
    </row>
    <row r="1016" spans="1:9" ht="12.75" customHeight="1">
      <c r="A1016" s="175"/>
      <c r="B1016" s="486" t="s">
        <v>2743</v>
      </c>
      <c r="C1016" s="355"/>
      <c r="D1016" s="1264" t="s">
        <v>1792</v>
      </c>
      <c r="E1016" s="1264"/>
      <c r="F1016" s="1264"/>
      <c r="G1016"/>
      <c r="I1016" s="491"/>
    </row>
    <row r="1017" spans="1:9" ht="12.75" customHeight="1">
      <c r="A1017" s="175"/>
      <c r="B1017" s="175"/>
      <c r="C1017" s="355"/>
      <c r="D1017" s="1264"/>
      <c r="E1017" s="1264"/>
      <c r="F1017" s="1264"/>
      <c r="G1017"/>
      <c r="I1017" s="491"/>
    </row>
    <row r="1018" spans="1:9" ht="12.75" customHeight="1">
      <c r="A1018" s="175"/>
      <c r="B1018" s="175"/>
      <c r="C1018" s="355"/>
      <c r="D1018" s="118"/>
      <c r="E1018" s="3"/>
      <c r="F1018" s="3"/>
      <c r="G1018" s="3"/>
      <c r="I1018" s="491"/>
    </row>
    <row r="1019" spans="1:9" ht="12.75" customHeight="1">
      <c r="A1019" s="255"/>
      <c r="B1019" s="486" t="s">
        <v>2744</v>
      </c>
      <c r="C1019" s="1001"/>
      <c r="D1019" s="1296" t="s">
        <v>1793</v>
      </c>
      <c r="E1019" s="1296"/>
      <c r="F1019" s="1296"/>
      <c r="G1019" s="1002"/>
      <c r="I1019" s="491"/>
    </row>
    <row r="1020" spans="1:9" ht="12.75" customHeight="1">
      <c r="A1020" s="1001"/>
      <c r="B1020" s="1001"/>
      <c r="C1020" s="1001"/>
      <c r="D1020" s="1296"/>
      <c r="E1020" s="1296"/>
      <c r="F1020" s="1296"/>
      <c r="G1020" s="1002"/>
      <c r="I1020" s="491"/>
    </row>
    <row r="1021" spans="1:9" ht="12.75" customHeight="1">
      <c r="A1021" s="1001"/>
      <c r="B1021" s="1001"/>
      <c r="C1021" s="1001"/>
      <c r="D1021" s="985"/>
      <c r="E1021" s="1002"/>
      <c r="F1021" s="1002"/>
      <c r="G1021" s="1002"/>
      <c r="I1021" s="491"/>
    </row>
    <row r="1022" spans="1:9" ht="12.75" customHeight="1">
      <c r="A1022" s="255"/>
      <c r="B1022" s="486" t="s">
        <v>2744</v>
      </c>
      <c r="C1022" s="1001"/>
      <c r="D1022" s="1286" t="s">
        <v>1794</v>
      </c>
      <c r="E1022" s="1286"/>
      <c r="F1022" s="1286"/>
      <c r="G1022" s="1002"/>
      <c r="I1022" s="491"/>
    </row>
    <row r="1023" spans="1:9" ht="12.75" customHeight="1">
      <c r="A1023" s="1001"/>
      <c r="B1023" s="1001"/>
      <c r="C1023" s="1001"/>
      <c r="D1023" s="985"/>
      <c r="E1023" s="1002"/>
      <c r="F1023" s="1002"/>
      <c r="G1023" s="1002"/>
      <c r="I1023" s="491"/>
    </row>
    <row r="1024" spans="1:9" ht="12.75" customHeight="1">
      <c r="A1024" s="175"/>
      <c r="B1024" s="486" t="s">
        <v>2743</v>
      </c>
      <c r="C1024" s="355"/>
      <c r="D1024" s="1290" t="s">
        <v>1795</v>
      </c>
      <c r="E1024" s="1290"/>
      <c r="F1024" s="1290"/>
      <c r="G1024" s="3"/>
      <c r="I1024" s="491"/>
    </row>
    <row r="1025" spans="1:9" ht="12.75" customHeight="1">
      <c r="A1025" s="175"/>
      <c r="B1025" s="175"/>
      <c r="C1025" s="355"/>
      <c r="D1025" s="118"/>
      <c r="E1025" s="3"/>
      <c r="F1025" s="3"/>
      <c r="G1025" s="3"/>
      <c r="I1025" s="491"/>
    </row>
    <row r="1026" spans="1:9" ht="12.75" customHeight="1">
      <c r="A1026" s="175"/>
      <c r="B1026" s="486" t="s">
        <v>2744</v>
      </c>
      <c r="C1026" s="355"/>
      <c r="D1026" s="1264" t="s">
        <v>1796</v>
      </c>
      <c r="E1026" s="1264"/>
      <c r="F1026" s="1264"/>
      <c r="G1026" s="3"/>
      <c r="I1026" s="491"/>
    </row>
    <row r="1027" spans="1:9" ht="12.75" customHeight="1">
      <c r="A1027" s="175"/>
      <c r="B1027" s="175"/>
      <c r="C1027" s="355"/>
      <c r="D1027" s="1264"/>
      <c r="E1027" s="1264"/>
      <c r="F1027" s="1264"/>
      <c r="G1027" s="3"/>
      <c r="I1027" s="491"/>
    </row>
    <row r="1028" spans="1:9" ht="12.75" customHeight="1">
      <c r="A1028" s="355"/>
      <c r="B1028" s="355"/>
      <c r="C1028" s="355"/>
      <c r="D1028" s="3"/>
      <c r="E1028" s="3"/>
      <c r="F1028" s="3"/>
      <c r="G1028" s="3"/>
      <c r="I1028" s="491"/>
    </row>
    <row r="1029" spans="1:9" ht="12.75" customHeight="1">
      <c r="A1029" s="1287" t="s">
        <v>1797</v>
      </c>
      <c r="B1029" s="1287"/>
      <c r="C1029" s="1287"/>
      <c r="D1029" s="1287"/>
      <c r="E1029" s="1287"/>
      <c r="F1029" s="1287"/>
      <c r="G1029" s="1287"/>
      <c r="H1029" s="1029"/>
      <c r="I1029" s="1155"/>
    </row>
    <row r="1030" spans="1:9" ht="12.75" customHeight="1">
      <c r="A1030" s="355"/>
      <c r="B1030" s="355"/>
      <c r="C1030" s="355"/>
      <c r="D1030" s="3"/>
      <c r="E1030" s="3"/>
      <c r="F1030" s="3"/>
      <c r="G1030" s="3"/>
      <c r="I1030" s="491"/>
    </row>
    <row r="1031" spans="1:9" ht="12.75" customHeight="1">
      <c r="A1031" s="355"/>
      <c r="B1031" s="355"/>
      <c r="C1031" s="355"/>
      <c r="D1031" s="1285" t="s">
        <v>1798</v>
      </c>
      <c r="E1031" s="1285"/>
      <c r="F1031" s="1285"/>
      <c r="G1031" s="3"/>
      <c r="I1031" s="491"/>
    </row>
    <row r="1032" spans="1:9" ht="12.75" customHeight="1">
      <c r="A1032" s="355"/>
      <c r="B1032" s="355"/>
      <c r="C1032" s="355"/>
      <c r="D1032" s="1286" t="s">
        <v>1799</v>
      </c>
      <c r="E1032" s="1286"/>
      <c r="F1032" s="1286"/>
      <c r="G1032" s="3"/>
      <c r="I1032" s="491"/>
    </row>
    <row r="1033" spans="1:9" ht="12.75" customHeight="1">
      <c r="A1033" s="172"/>
      <c r="B1033" s="172"/>
      <c r="C1033" s="172"/>
      <c r="D1033" s="3"/>
      <c r="E1033" s="3"/>
      <c r="F1033" s="3"/>
      <c r="G1033" s="3"/>
      <c r="I1033" s="491"/>
    </row>
    <row r="1034" spans="1:9" ht="12.75" customHeight="1">
      <c r="A1034" s="175"/>
      <c r="B1034" s="175"/>
      <c r="C1034" s="174"/>
      <c r="D1034" s="1285" t="s">
        <v>1813</v>
      </c>
      <c r="E1034" s="1285"/>
      <c r="F1034" s="1285"/>
      <c r="G1034" s="3"/>
      <c r="I1034" s="491"/>
    </row>
    <row r="1035" spans="1:9" ht="12.75" customHeight="1">
      <c r="A1035" s="355"/>
      <c r="B1035" s="486" t="s">
        <v>2743</v>
      </c>
      <c r="C1035" s="355"/>
      <c r="D1035" s="1286" t="s">
        <v>1271</v>
      </c>
      <c r="E1035" s="1286"/>
      <c r="F1035" s="1286"/>
      <c r="G1035" s="3"/>
      <c r="I1035" s="491"/>
    </row>
    <row r="1036" spans="1:9" ht="12.75" customHeight="1">
      <c r="A1036" s="355"/>
      <c r="B1036" s="175"/>
      <c r="C1036" s="355"/>
      <c r="D1036" s="1286" t="s">
        <v>1800</v>
      </c>
      <c r="E1036" s="1286"/>
      <c r="F1036" s="1286"/>
      <c r="G1036" s="3"/>
      <c r="I1036" s="491"/>
    </row>
    <row r="1037" spans="1:9" ht="12.75" customHeight="1">
      <c r="A1037" s="355"/>
      <c r="B1037" s="355"/>
      <c r="C1037" s="355"/>
      <c r="D1037" s="1286"/>
      <c r="E1037" s="1286"/>
      <c r="F1037" s="1286"/>
      <c r="G1037" s="3"/>
      <c r="I1037" s="491"/>
    </row>
    <row r="1038" spans="1:9" ht="12.75" customHeight="1">
      <c r="A1038" s="1287" t="s">
        <v>1809</v>
      </c>
      <c r="B1038" s="1287"/>
      <c r="C1038" s="1287"/>
      <c r="D1038" s="1287"/>
      <c r="E1038" s="1287"/>
      <c r="F1038" s="1287"/>
      <c r="G1038" s="1287"/>
      <c r="H1038" s="1029"/>
      <c r="I1038" s="1155"/>
    </row>
    <row r="1039" spans="1:9" ht="12.75" customHeight="1">
      <c r="A1039" s="118"/>
      <c r="B1039" s="118"/>
      <c r="C1039" s="355"/>
      <c r="D1039" s="3"/>
      <c r="E1039" s="3"/>
      <c r="F1039" s="3"/>
      <c r="G1039" s="3"/>
      <c r="I1039" s="491"/>
    </row>
    <row r="1040" spans="1:9" ht="12.75" hidden="1" customHeight="1">
      <c r="A1040" s="118"/>
      <c r="B1040" s="403"/>
      <c r="D1040" s="1284" t="s">
        <v>1272</v>
      </c>
      <c r="E1040" s="1284"/>
      <c r="F1040" s="1284"/>
      <c r="G1040" s="3"/>
      <c r="I1040" s="491"/>
    </row>
    <row r="1041" spans="1:9" ht="12.75" hidden="1" customHeight="1">
      <c r="A1041" s="118"/>
      <c r="B1041" s="486" t="s">
        <v>306</v>
      </c>
      <c r="D1041" s="1283" t="s">
        <v>1271</v>
      </c>
      <c r="E1041" s="1283"/>
      <c r="F1041" s="1283"/>
      <c r="G1041" s="3"/>
      <c r="I1041" s="491"/>
    </row>
    <row r="1042" spans="1:9" ht="12.75" hidden="1" customHeight="1">
      <c r="A1042" s="118"/>
      <c r="B1042" s="403"/>
      <c r="D1042" s="1283" t="s">
        <v>1810</v>
      </c>
      <c r="E1042" s="1283"/>
      <c r="F1042" s="1283"/>
      <c r="G1042" s="3"/>
      <c r="I1042" s="491"/>
    </row>
    <row r="1043" spans="1:9" ht="12.75" hidden="1" customHeight="1">
      <c r="A1043" s="118"/>
      <c r="B1043" s="403"/>
      <c r="D1043" s="445"/>
      <c r="E1043" s="445"/>
      <c r="F1043" s="445"/>
      <c r="G1043" s="3"/>
      <c r="I1043" s="491"/>
    </row>
    <row r="1044" spans="1:9" ht="12.75" customHeight="1">
      <c r="A1044" s="118"/>
      <c r="B1044" s="118"/>
      <c r="C1044" s="355"/>
      <c r="D1044" s="1288" t="s">
        <v>1066</v>
      </c>
      <c r="E1044" s="1288"/>
      <c r="F1044" s="1288"/>
      <c r="G1044" s="3"/>
      <c r="I1044" s="491"/>
    </row>
    <row r="1045" spans="1:9" ht="12.75" customHeight="1">
      <c r="A1045" s="320"/>
      <c r="B1045" s="320"/>
      <c r="C1045" s="320"/>
      <c r="D1045" s="1289" t="s">
        <v>2251</v>
      </c>
      <c r="E1045" s="1289"/>
      <c r="F1045" s="1289"/>
      <c r="G1045" s="98"/>
      <c r="I1045" s="491"/>
    </row>
    <row r="1046" spans="1:9" ht="12.75" customHeight="1">
      <c r="A1046" s="175"/>
      <c r="B1046" s="486" t="s">
        <v>2744</v>
      </c>
      <c r="C1046" s="355"/>
      <c r="D1046" s="1289" t="s">
        <v>985</v>
      </c>
      <c r="E1046" s="1289"/>
      <c r="F1046" s="1289"/>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7" t="s">
        <v>1830</v>
      </c>
      <c r="B1049" s="1287"/>
      <c r="C1049" s="1287"/>
      <c r="D1049" s="1287"/>
      <c r="E1049" s="1287"/>
      <c r="F1049" s="1287"/>
      <c r="G1049" s="1287"/>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2744</v>
      </c>
      <c r="C1054" s="403"/>
      <c r="D1054" s="1293" t="s">
        <v>1814</v>
      </c>
      <c r="E1054" s="1293"/>
      <c r="F1054" s="1293"/>
      <c r="I1054" s="491"/>
    </row>
    <row r="1055" spans="1:9">
      <c r="A1055" s="403"/>
      <c r="B1055" s="403"/>
      <c r="C1055" s="403"/>
      <c r="D1055" s="1293"/>
      <c r="E1055" s="1293"/>
      <c r="F1055" s="1293"/>
      <c r="I1055" s="491"/>
    </row>
    <row r="1056" spans="1:9">
      <c r="A1056" s="403"/>
      <c r="B1056" s="403"/>
      <c r="C1056" s="403"/>
      <c r="D1056" s="1293"/>
      <c r="E1056" s="1293"/>
      <c r="F1056" s="1293"/>
      <c r="I1056" s="491"/>
    </row>
    <row r="1057" spans="1:9">
      <c r="A1057" s="403"/>
      <c r="B1057" s="403"/>
      <c r="C1057" s="403"/>
      <c r="D1057" s="1293"/>
      <c r="E1057" s="1293"/>
      <c r="F1057" s="1293"/>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2743</v>
      </c>
      <c r="C1062" s="403"/>
      <c r="D1062" s="403" t="s">
        <v>1812</v>
      </c>
      <c r="I1062" s="491"/>
    </row>
    <row r="1063" spans="1:9">
      <c r="A1063" s="403"/>
      <c r="B1063" s="403"/>
      <c r="C1063" s="403"/>
      <c r="I1063" s="491"/>
    </row>
    <row r="1064" spans="1:9">
      <c r="A1064" s="403"/>
      <c r="B1064" s="486" t="s">
        <v>2743</v>
      </c>
      <c r="C1064" s="403"/>
      <c r="D1064" s="1293" t="s">
        <v>1818</v>
      </c>
      <c r="E1064" s="1293"/>
      <c r="F1064" s="1293"/>
      <c r="I1064" s="491"/>
    </row>
    <row r="1065" spans="1:9">
      <c r="A1065" s="403"/>
      <c r="B1065" s="403"/>
      <c r="C1065" s="403"/>
      <c r="D1065" s="1293"/>
      <c r="E1065" s="1293"/>
      <c r="F1065" s="1293"/>
      <c r="I1065" s="491"/>
    </row>
    <row r="1066" spans="1:9">
      <c r="A1066" s="403"/>
      <c r="B1066" s="403"/>
      <c r="C1066" s="403"/>
      <c r="D1066" s="1293"/>
      <c r="E1066" s="1293"/>
      <c r="F1066" s="1293"/>
      <c r="I1066" s="491"/>
    </row>
    <row r="1067" spans="1:9">
      <c r="A1067" s="403"/>
      <c r="B1067" s="403"/>
      <c r="C1067" s="403"/>
      <c r="D1067" s="1293"/>
      <c r="E1067" s="1293"/>
      <c r="F1067" s="1293"/>
      <c r="I1067" s="491"/>
    </row>
    <row r="1068" spans="1:9">
      <c r="A1068" s="403"/>
      <c r="B1068" s="403"/>
      <c r="C1068" s="403"/>
      <c r="D1068" s="1293"/>
      <c r="E1068" s="1293"/>
      <c r="F1068" s="1293"/>
      <c r="I1068" s="491"/>
    </row>
    <row r="1069" spans="1:9">
      <c r="A1069" s="403"/>
      <c r="B1069" s="403"/>
      <c r="C1069" s="403"/>
      <c r="I1069" s="491"/>
    </row>
    <row r="1070" spans="1:9">
      <c r="A1070" s="1287" t="s">
        <v>1819</v>
      </c>
      <c r="B1070" s="1287"/>
      <c r="C1070" s="1287"/>
      <c r="D1070" s="1287"/>
      <c r="E1070" s="1287"/>
      <c r="F1070" s="1287"/>
      <c r="G1070" s="1287"/>
      <c r="H1070" s="1029"/>
      <c r="I1070" s="1155"/>
    </row>
    <row r="1071" spans="1:9">
      <c r="A1071" s="403"/>
      <c r="B1071" s="403"/>
      <c r="C1071" s="403"/>
      <c r="I1071" s="491"/>
    </row>
    <row r="1072" spans="1:9">
      <c r="A1072" s="403"/>
      <c r="B1072" s="403"/>
      <c r="C1072" s="403"/>
      <c r="I1072" s="491"/>
    </row>
    <row r="1073" spans="1:9">
      <c r="A1073" s="403"/>
      <c r="B1073" s="486" t="s">
        <v>2743</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2743</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2744</v>
      </c>
      <c r="C1079" s="403"/>
      <c r="D1079" s="119" t="s">
        <v>1828</v>
      </c>
      <c r="I1079" s="491"/>
    </row>
    <row r="1080" spans="1:9">
      <c r="A1080" s="403"/>
      <c r="B1080" s="403"/>
      <c r="C1080" s="403"/>
      <c r="D1080" s="1264" t="s">
        <v>1829</v>
      </c>
      <c r="E1080" s="1264"/>
      <c r="F1080" s="1264"/>
      <c r="I1080" s="491"/>
    </row>
    <row r="1081" spans="1:9">
      <c r="A1081" s="403"/>
      <c r="B1081" s="403"/>
      <c r="C1081" s="403"/>
      <c r="D1081" s="1264"/>
      <c r="E1081" s="1264"/>
      <c r="F1081" s="1264"/>
      <c r="I1081" s="491"/>
    </row>
    <row r="1082" spans="1:9">
      <c r="A1082" s="403"/>
      <c r="B1082" s="403"/>
      <c r="C1082" s="403"/>
      <c r="D1082" s="1264"/>
      <c r="E1082" s="1264"/>
      <c r="F1082" s="1264"/>
      <c r="I1082" s="491"/>
    </row>
    <row r="1083" spans="1:9">
      <c r="A1083" s="403"/>
      <c r="B1083" s="403"/>
      <c r="C1083" s="403"/>
      <c r="D1083" s="1264"/>
      <c r="E1083" s="1264"/>
      <c r="F1083" s="1264"/>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2744</v>
      </c>
      <c r="C1087" s="403"/>
      <c r="D1087" s="1292" t="s">
        <v>1821</v>
      </c>
      <c r="E1087" s="1292"/>
      <c r="F1087" s="1292"/>
      <c r="I1087" s="491"/>
    </row>
    <row r="1088" spans="1:9">
      <c r="A1088" s="403"/>
      <c r="B1088" s="403"/>
      <c r="C1088" s="403"/>
      <c r="D1088" s="1292"/>
      <c r="E1088" s="1292"/>
      <c r="F1088" s="1292"/>
      <c r="I1088" s="491"/>
    </row>
    <row r="1089" spans="1:9">
      <c r="A1089" s="403"/>
      <c r="B1089" s="403"/>
      <c r="C1089" s="403"/>
      <c r="D1089" s="1292"/>
      <c r="E1089" s="1292"/>
      <c r="F1089" s="1292"/>
      <c r="I1089" s="491"/>
    </row>
    <row r="1090" spans="1:9">
      <c r="A1090" s="403"/>
      <c r="B1090" s="403"/>
      <c r="C1090" s="403"/>
      <c r="D1090" s="1292"/>
      <c r="E1090" s="1292"/>
      <c r="F1090" s="1292"/>
      <c r="I1090" s="491"/>
    </row>
    <row r="1091" spans="1:9">
      <c r="A1091" s="403"/>
      <c r="B1091" s="403"/>
      <c r="C1091" s="403"/>
      <c r="D1091" s="1292"/>
      <c r="E1091" s="1292"/>
      <c r="F1091" s="1292"/>
      <c r="I1091" s="491"/>
    </row>
    <row r="1092" spans="1:9">
      <c r="A1092" s="403"/>
      <c r="B1092" s="403"/>
      <c r="C1092" s="403"/>
      <c r="D1092" s="528" t="s">
        <v>1826</v>
      </c>
      <c r="I1092" s="491"/>
    </row>
    <row r="1093" spans="1:9">
      <c r="A1093" s="403"/>
      <c r="B1093" s="403"/>
      <c r="C1093" s="403"/>
      <c r="I1093" s="491"/>
    </row>
    <row r="1094" spans="1:9">
      <c r="A1094" s="403"/>
      <c r="B1094" s="486" t="s">
        <v>2744</v>
      </c>
      <c r="C1094" s="403"/>
      <c r="D1094" s="1278" t="s">
        <v>2284</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287" t="s">
        <v>1831</v>
      </c>
      <c r="B1098" s="1287"/>
      <c r="C1098" s="1287"/>
      <c r="D1098" s="1287"/>
      <c r="E1098" s="1287"/>
      <c r="F1098" s="1287"/>
      <c r="G1098" s="1287"/>
      <c r="H1098" s="1029"/>
      <c r="I1098" s="1155"/>
    </row>
    <row r="1099" spans="1:9">
      <c r="A1099" s="403"/>
      <c r="B1099" s="403"/>
      <c r="C1099" s="403"/>
      <c r="I1099" s="491"/>
    </row>
    <row r="1100" spans="1:9">
      <c r="A1100" s="403"/>
      <c r="B1100" s="403"/>
      <c r="C1100" s="403"/>
      <c r="I1100" s="491"/>
    </row>
    <row r="1101" spans="1:9" ht="12.75" customHeight="1">
      <c r="A1101" s="403"/>
      <c r="B1101" s="486" t="s">
        <v>2744</v>
      </c>
      <c r="C1101" s="403"/>
      <c r="D1101" s="1294" t="s">
        <v>1930</v>
      </c>
      <c r="E1101" s="1294"/>
      <c r="F1101" s="1294"/>
      <c r="I1101" s="491"/>
    </row>
    <row r="1102" spans="1:9">
      <c r="A1102" s="403"/>
      <c r="B1102" s="403"/>
      <c r="C1102" s="403"/>
      <c r="D1102" s="1294"/>
      <c r="E1102" s="1294"/>
      <c r="F1102" s="1294"/>
      <c r="I1102" s="491"/>
    </row>
    <row r="1103" spans="1:9">
      <c r="A1103" s="403"/>
      <c r="B1103" s="403"/>
      <c r="C1103" s="403"/>
      <c r="D1103" s="1295" t="s">
        <v>2145</v>
      </c>
      <c r="E1103" s="1264"/>
      <c r="F1103" s="1264"/>
      <c r="I1103" s="491"/>
    </row>
    <row r="1104" spans="1:9">
      <c r="A1104" s="403"/>
      <c r="B1104" s="403"/>
      <c r="C1104" s="403"/>
      <c r="D1104" s="528"/>
      <c r="I1104" s="491"/>
    </row>
    <row r="1105" spans="1:9">
      <c r="A1105" s="403"/>
      <c r="B1105" s="486" t="s">
        <v>2744</v>
      </c>
      <c r="C1105" s="403"/>
      <c r="D1105" s="1292" t="s">
        <v>1832</v>
      </c>
      <c r="E1105" s="1292"/>
      <c r="F1105" s="1292"/>
      <c r="I1105" s="491"/>
    </row>
    <row r="1106" spans="1:9">
      <c r="A1106" s="403"/>
      <c r="B1106" s="403"/>
      <c r="C1106" s="403"/>
      <c r="D1106" s="1292"/>
      <c r="E1106" s="1292"/>
      <c r="F1106" s="1292"/>
      <c r="I1106" s="491"/>
    </row>
    <row r="1107" spans="1:9">
      <c r="A1107" s="403"/>
      <c r="B1107" s="403"/>
      <c r="C1107" s="403"/>
      <c r="D1107" s="528"/>
      <c r="I1107" s="491"/>
    </row>
    <row r="1108" spans="1:9">
      <c r="A1108" s="403"/>
      <c r="B1108" s="486" t="s">
        <v>2744</v>
      </c>
      <c r="C1108" s="403"/>
      <c r="D1108" s="1292" t="s">
        <v>1888</v>
      </c>
      <c r="E1108" s="1292"/>
      <c r="F1108" s="1292"/>
      <c r="I1108" s="491"/>
    </row>
    <row r="1109" spans="1:9">
      <c r="A1109" s="403"/>
      <c r="B1109" s="403"/>
      <c r="C1109" s="403"/>
      <c r="D1109" s="1292"/>
      <c r="E1109" s="1292"/>
      <c r="F1109" s="1292"/>
      <c r="I1109" s="491"/>
    </row>
    <row r="1110" spans="1:9">
      <c r="A1110" s="403"/>
      <c r="B1110" s="403"/>
      <c r="C1110" s="403"/>
      <c r="D1110" s="1292"/>
      <c r="E1110" s="1292"/>
      <c r="F1110" s="1292"/>
      <c r="I1110" s="491"/>
    </row>
    <row r="1111" spans="1:9">
      <c r="A1111" s="403"/>
      <c r="B1111" s="403"/>
      <c r="C1111" s="403"/>
      <c r="D1111" s="1292"/>
      <c r="E1111" s="1292"/>
      <c r="F1111" s="1292"/>
      <c r="I1111" s="491"/>
    </row>
    <row r="1112" spans="1:9">
      <c r="A1112" s="403"/>
      <c r="B1112" s="403"/>
      <c r="C1112" s="403"/>
      <c r="D1112" s="1292"/>
      <c r="E1112" s="1292"/>
      <c r="F1112" s="1292"/>
      <c r="I1112" s="491"/>
    </row>
    <row r="1113" spans="1:9">
      <c r="A1113" s="403"/>
      <c r="B1113" s="403"/>
      <c r="C1113" s="403"/>
      <c r="D1113" s="1292"/>
      <c r="E1113" s="1292"/>
      <c r="F1113" s="1292"/>
      <c r="I1113" s="491"/>
    </row>
    <row r="1114" spans="1:9">
      <c r="A1114" s="403"/>
      <c r="B1114" s="403"/>
      <c r="C1114" s="403"/>
      <c r="D1114" s="528"/>
      <c r="I1114" s="481"/>
    </row>
    <row r="1115" spans="1:9">
      <c r="A1115" s="403"/>
      <c r="B1115" s="486" t="s">
        <v>2744</v>
      </c>
      <c r="C1115" s="403"/>
      <c r="D1115" s="1292" t="s">
        <v>1833</v>
      </c>
      <c r="E1115" s="1292"/>
      <c r="F1115" s="1292"/>
      <c r="I1115" s="491"/>
    </row>
    <row r="1116" spans="1:9">
      <c r="A1116" s="403"/>
      <c r="B1116" s="403"/>
      <c r="C1116" s="403"/>
      <c r="D1116" s="1292"/>
      <c r="E1116" s="1292"/>
      <c r="F1116" s="1292"/>
      <c r="I1116" s="491"/>
    </row>
    <row r="1117" spans="1:9">
      <c r="A1117" s="403"/>
      <c r="B1117" s="403"/>
      <c r="C1117" s="403"/>
      <c r="D1117" s="1292"/>
      <c r="E1117" s="1292"/>
      <c r="F1117" s="1292"/>
      <c r="I1117" s="491"/>
    </row>
    <row r="1118" spans="1:9">
      <c r="A1118" s="403"/>
      <c r="B1118" s="403"/>
      <c r="C1118" s="403"/>
      <c r="D1118" s="528"/>
      <c r="I1118" s="491"/>
    </row>
    <row r="1119" spans="1:9">
      <c r="A1119" s="403"/>
      <c r="B1119" s="486" t="s">
        <v>2743</v>
      </c>
      <c r="C1119" s="403"/>
      <c r="D1119" s="1269" t="s">
        <v>1889</v>
      </c>
      <c r="E1119" s="1269"/>
      <c r="F1119" s="1269"/>
      <c r="I1119" s="491"/>
    </row>
    <row r="1120" spans="1:9">
      <c r="A1120" s="403"/>
      <c r="B1120" s="403"/>
      <c r="C1120" s="403"/>
      <c r="D1120" s="1269"/>
      <c r="E1120" s="1269"/>
      <c r="F1120" s="1269"/>
      <c r="I1120" s="491"/>
    </row>
    <row r="1121" spans="1:9">
      <c r="A1121" s="403"/>
      <c r="B1121" s="403"/>
      <c r="C1121" s="403"/>
      <c r="D1121" s="1269"/>
      <c r="E1121" s="1269"/>
      <c r="F1121" s="1269"/>
      <c r="I1121" s="491"/>
    </row>
    <row r="1122" spans="1:9">
      <c r="A1122" s="403"/>
      <c r="B1122" s="403"/>
      <c r="C1122" s="403"/>
      <c r="D1122" s="981"/>
      <c r="E1122" s="981"/>
      <c r="F1122" s="981"/>
      <c r="I1122" s="491"/>
    </row>
    <row r="1123" spans="1:9" ht="15.75" customHeight="1">
      <c r="A1123" s="403"/>
      <c r="B1123" s="486" t="s">
        <v>2743</v>
      </c>
      <c r="C1123" s="403"/>
      <c r="D1123" s="1264" t="s">
        <v>1890</v>
      </c>
      <c r="E1123" s="1264"/>
      <c r="F1123" s="1264"/>
      <c r="I1123" s="491"/>
    </row>
    <row r="1124" spans="1:9">
      <c r="A1124" s="403"/>
      <c r="B1124" s="403"/>
      <c r="C1124" s="403"/>
      <c r="D1124" s="1264"/>
      <c r="E1124" s="1264"/>
      <c r="F1124" s="1264"/>
      <c r="I1124" s="491"/>
    </row>
    <row r="1125" spans="1:9">
      <c r="A1125" s="403"/>
      <c r="B1125" s="403"/>
      <c r="C1125" s="403"/>
      <c r="D1125" s="1264"/>
      <c r="E1125" s="1264"/>
      <c r="F1125" s="1264"/>
      <c r="I1125" s="491"/>
    </row>
    <row r="1126" spans="1:9">
      <c r="A1126" s="403"/>
      <c r="B1126" s="403"/>
      <c r="C1126" s="403"/>
      <c r="D1126" s="1264"/>
      <c r="E1126" s="1264"/>
      <c r="F1126" s="1264"/>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3" zoomScaleNormal="100" workbookViewId="0">
      <selection activeCell="AU693"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Bay Area ((Alameda, Contra Costa, Marin, San Francisco, San Mateo, Santa Clara, and Santa Cruz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32</v>
      </c>
    </row>
    <row r="8" spans="1:58" ht="26.25" customHeight="1">
      <c r="A8" s="1399" t="s">
        <v>100</v>
      </c>
      <c r="B8" s="1399"/>
      <c r="C8" s="1399"/>
      <c r="D8" s="1399"/>
      <c r="E8" s="1399"/>
      <c r="F8" s="1399"/>
      <c r="G8" s="1399"/>
      <c r="H8" s="1399"/>
      <c r="I8" s="1399"/>
      <c r="J8" s="1399"/>
      <c r="K8" s="1399"/>
      <c r="L8" s="1399"/>
      <c r="M8" s="1399"/>
      <c r="N8" s="1399"/>
      <c r="O8" s="1399"/>
      <c r="P8" s="1399"/>
      <c r="Q8" s="1399"/>
      <c r="R8" s="1399"/>
      <c r="S8" s="1399"/>
      <c r="T8" s="1399"/>
      <c r="U8" s="1399"/>
      <c r="V8" s="1399"/>
      <c r="W8" s="1399"/>
      <c r="X8" s="1399"/>
      <c r="Y8" s="1399"/>
      <c r="Z8" s="1399"/>
      <c r="AA8" s="1399"/>
      <c r="AB8" s="1399"/>
      <c r="AC8" s="1399"/>
      <c r="AD8" s="1399"/>
      <c r="AE8" s="1399"/>
      <c r="AF8" s="1399"/>
      <c r="AG8" s="1399"/>
      <c r="AH8" s="1399"/>
      <c r="AI8" s="1399"/>
      <c r="AJ8" s="1399"/>
      <c r="AK8" s="1399"/>
      <c r="AL8" s="1399"/>
      <c r="AM8" s="1399"/>
      <c r="AN8" s="1399"/>
      <c r="AO8" s="1399"/>
      <c r="AP8" s="1399"/>
      <c r="AQ8" s="1399"/>
      <c r="AR8" s="1399"/>
      <c r="AS8" s="1399"/>
      <c r="AT8" s="1399"/>
      <c r="AU8" s="899"/>
      <c r="AV8" s="899"/>
      <c r="AW8" s="899"/>
      <c r="AX8" s="899"/>
      <c r="AY8" s="899"/>
      <c r="BD8" s="3" t="s">
        <v>2513</v>
      </c>
      <c r="BE8" s="1253">
        <f>SUMIF($AC$718:$AC$752,"&lt;=35%",$G$718:G$752)-SUM($BE$5:BE7)</f>
        <v>0</v>
      </c>
    </row>
    <row r="9" spans="1:58" ht="12.95" customHeight="1">
      <c r="A9" s="1361" t="s">
        <v>2078</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1361"/>
      <c r="AQ9" s="1361"/>
      <c r="AR9" s="1361"/>
      <c r="AS9" s="1361"/>
      <c r="AT9" s="1361"/>
      <c r="AU9" s="13"/>
      <c r="AV9" s="13"/>
      <c r="AW9" s="13"/>
      <c r="AX9" s="13"/>
      <c r="AY9" s="13"/>
      <c r="BD9" s="1252" t="s">
        <v>2505</v>
      </c>
      <c r="BE9" s="1253">
        <f>SUMIF($AC$718:$AC$752,"&lt;=40%",$G$718:G$752)-SUM($BE$5:BE8)</f>
        <v>0</v>
      </c>
    </row>
    <row r="10" spans="1:58" ht="12.95" customHeight="1">
      <c r="A10" s="1361" t="s">
        <v>2462</v>
      </c>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
      <c r="AV10" s="13"/>
      <c r="AW10" s="13"/>
      <c r="AX10" s="13"/>
      <c r="AY10" s="13"/>
      <c r="BD10" s="3" t="s">
        <v>2514</v>
      </c>
      <c r="BE10" s="1253">
        <f>SUMIF($AC$718:$AC$752,"&lt;=45%",$G$718:G$752)-SUM($BE$5:BE9)</f>
        <v>0</v>
      </c>
    </row>
    <row r="11" spans="1:58" ht="12.95" customHeight="1">
      <c r="A11" s="1361" t="s">
        <v>2608</v>
      </c>
      <c r="B11" s="1361"/>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361"/>
      <c r="AM11" s="1361"/>
      <c r="AN11" s="1361"/>
      <c r="AO11" s="1361"/>
      <c r="AP11" s="1361"/>
      <c r="AQ11" s="1361"/>
      <c r="AR11" s="1361"/>
      <c r="AS11" s="1361"/>
      <c r="AT11" s="1361"/>
      <c r="AU11" s="13"/>
      <c r="AV11" s="13"/>
      <c r="AW11" s="13"/>
      <c r="AX11" s="13"/>
      <c r="AY11" s="13"/>
      <c r="BD11" s="1251" t="s">
        <v>2506</v>
      </c>
      <c r="BE11" s="1253">
        <f>SUMIF($AC$718:$AC$752,"&lt;=50%",$G$718:G$752)-SUM($BE$5:BE10)</f>
        <v>33</v>
      </c>
    </row>
    <row r="12" spans="1:58" ht="12.95" customHeight="1">
      <c r="A12" s="1400" t="s">
        <v>2609</v>
      </c>
      <c r="B12" s="1400"/>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6"/>
      <c r="AV12" s="6"/>
      <c r="AW12" s="6"/>
      <c r="AX12" s="6"/>
      <c r="AY12" s="6"/>
      <c r="BD12" s="3" t="s">
        <v>2515</v>
      </c>
      <c r="BE12" s="1253">
        <f>SUMIF($AC$718:$AC$752,"&lt;=55%",$G$718:G$752)-SUM($BE$5:BE11)</f>
        <v>0</v>
      </c>
    </row>
    <row r="13" spans="1:58" ht="12.95" customHeight="1">
      <c r="A13" s="1262" t="s">
        <v>2079</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900"/>
      <c r="AV13" s="900"/>
      <c r="AW13" s="900"/>
      <c r="AX13" s="900"/>
      <c r="AY13" s="900"/>
      <c r="BD13" s="1252" t="s">
        <v>2507</v>
      </c>
      <c r="BE13" s="1253">
        <f>SUMIF($AC$718:$AC$752,"&lt;=60%",$G$718:G$752)-SUM($BE$5:BE12)</f>
        <v>0</v>
      </c>
    </row>
    <row r="14" spans="1:58" ht="12.95"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408" t="s">
        <v>2610</v>
      </c>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BD16" s="1252" t="s">
        <v>656</v>
      </c>
      <c r="BE16" s="1253" t="str">
        <f>Application!H18</f>
        <v>The Magnolias</v>
      </c>
    </row>
    <row r="17" spans="1:58" ht="12.95" customHeight="1">
      <c r="BD17" s="1251" t="s">
        <v>2522</v>
      </c>
      <c r="BE17" s="1253">
        <f>Application!AA934</f>
        <v>0</v>
      </c>
    </row>
    <row r="18" spans="1:58" ht="12.95" customHeight="1">
      <c r="A18" s="57" t="s">
        <v>101</v>
      </c>
      <c r="C18" s="4"/>
      <c r="D18" s="4"/>
      <c r="E18" s="4"/>
      <c r="F18" s="4"/>
      <c r="G18" s="4"/>
      <c r="H18" s="1405" t="s">
        <v>2611</v>
      </c>
      <c r="I18" s="1406"/>
      <c r="J18" s="1406"/>
      <c r="K18" s="1406"/>
      <c r="L18" s="1406"/>
      <c r="M18" s="1406"/>
      <c r="N18" s="1406"/>
      <c r="O18" s="1406"/>
      <c r="P18" s="1406"/>
      <c r="Q18" s="1406"/>
      <c r="R18" s="1406"/>
      <c r="S18" s="1406"/>
      <c r="T18" s="1406"/>
      <c r="U18" s="1406"/>
      <c r="V18" s="1406"/>
      <c r="W18" s="1406"/>
      <c r="X18" s="1406"/>
      <c r="Y18" s="1406"/>
      <c r="Z18" s="1406"/>
      <c r="AA18" s="1406"/>
      <c r="AB18" s="1406"/>
      <c r="AC18" s="1406"/>
      <c r="AD18" s="1406"/>
      <c r="AE18" s="1406"/>
      <c r="AF18" s="1406"/>
      <c r="AG18" s="1406"/>
      <c r="AH18" s="1406"/>
      <c r="AI18" s="1406"/>
      <c r="AJ18" s="1406"/>
      <c r="BD18" s="1252" t="s">
        <v>2523</v>
      </c>
      <c r="BE18" s="1253">
        <f>'CalHFA Addendum'!N11</f>
        <v>0</v>
      </c>
    </row>
    <row r="19" spans="1:58" ht="12.95" customHeight="1">
      <c r="BD19" s="1251" t="s">
        <v>2524</v>
      </c>
      <c r="BE19" s="1253">
        <f>Application!M26</f>
        <v>3124138</v>
      </c>
    </row>
    <row r="20" spans="1:58" ht="12.95" customHeight="1">
      <c r="A20" s="1401" t="s">
        <v>873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c r="AN20" s="1401"/>
      <c r="AO20" s="1401"/>
      <c r="AP20" s="1401"/>
      <c r="AQ20" s="1401"/>
      <c r="AR20" s="1401"/>
      <c r="AS20" s="1401"/>
      <c r="AT20" s="1401"/>
      <c r="AU20" s="901"/>
      <c r="AV20" s="901"/>
      <c r="AW20" s="901"/>
      <c r="AX20" s="901"/>
      <c r="AY20" s="901"/>
      <c r="BD20" s="1252" t="s">
        <v>2525</v>
      </c>
      <c r="BE20" s="1253">
        <f>Application!M27</f>
        <v>0</v>
      </c>
    </row>
    <row r="21" spans="1:58" ht="12.95" customHeight="1">
      <c r="A21" s="1410" t="s">
        <v>1009</v>
      </c>
      <c r="B21" s="1410"/>
      <c r="C21" s="1410"/>
      <c r="D21" s="1410"/>
      <c r="E21" s="1410"/>
      <c r="F21" s="1410"/>
      <c r="G21" s="1410"/>
      <c r="H21" s="1410"/>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902"/>
      <c r="AN21" s="902"/>
      <c r="AO21" s="902"/>
      <c r="AP21" s="902"/>
      <c r="AQ21" s="902"/>
      <c r="AR21" s="902"/>
      <c r="AS21" s="902"/>
      <c r="AT21" s="902"/>
      <c r="AU21" s="902"/>
      <c r="AV21" s="902"/>
      <c r="AW21" s="902"/>
      <c r="AX21" s="902"/>
      <c r="AY21" s="902"/>
      <c r="BD21" s="1251" t="s">
        <v>2526</v>
      </c>
      <c r="BE21" s="1253">
        <f>Application!AM554</f>
        <v>32378000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65448259</v>
      </c>
      <c r="BF22" s="3" t="s">
        <v>2599</v>
      </c>
    </row>
    <row r="23" spans="1:58" ht="12.95" customHeight="1">
      <c r="A23" s="1294" t="s">
        <v>2148</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51" t="s">
        <v>2527</v>
      </c>
      <c r="BE23" s="1253">
        <f>'Sources and Uses Budget'!B4</f>
        <v>1</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52" t="s">
        <v>2528</v>
      </c>
      <c r="BE24" s="1253">
        <f>Application!AG450</f>
        <v>75150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407">
        <f>'Basis &amp; Credits'!AB56</f>
        <v>3124138</v>
      </c>
      <c r="N26" s="1407"/>
      <c r="O26" s="1407"/>
      <c r="P26" s="1407"/>
      <c r="Q26" s="1407"/>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402" t="s">
        <v>2149</v>
      </c>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402"/>
      <c r="AR29" s="1402"/>
      <c r="AS29" s="1402"/>
      <c r="AT29" s="1402"/>
      <c r="BD29" s="1251" t="s">
        <v>2531</v>
      </c>
      <c r="BE29" s="1253" t="b">
        <f>Application!M358="Yes"</f>
        <v>0</v>
      </c>
    </row>
    <row r="30" spans="1:58" ht="12.95" customHeight="1">
      <c r="A30" s="1402"/>
      <c r="B30" s="1402"/>
      <c r="C30" s="1402"/>
      <c r="D30" s="1402"/>
      <c r="E30" s="1402"/>
      <c r="F30" s="1402"/>
      <c r="G30" s="1402"/>
      <c r="H30" s="1402"/>
      <c r="I30" s="1402"/>
      <c r="J30" s="1402"/>
      <c r="K30" s="1402"/>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402"/>
      <c r="AR30" s="1402"/>
      <c r="AS30" s="1402"/>
      <c r="AT30" s="1402"/>
      <c r="AZ30" s="20"/>
      <c r="BD30" s="1252" t="s">
        <v>28</v>
      </c>
      <c r="BE30" s="1253" t="b">
        <f>Application!AJ355="Yes"</f>
        <v>1</v>
      </c>
    </row>
    <row r="31" spans="1:58" ht="12.95" customHeight="1">
      <c r="A31" s="1402"/>
      <c r="B31" s="1402"/>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402"/>
      <c r="AR31" s="1402"/>
      <c r="AS31" s="1402"/>
      <c r="AT31" s="1402"/>
      <c r="AU31" s="20"/>
      <c r="AV31" s="20"/>
      <c r="AW31" s="20"/>
      <c r="AX31" s="20"/>
      <c r="AY31" s="20"/>
      <c r="AZ31" s="20"/>
      <c r="BD31" s="1251" t="s">
        <v>2532</v>
      </c>
      <c r="BE31" s="125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33</v>
      </c>
    </row>
    <row r="33" spans="1:57" ht="12.95" customHeight="1">
      <c r="A33" s="520" t="s">
        <v>1278</v>
      </c>
      <c r="C33" s="520"/>
      <c r="D33" s="520"/>
      <c r="E33" s="520"/>
      <c r="F33" s="520"/>
      <c r="G33" s="520"/>
      <c r="H33" s="520"/>
      <c r="I33" s="520"/>
      <c r="J33" s="520"/>
      <c r="K33" s="520"/>
      <c r="L33" s="520"/>
      <c r="M33" s="520"/>
      <c r="N33" s="520"/>
      <c r="O33" s="1334" t="s">
        <v>669</v>
      </c>
      <c r="P33" s="1334"/>
      <c r="Q33" s="1403" t="s">
        <v>2150</v>
      </c>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03"/>
      <c r="AS33" s="1403"/>
      <c r="AT33" s="1403"/>
      <c r="AU33" s="20"/>
      <c r="AV33" s="20"/>
      <c r="AW33" s="20"/>
      <c r="AX33" s="20"/>
      <c r="AY33" s="20"/>
      <c r="BD33" s="1251" t="s">
        <v>2600</v>
      </c>
      <c r="BE33" s="1253" t="str">
        <f>Application!D220</f>
        <v>South and West Bay Region: San Mateo and Santa Clara Counties</v>
      </c>
    </row>
    <row r="34" spans="1:57" ht="12.95" customHeight="1">
      <c r="A34" s="1402" t="s">
        <v>2151</v>
      </c>
      <c r="B34" s="1402"/>
      <c r="C34" s="1402"/>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2"/>
      <c r="Z34" s="1402"/>
      <c r="AA34" s="1402"/>
      <c r="AB34" s="1402"/>
      <c r="AC34" s="1402"/>
      <c r="AD34" s="1402"/>
      <c r="AE34" s="1402"/>
      <c r="AF34" s="1402"/>
      <c r="AG34" s="1402"/>
      <c r="AH34" s="1402"/>
      <c r="AI34" s="1402"/>
      <c r="AJ34" s="1402"/>
      <c r="AK34" s="1402"/>
      <c r="AL34" s="1402"/>
      <c r="AM34" s="1402"/>
      <c r="AN34" s="1402"/>
      <c r="AO34" s="1402"/>
      <c r="AP34" s="1402"/>
      <c r="AQ34" s="1402"/>
      <c r="AR34" s="1402"/>
      <c r="AS34" s="1402"/>
      <c r="AT34" s="1402"/>
      <c r="AU34" s="20"/>
      <c r="AV34" s="20"/>
      <c r="AW34" s="20"/>
      <c r="AX34" s="20"/>
      <c r="AY34" s="20"/>
      <c r="AZ34" s="20"/>
      <c r="BD34" s="1252" t="s">
        <v>2534</v>
      </c>
      <c r="BE34" s="1253" t="str">
        <f>Application!I185</f>
        <v>17965 Monterey Road</v>
      </c>
    </row>
    <row r="35" spans="1:57" ht="12.95" customHeight="1">
      <c r="A35" s="1402"/>
      <c r="B35" s="1402"/>
      <c r="C35" s="1402"/>
      <c r="D35" s="1402"/>
      <c r="E35" s="1402"/>
      <c r="F35" s="1402"/>
      <c r="G35" s="1402"/>
      <c r="H35" s="1402"/>
      <c r="I35" s="1402"/>
      <c r="J35" s="1402"/>
      <c r="K35" s="1402"/>
      <c r="L35" s="1402"/>
      <c r="M35" s="1402"/>
      <c r="N35" s="1402"/>
      <c r="O35" s="1402"/>
      <c r="P35" s="1402"/>
      <c r="Q35" s="1402"/>
      <c r="R35" s="1402"/>
      <c r="S35" s="1402"/>
      <c r="T35" s="1402"/>
      <c r="U35" s="1402"/>
      <c r="V35" s="1402"/>
      <c r="W35" s="1402"/>
      <c r="X35" s="1402"/>
      <c r="Y35" s="1402"/>
      <c r="Z35" s="1402"/>
      <c r="AA35" s="1402"/>
      <c r="AB35" s="1402"/>
      <c r="AC35" s="1402"/>
      <c r="AD35" s="1402"/>
      <c r="AE35" s="1402"/>
      <c r="AF35" s="1402"/>
      <c r="AG35" s="1402"/>
      <c r="AH35" s="1402"/>
      <c r="AI35" s="1402"/>
      <c r="AJ35" s="1402"/>
      <c r="AK35" s="1402"/>
      <c r="AL35" s="1402"/>
      <c r="AM35" s="1402"/>
      <c r="AN35" s="1402"/>
      <c r="AO35" s="1402"/>
      <c r="AP35" s="1402"/>
      <c r="AQ35" s="1402"/>
      <c r="AR35" s="1402"/>
      <c r="AS35" s="1402"/>
      <c r="AT35" s="1402"/>
      <c r="AU35" s="20"/>
      <c r="AV35" s="20"/>
      <c r="AW35" s="20"/>
      <c r="AX35" s="20"/>
      <c r="AY35" s="20"/>
      <c r="AZ35" s="20"/>
      <c r="BD35" s="1251" t="s">
        <v>2535</v>
      </c>
      <c r="BE35" s="1253" t="str">
        <f>IF(Application!E187="","",Application!E187)</f>
        <v/>
      </c>
    </row>
    <row r="36" spans="1:57" ht="12.95" customHeight="1">
      <c r="A36" s="1402"/>
      <c r="B36" s="1402"/>
      <c r="C36" s="1402"/>
      <c r="D36" s="1402"/>
      <c r="E36" s="1402"/>
      <c r="F36" s="1402"/>
      <c r="G36" s="1402"/>
      <c r="H36" s="1402"/>
      <c r="I36" s="1402"/>
      <c r="J36" s="1402"/>
      <c r="K36" s="1402"/>
      <c r="L36" s="1402"/>
      <c r="M36" s="1402"/>
      <c r="N36" s="1402"/>
      <c r="O36" s="1402"/>
      <c r="P36" s="1402"/>
      <c r="Q36" s="1402"/>
      <c r="R36" s="1402"/>
      <c r="S36" s="1402"/>
      <c r="T36" s="1402"/>
      <c r="U36" s="1402"/>
      <c r="V36" s="1402"/>
      <c r="W36" s="1402"/>
      <c r="X36" s="1402"/>
      <c r="Y36" s="1402"/>
      <c r="Z36" s="1402"/>
      <c r="AA36" s="1402"/>
      <c r="AB36" s="1402"/>
      <c r="AC36" s="1402"/>
      <c r="AD36" s="1402"/>
      <c r="AE36" s="1402"/>
      <c r="AF36" s="1402"/>
      <c r="AG36" s="1402"/>
      <c r="AH36" s="1402"/>
      <c r="AI36" s="1402"/>
      <c r="AJ36" s="1402"/>
      <c r="AK36" s="1402"/>
      <c r="AL36" s="1402"/>
      <c r="AM36" s="1402"/>
      <c r="AN36" s="1402"/>
      <c r="AO36" s="1402"/>
      <c r="AP36" s="1402"/>
      <c r="AQ36" s="1402"/>
      <c r="AR36" s="1402"/>
      <c r="AS36" s="1402"/>
      <c r="AT36" s="1402"/>
      <c r="AU36" s="20"/>
      <c r="AV36" s="20"/>
      <c r="AW36" s="20"/>
      <c r="AX36" s="20"/>
      <c r="AY36" s="20"/>
      <c r="AZ36" s="20"/>
      <c r="BD36" s="1252" t="s">
        <v>2536</v>
      </c>
      <c r="BE36" s="1253" t="str">
        <f>Application!I189</f>
        <v>Morgan Hill</v>
      </c>
    </row>
    <row r="37" spans="1:57" ht="12.95" customHeight="1">
      <c r="A37" s="1402"/>
      <c r="B37" s="1402"/>
      <c r="C37" s="1402"/>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2"/>
      <c r="AP37" s="1402"/>
      <c r="AQ37" s="1402"/>
      <c r="AR37" s="1402"/>
      <c r="AS37" s="1402"/>
      <c r="AT37" s="1402"/>
      <c r="AZ37" s="20"/>
      <c r="BD37" s="1251" t="s">
        <v>2537</v>
      </c>
      <c r="BE37" s="1253" t="str">
        <f>Application!T189</f>
        <v>Santa Clara</v>
      </c>
    </row>
    <row r="38" spans="1:57" ht="12.95" customHeight="1">
      <c r="A38" s="3"/>
      <c r="AZ38" s="20"/>
      <c r="BD38" s="1252" t="s">
        <v>2538</v>
      </c>
      <c r="BE38" s="1253">
        <f>Application!I190</f>
        <v>95037</v>
      </c>
    </row>
    <row r="39" spans="1:57" ht="12.95" customHeight="1">
      <c r="A39" s="1264" t="s">
        <v>2152</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51" t="s">
        <v>2539</v>
      </c>
      <c r="BE39" s="1253">
        <f>Application!AG437</f>
        <v>66</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52" t="s">
        <v>383</v>
      </c>
      <c r="BE40" s="1253">
        <f>Application!AG440</f>
        <v>65</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51" t="s">
        <v>286</v>
      </c>
      <c r="BE41" s="1253">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52" t="s">
        <v>2540</v>
      </c>
      <c r="BE42" s="1255">
        <f>Application!AC753</f>
        <v>0.40153846153846151</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51" t="s">
        <v>2541</v>
      </c>
      <c r="BE43" s="1255">
        <f>Application!AH753</f>
        <v>0.40156902277364159</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52" t="s">
        <v>2542</v>
      </c>
      <c r="BE44" s="1253">
        <f>Application!AC454</f>
        <v>991640.28787878784</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294" t="s">
        <v>2153</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52" t="s">
        <v>2544</v>
      </c>
      <c r="BE46" s="1253"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51" t="s">
        <v>2545</v>
      </c>
      <c r="BE47" s="1253" t="b">
        <f>Application!T196="Yes"</f>
        <v>1</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52" t="s">
        <v>2546</v>
      </c>
      <c r="BE48" s="1253" t="str">
        <f>Application!M243</f>
        <v>Eden Magnolias,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51" t="s">
        <v>2547</v>
      </c>
      <c r="BE49" s="1253" t="str">
        <f>Application!M246</f>
        <v>Andrea Osgood</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Eden Housing, Inc.</v>
      </c>
    </row>
    <row r="51" spans="1:57" ht="12.95" customHeight="1">
      <c r="A51" s="1264" t="s">
        <v>2154</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51" t="s">
        <v>2549</v>
      </c>
      <c r="BE51" s="1253" t="str">
        <f>Application!M251</f>
        <v>The Magnolias LLC</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52" t="s">
        <v>2550</v>
      </c>
      <c r="BE52" s="1253" t="str">
        <f>Application!M254</f>
        <v>Richard Conniff</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First Community Housing, Inc.</v>
      </c>
    </row>
    <row r="54" spans="1:57" ht="12.95" customHeight="1">
      <c r="A54" s="1264" t="s">
        <v>2155</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52" t="s">
        <v>2552</v>
      </c>
      <c r="BE54" s="1253">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51" t="s">
        <v>2553</v>
      </c>
      <c r="BE55" s="1253">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52" t="s">
        <v>2554</v>
      </c>
      <c r="BE56" s="1253">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51" t="s">
        <v>2555</v>
      </c>
      <c r="BE57" s="1253" t="str">
        <f>Application!H287</f>
        <v>Eden Housing, Inc.</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52" t="s">
        <v>2556</v>
      </c>
      <c r="BE58" s="1253" t="str">
        <f>Application!H288</f>
        <v>22645 Grand Street</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Hayward, CA 94541</v>
      </c>
    </row>
    <row r="60" spans="1:57" ht="12.95" customHeight="1">
      <c r="A60" s="1264" t="s">
        <v>2156</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52" t="s">
        <v>2558</v>
      </c>
      <c r="BE60" s="1253" t="str">
        <f>Application!H290</f>
        <v>Andrea Osgood</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51" t="s">
        <v>2559</v>
      </c>
      <c r="BE61" s="1253" t="str">
        <f>Application!H293</f>
        <v>aosgood@edenhousing.org</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0.91347430875332647</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404" t="s">
        <v>2158</v>
      </c>
      <c r="B65" s="1404"/>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404"/>
      <c r="AG65" s="1404"/>
      <c r="AH65" s="1404"/>
      <c r="AI65" s="1404"/>
      <c r="AJ65" s="1404"/>
      <c r="AK65" s="1404"/>
      <c r="AL65" s="1404"/>
      <c r="AM65" s="1404"/>
      <c r="AN65" s="1404"/>
      <c r="AO65" s="1404"/>
      <c r="AP65" s="1404"/>
      <c r="AQ65" s="1404"/>
      <c r="AR65" s="1404"/>
      <c r="AS65" s="1404"/>
      <c r="AT65" s="1404"/>
      <c r="AU65" s="21"/>
      <c r="AV65" s="21"/>
      <c r="AW65" s="21"/>
      <c r="AX65" s="21"/>
      <c r="AY65" s="21"/>
      <c r="AZ65" s="20"/>
      <c r="BD65" s="1251" t="s">
        <v>2597</v>
      </c>
      <c r="BE65" s="1253" t="str">
        <f>Z205</f>
        <v>(select)</v>
      </c>
    </row>
    <row r="66" spans="1:57" ht="12.95" customHeight="1">
      <c r="A66" s="1404"/>
      <c r="B66" s="1404"/>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21"/>
      <c r="AV66" s="21"/>
      <c r="AW66" s="21"/>
      <c r="AX66" s="21"/>
      <c r="AY66" s="21"/>
      <c r="AZ66" s="20"/>
      <c r="BD66" s="1252" t="s">
        <v>2562</v>
      </c>
      <c r="BE66" s="1253" t="b">
        <f>Application!Z205="State Farmworker Credit"</f>
        <v>0</v>
      </c>
    </row>
    <row r="67" spans="1:57" ht="12.95" customHeight="1">
      <c r="A67" s="1404"/>
      <c r="B67" s="1404"/>
      <c r="C67" s="1404"/>
      <c r="D67" s="1404"/>
      <c r="E67" s="1404"/>
      <c r="F67" s="1404"/>
      <c r="G67" s="1404"/>
      <c r="H67" s="1404"/>
      <c r="I67" s="1404"/>
      <c r="J67" s="1404"/>
      <c r="K67" s="1404"/>
      <c r="L67" s="1404"/>
      <c r="M67" s="1404"/>
      <c r="N67" s="1404"/>
      <c r="O67" s="1404"/>
      <c r="P67" s="1404"/>
      <c r="Q67" s="1404"/>
      <c r="R67" s="1404"/>
      <c r="S67" s="1404"/>
      <c r="T67" s="1404"/>
      <c r="U67" s="1404"/>
      <c r="V67" s="1404"/>
      <c r="W67" s="1404"/>
      <c r="X67" s="1404"/>
      <c r="Y67" s="1404"/>
      <c r="Z67" s="1404"/>
      <c r="AA67" s="1404"/>
      <c r="AB67" s="1404"/>
      <c r="AC67" s="1404"/>
      <c r="AD67" s="1404"/>
      <c r="AE67" s="1404"/>
      <c r="AF67" s="1404"/>
      <c r="AG67" s="1404"/>
      <c r="AH67" s="1404"/>
      <c r="AI67" s="1404"/>
      <c r="AJ67" s="1404"/>
      <c r="AK67" s="1404"/>
      <c r="AL67" s="1404"/>
      <c r="AM67" s="1404"/>
      <c r="AN67" s="1404"/>
      <c r="AO67" s="1404"/>
      <c r="AP67" s="1404"/>
      <c r="AQ67" s="1404"/>
      <c r="AR67" s="1404"/>
      <c r="AS67" s="1404"/>
      <c r="AT67" s="1404"/>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404" t="s">
        <v>2159</v>
      </c>
      <c r="B69" s="1404"/>
      <c r="C69" s="1404"/>
      <c r="D69" s="1404"/>
      <c r="E69" s="1404"/>
      <c r="F69" s="1404"/>
      <c r="G69" s="1404"/>
      <c r="H69" s="1404"/>
      <c r="I69" s="1404"/>
      <c r="J69" s="1404"/>
      <c r="K69" s="1404"/>
      <c r="L69" s="1404"/>
      <c r="M69" s="1404"/>
      <c r="N69" s="1404"/>
      <c r="O69" s="1404"/>
      <c r="P69" s="1404"/>
      <c r="Q69" s="1404"/>
      <c r="R69" s="1404"/>
      <c r="S69" s="1404"/>
      <c r="T69" s="1404"/>
      <c r="U69" s="1404"/>
      <c r="V69" s="1404"/>
      <c r="W69" s="1404"/>
      <c r="X69" s="1404"/>
      <c r="Y69" s="1404"/>
      <c r="Z69" s="1404"/>
      <c r="AA69" s="1404"/>
      <c r="AB69" s="1404"/>
      <c r="AC69" s="1404"/>
      <c r="AD69" s="1404"/>
      <c r="AE69" s="1404"/>
      <c r="AF69" s="1404"/>
      <c r="AG69" s="1404"/>
      <c r="AH69" s="1404"/>
      <c r="AI69" s="1404"/>
      <c r="AJ69" s="1404"/>
      <c r="AK69" s="1404"/>
      <c r="AL69" s="1404"/>
      <c r="AM69" s="1404"/>
      <c r="AN69" s="1404"/>
      <c r="AO69" s="1404"/>
      <c r="AP69" s="1404"/>
      <c r="AQ69" s="1404"/>
      <c r="AR69" s="1404"/>
      <c r="AS69" s="1404"/>
      <c r="AT69" s="1404"/>
      <c r="AZ69" s="20"/>
      <c r="BD69" s="1251" t="s">
        <v>2565</v>
      </c>
      <c r="BE69" s="1253" t="str">
        <f>Application!W700</f>
        <v>California Municipal Finance Authority</v>
      </c>
    </row>
    <row r="70" spans="1:57" ht="12.95" customHeight="1">
      <c r="A70" s="1404"/>
      <c r="B70" s="1404"/>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c r="AJ70" s="1404"/>
      <c r="AK70" s="1404"/>
      <c r="AL70" s="1404"/>
      <c r="AM70" s="1404"/>
      <c r="AN70" s="1404"/>
      <c r="AO70" s="1404"/>
      <c r="AP70" s="1404"/>
      <c r="AQ70" s="1404"/>
      <c r="AR70" s="1404"/>
      <c r="AS70" s="1404"/>
      <c r="AT70" s="1404"/>
      <c r="AU70" s="20"/>
      <c r="AV70" s="20"/>
      <c r="AW70" s="20"/>
      <c r="AX70" s="20"/>
      <c r="AY70" s="20"/>
      <c r="AZ70" s="20"/>
      <c r="BD70" s="1252" t="s">
        <v>2566</v>
      </c>
      <c r="BE70" s="1253">
        <f>'Points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402" t="s">
        <v>2160</v>
      </c>
      <c r="B72" s="1402"/>
      <c r="C72" s="1402"/>
      <c r="D72" s="1402"/>
      <c r="E72" s="1402"/>
      <c r="F72" s="1402"/>
      <c r="G72" s="1402"/>
      <c r="H72" s="1402"/>
      <c r="I72" s="1402"/>
      <c r="J72" s="1402"/>
      <c r="K72" s="1402"/>
      <c r="L72" s="1402"/>
      <c r="M72" s="1402"/>
      <c r="N72" s="1402"/>
      <c r="O72" s="1402"/>
      <c r="P72" s="1402"/>
      <c r="Q72" s="1402"/>
      <c r="R72" s="1402"/>
      <c r="S72" s="1402"/>
      <c r="T72" s="1402"/>
      <c r="U72" s="1402"/>
      <c r="V72" s="1402"/>
      <c r="W72" s="1402"/>
      <c r="X72" s="1402"/>
      <c r="Y72" s="1402"/>
      <c r="Z72" s="1402"/>
      <c r="AA72" s="1402"/>
      <c r="AB72" s="1402"/>
      <c r="AC72" s="1402"/>
      <c r="AD72" s="1402"/>
      <c r="AE72" s="1402"/>
      <c r="AF72" s="1402"/>
      <c r="AG72" s="1402"/>
      <c r="AH72" s="1402"/>
      <c r="AI72" s="1402"/>
      <c r="AJ72" s="1402"/>
      <c r="AK72" s="1402"/>
      <c r="AL72" s="1402"/>
      <c r="AM72" s="1402"/>
      <c r="AN72" s="1402"/>
      <c r="AO72" s="1402"/>
      <c r="AP72" s="1402"/>
      <c r="AQ72" s="1402"/>
      <c r="AR72" s="1402"/>
      <c r="AS72" s="1402"/>
      <c r="AT72" s="1402"/>
      <c r="AU72" s="20"/>
      <c r="AV72" s="20"/>
      <c r="AW72" s="20"/>
      <c r="AX72" s="20"/>
      <c r="AY72" s="20"/>
      <c r="AZ72" s="20"/>
      <c r="BD72" s="1252" t="s">
        <v>2568</v>
      </c>
      <c r="BE72" s="1253">
        <f>'Points System'!AF805</f>
        <v>10</v>
      </c>
    </row>
    <row r="73" spans="1:57" ht="12.95" customHeight="1">
      <c r="A73" s="1402"/>
      <c r="B73" s="1402"/>
      <c r="C73" s="1402"/>
      <c r="D73" s="1402"/>
      <c r="E73" s="1402"/>
      <c r="F73" s="1402"/>
      <c r="G73" s="1402"/>
      <c r="H73" s="1402"/>
      <c r="I73" s="1402"/>
      <c r="J73" s="1402"/>
      <c r="K73" s="1402"/>
      <c r="L73" s="1402"/>
      <c r="M73" s="1402"/>
      <c r="N73" s="1402"/>
      <c r="O73" s="1402"/>
      <c r="P73" s="1402"/>
      <c r="Q73" s="1402"/>
      <c r="R73" s="1402"/>
      <c r="S73" s="1402"/>
      <c r="T73" s="1402"/>
      <c r="U73" s="1402"/>
      <c r="V73" s="1402"/>
      <c r="W73" s="1402"/>
      <c r="X73" s="1402"/>
      <c r="Y73" s="1402"/>
      <c r="Z73" s="1402"/>
      <c r="AA73" s="1402"/>
      <c r="AB73" s="1402"/>
      <c r="AC73" s="1402"/>
      <c r="AD73" s="1402"/>
      <c r="AE73" s="1402"/>
      <c r="AF73" s="1402"/>
      <c r="AG73" s="1402"/>
      <c r="AH73" s="1402"/>
      <c r="AI73" s="1402"/>
      <c r="AJ73" s="1402"/>
      <c r="AK73" s="1402"/>
      <c r="AL73" s="1402"/>
      <c r="AM73" s="1402"/>
      <c r="AN73" s="1402"/>
      <c r="AO73" s="1402"/>
      <c r="AP73" s="1402"/>
      <c r="AQ73" s="1402"/>
      <c r="AR73" s="1402"/>
      <c r="AS73" s="1402"/>
      <c r="AT73" s="1402"/>
      <c r="AU73" s="20"/>
      <c r="AV73" s="20"/>
      <c r="AW73" s="20"/>
      <c r="AX73" s="20"/>
      <c r="AY73" s="20"/>
      <c r="AZ73" s="20"/>
      <c r="BD73" s="1251" t="s">
        <v>2569</v>
      </c>
      <c r="BE73" s="1253">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780" t="s">
        <v>2161</v>
      </c>
      <c r="B75" s="1780"/>
      <c r="C75" s="1780"/>
      <c r="D75" s="1780"/>
      <c r="E75" s="1780"/>
      <c r="F75" s="1780"/>
      <c r="G75" s="1780"/>
      <c r="H75" s="1780"/>
      <c r="I75" s="1780"/>
      <c r="J75" s="1780"/>
      <c r="K75" s="1780"/>
      <c r="L75" s="1780"/>
      <c r="M75" s="1780"/>
      <c r="N75" s="1780"/>
      <c r="O75" s="1780"/>
      <c r="P75" s="1780"/>
      <c r="Q75" s="1780"/>
      <c r="R75" s="1780"/>
      <c r="S75" s="1780"/>
      <c r="T75" s="1780"/>
      <c r="U75" s="1780"/>
      <c r="V75" s="1780"/>
      <c r="W75" s="1780"/>
      <c r="X75" s="1780"/>
      <c r="Y75" s="1780"/>
      <c r="Z75" s="1780"/>
      <c r="AA75" s="1780"/>
      <c r="AB75" s="1780"/>
      <c r="AC75" s="1780"/>
      <c r="AD75" s="1780"/>
      <c r="AE75" s="1780"/>
      <c r="AF75" s="1780"/>
      <c r="AG75" s="1780"/>
      <c r="AH75" s="1780"/>
      <c r="AI75" s="1780"/>
      <c r="AJ75" s="1780"/>
      <c r="AK75" s="1780"/>
      <c r="AL75" s="1780"/>
      <c r="AM75" s="1780"/>
      <c r="AN75" s="1780"/>
      <c r="AO75" s="1780"/>
      <c r="AP75" s="1780"/>
      <c r="AQ75" s="1780"/>
      <c r="AR75" s="1780"/>
      <c r="AS75" s="1780"/>
      <c r="AT75" s="1780"/>
      <c r="AU75" s="20"/>
      <c r="AV75" s="20"/>
      <c r="AW75" s="20"/>
      <c r="AX75" s="20"/>
      <c r="AY75" s="20"/>
      <c r="AZ75" s="20"/>
      <c r="BD75" s="1251" t="s">
        <v>2571</v>
      </c>
      <c r="BE75" s="1253">
        <f>'Points System'!AF808</f>
        <v>10</v>
      </c>
    </row>
    <row r="76" spans="1:57" ht="12.95" customHeight="1">
      <c r="A76" s="1780"/>
      <c r="B76" s="1780"/>
      <c r="C76" s="1780"/>
      <c r="D76" s="1780"/>
      <c r="E76" s="1780"/>
      <c r="F76" s="1780"/>
      <c r="G76" s="1780"/>
      <c r="H76" s="1780"/>
      <c r="I76" s="1780"/>
      <c r="J76" s="1780"/>
      <c r="K76" s="1780"/>
      <c r="L76" s="1780"/>
      <c r="M76" s="1780"/>
      <c r="N76" s="1780"/>
      <c r="O76" s="1780"/>
      <c r="P76" s="1780"/>
      <c r="Q76" s="1780"/>
      <c r="R76" s="1780"/>
      <c r="S76" s="1780"/>
      <c r="T76" s="1780"/>
      <c r="U76" s="1780"/>
      <c r="V76" s="1780"/>
      <c r="W76" s="1780"/>
      <c r="X76" s="1780"/>
      <c r="Y76" s="1780"/>
      <c r="Z76" s="1780"/>
      <c r="AA76" s="1780"/>
      <c r="AB76" s="1780"/>
      <c r="AC76" s="1780"/>
      <c r="AD76" s="1780"/>
      <c r="AE76" s="1780"/>
      <c r="AF76" s="1780"/>
      <c r="AG76" s="1780"/>
      <c r="AH76" s="1780"/>
      <c r="AI76" s="1780"/>
      <c r="AJ76" s="1780"/>
      <c r="AK76" s="1780"/>
      <c r="AL76" s="1780"/>
      <c r="AM76" s="1780"/>
      <c r="AN76" s="1780"/>
      <c r="AO76" s="1780"/>
      <c r="AP76" s="1780"/>
      <c r="AQ76" s="1780"/>
      <c r="AR76" s="1780"/>
      <c r="AS76" s="1780"/>
      <c r="AT76" s="1780"/>
      <c r="AU76" s="20"/>
      <c r="AV76" s="20"/>
      <c r="AW76" s="20"/>
      <c r="AX76" s="20"/>
      <c r="AY76" s="20"/>
      <c r="AZ76" s="17"/>
      <c r="BD76" s="1252" t="s">
        <v>2572</v>
      </c>
      <c r="BE76" s="1253">
        <f>'Points System'!AF811</f>
        <v>10</v>
      </c>
    </row>
    <row r="77" spans="1:57" ht="12.95" customHeight="1">
      <c r="A77" s="1780"/>
      <c r="B77" s="1780"/>
      <c r="C77" s="1780"/>
      <c r="D77" s="1780"/>
      <c r="E77" s="1780"/>
      <c r="F77" s="1780"/>
      <c r="G77" s="1780"/>
      <c r="H77" s="1780"/>
      <c r="I77" s="1780"/>
      <c r="J77" s="1780"/>
      <c r="K77" s="1780"/>
      <c r="L77" s="1780"/>
      <c r="M77" s="1780"/>
      <c r="N77" s="1780"/>
      <c r="O77" s="1780"/>
      <c r="P77" s="1780"/>
      <c r="Q77" s="1780"/>
      <c r="R77" s="1780"/>
      <c r="S77" s="1780"/>
      <c r="T77" s="1780"/>
      <c r="U77" s="1780"/>
      <c r="V77" s="1780"/>
      <c r="W77" s="1780"/>
      <c r="X77" s="1780"/>
      <c r="Y77" s="1780"/>
      <c r="Z77" s="1780"/>
      <c r="AA77" s="1780"/>
      <c r="AB77" s="1780"/>
      <c r="AC77" s="1780"/>
      <c r="AD77" s="1780"/>
      <c r="AE77" s="1780"/>
      <c r="AF77" s="1780"/>
      <c r="AG77" s="1780"/>
      <c r="AH77" s="1780"/>
      <c r="AI77" s="1780"/>
      <c r="AJ77" s="1780"/>
      <c r="AK77" s="1780"/>
      <c r="AL77" s="1780"/>
      <c r="AM77" s="1780"/>
      <c r="AN77" s="1780"/>
      <c r="AO77" s="1780"/>
      <c r="AP77" s="1780"/>
      <c r="AQ77" s="1780"/>
      <c r="AR77" s="1780"/>
      <c r="AS77" s="1780"/>
      <c r="AT77" s="1780"/>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404" t="s">
        <v>2162</v>
      </c>
      <c r="B79" s="1404"/>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c r="AE79" s="1404"/>
      <c r="AF79" s="1404"/>
      <c r="AG79" s="1404"/>
      <c r="AH79" s="1404"/>
      <c r="AI79" s="1404"/>
      <c r="AJ79" s="1404"/>
      <c r="AK79" s="1404"/>
      <c r="AL79" s="1404"/>
      <c r="AM79" s="1404"/>
      <c r="AN79" s="1404"/>
      <c r="AO79" s="1404"/>
      <c r="AP79" s="1404"/>
      <c r="AQ79" s="1404"/>
      <c r="AR79" s="1404"/>
      <c r="AS79" s="1404"/>
      <c r="AT79" s="1404"/>
      <c r="AU79" s="20"/>
      <c r="AV79" s="20"/>
      <c r="AW79" s="20"/>
      <c r="AX79" s="20"/>
      <c r="AY79" s="20"/>
      <c r="AZ79" s="20"/>
      <c r="BD79" s="1251" t="s">
        <v>2575</v>
      </c>
      <c r="BE79" s="1253">
        <f>'Points System'!AF815</f>
        <v>9</v>
      </c>
    </row>
    <row r="80" spans="1:57" ht="12.95" customHeight="1">
      <c r="A80" s="1404"/>
      <c r="B80" s="1404"/>
      <c r="C80" s="1404"/>
      <c r="D80" s="1404"/>
      <c r="E80" s="1404"/>
      <c r="F80" s="1404"/>
      <c r="G80" s="1404"/>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4"/>
      <c r="AF80" s="1404"/>
      <c r="AG80" s="1404"/>
      <c r="AH80" s="1404"/>
      <c r="AI80" s="1404"/>
      <c r="AJ80" s="1404"/>
      <c r="AK80" s="1404"/>
      <c r="AL80" s="1404"/>
      <c r="AM80" s="1404"/>
      <c r="AN80" s="1404"/>
      <c r="AO80" s="1404"/>
      <c r="AP80" s="1404"/>
      <c r="AQ80" s="1404"/>
      <c r="AR80" s="1404"/>
      <c r="AS80" s="1404"/>
      <c r="AT80" s="1404"/>
      <c r="AU80" s="20"/>
      <c r="AV80" s="20"/>
      <c r="AW80" s="20"/>
      <c r="AX80" s="20"/>
      <c r="AY80" s="20"/>
      <c r="AZ80" s="20"/>
      <c r="BD80" s="1252" t="s">
        <v>2576</v>
      </c>
      <c r="BE80" s="1253">
        <f>'Points System'!AF817</f>
        <v>10</v>
      </c>
    </row>
    <row r="81" spans="1:57" ht="12.95" customHeight="1">
      <c r="A81" s="1404"/>
      <c r="B81" s="1404"/>
      <c r="C81" s="1404"/>
      <c r="D81" s="1404"/>
      <c r="E81" s="1404"/>
      <c r="F81" s="1404"/>
      <c r="G81" s="1404"/>
      <c r="H81" s="1404"/>
      <c r="I81" s="1404"/>
      <c r="J81" s="1404"/>
      <c r="K81" s="1404"/>
      <c r="L81" s="1404"/>
      <c r="M81" s="1404"/>
      <c r="N81" s="1404"/>
      <c r="O81" s="1404"/>
      <c r="P81" s="1404"/>
      <c r="Q81" s="1404"/>
      <c r="R81" s="1404"/>
      <c r="S81" s="1404"/>
      <c r="T81" s="1404"/>
      <c r="U81" s="1404"/>
      <c r="V81" s="1404"/>
      <c r="W81" s="1404"/>
      <c r="X81" s="1404"/>
      <c r="Y81" s="1404"/>
      <c r="Z81" s="1404"/>
      <c r="AA81" s="1404"/>
      <c r="AB81" s="1404"/>
      <c r="AC81" s="1404"/>
      <c r="AD81" s="1404"/>
      <c r="AE81" s="1404"/>
      <c r="AF81" s="1404"/>
      <c r="AG81" s="1404"/>
      <c r="AH81" s="1404"/>
      <c r="AI81" s="1404"/>
      <c r="AJ81" s="1404"/>
      <c r="AK81" s="1404"/>
      <c r="AL81" s="1404"/>
      <c r="AM81" s="1404"/>
      <c r="AN81" s="1404"/>
      <c r="AO81" s="1404"/>
      <c r="AP81" s="1404"/>
      <c r="AQ81" s="1404"/>
      <c r="AR81" s="1404"/>
      <c r="AS81" s="1404"/>
      <c r="AT81" s="1404"/>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64" t="s">
        <v>2163</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51" t="s">
        <v>2579</v>
      </c>
      <c r="BE83" s="1257">
        <f>'Tie Breaker'!H5</f>
        <v>1.2067790010006738</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52" t="s">
        <v>2580</v>
      </c>
      <c r="BE84" s="1253" t="str">
        <f>Application!O153</f>
        <v>City of Morgan Hill</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 Edward Tewes</v>
      </c>
    </row>
    <row r="86" spans="1:57" ht="12.95" customHeight="1">
      <c r="A86" s="1264" t="s">
        <v>2164</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52" t="s">
        <v>2582</v>
      </c>
      <c r="BE86" s="1253"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51" t="s">
        <v>2583</v>
      </c>
      <c r="BE87" s="1253" t="str">
        <f>Application!O156</f>
        <v>17555 Peak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Morgan Hill</v>
      </c>
    </row>
    <row r="89" spans="1:57" ht="12.95" customHeight="1">
      <c r="A89" s="1779" t="s">
        <v>2165</v>
      </c>
      <c r="B89" s="1779"/>
      <c r="C89" s="1779"/>
      <c r="D89" s="1779"/>
      <c r="E89" s="1779"/>
      <c r="F89" s="1779"/>
      <c r="G89" s="1779"/>
      <c r="H89" s="1779"/>
      <c r="I89" s="1779"/>
      <c r="J89" s="1779"/>
      <c r="K89" s="1779"/>
      <c r="L89" s="1779"/>
      <c r="M89" s="1779"/>
      <c r="N89" s="1779"/>
      <c r="O89" s="1779"/>
      <c r="P89" s="1779"/>
      <c r="Q89" s="1779"/>
      <c r="R89" s="1779"/>
      <c r="S89" s="1779"/>
      <c r="T89" s="1779"/>
      <c r="U89" s="1779"/>
      <c r="V89" s="1779"/>
      <c r="W89" s="1779"/>
      <c r="X89" s="1779"/>
      <c r="Y89" s="1779"/>
      <c r="Z89" s="1779"/>
      <c r="AA89" s="1779"/>
      <c r="AB89" s="1779"/>
      <c r="AC89" s="1779"/>
      <c r="AD89" s="1779"/>
      <c r="AE89" s="1779"/>
      <c r="AF89" s="1779"/>
      <c r="AG89" s="1779"/>
      <c r="AH89" s="1779"/>
      <c r="AI89" s="1779"/>
      <c r="AJ89" s="1779"/>
      <c r="AK89" s="1779"/>
      <c r="AL89" s="1779"/>
      <c r="AM89" s="1779"/>
      <c r="AN89" s="1779"/>
      <c r="AO89" s="1779"/>
      <c r="AP89" s="1779"/>
      <c r="AQ89" s="1779"/>
      <c r="AR89" s="1779"/>
      <c r="AS89" s="1779"/>
      <c r="AT89" s="1779"/>
      <c r="AU89" s="17"/>
      <c r="AV89" s="17"/>
      <c r="AW89" s="17"/>
      <c r="AX89" s="17"/>
      <c r="AY89" s="17"/>
      <c r="AZ89" s="20"/>
      <c r="BD89" s="1251" t="s">
        <v>2585</v>
      </c>
      <c r="BE89" s="1253">
        <f>Application!O158</f>
        <v>95037</v>
      </c>
    </row>
    <row r="90" spans="1:57" ht="12.95" customHeight="1">
      <c r="A90" s="1779"/>
      <c r="B90" s="1779"/>
      <c r="C90" s="1779"/>
      <c r="D90" s="1779"/>
      <c r="E90" s="1779"/>
      <c r="F90" s="1779"/>
      <c r="G90" s="1779"/>
      <c r="H90" s="1779"/>
      <c r="I90" s="1779"/>
      <c r="J90" s="1779"/>
      <c r="K90" s="1779"/>
      <c r="L90" s="1779"/>
      <c r="M90" s="1779"/>
      <c r="N90" s="1779"/>
      <c r="O90" s="1779"/>
      <c r="P90" s="1779"/>
      <c r="Q90" s="1779"/>
      <c r="R90" s="1779"/>
      <c r="S90" s="1779"/>
      <c r="T90" s="1779"/>
      <c r="U90" s="1779"/>
      <c r="V90" s="1779"/>
      <c r="W90" s="1779"/>
      <c r="X90" s="1779"/>
      <c r="Y90" s="1779"/>
      <c r="Z90" s="1779"/>
      <c r="AA90" s="1779"/>
      <c r="AB90" s="1779"/>
      <c r="AC90" s="1779"/>
      <c r="AD90" s="1779"/>
      <c r="AE90" s="1779"/>
      <c r="AF90" s="1779"/>
      <c r="AG90" s="1779"/>
      <c r="AH90" s="1779"/>
      <c r="AI90" s="1779"/>
      <c r="AJ90" s="1779"/>
      <c r="AK90" s="1779"/>
      <c r="AL90" s="1779"/>
      <c r="AM90" s="1779"/>
      <c r="AN90" s="1779"/>
      <c r="AO90" s="1779"/>
      <c r="AP90" s="1779"/>
      <c r="AQ90" s="1779"/>
      <c r="AR90" s="1779"/>
      <c r="AS90" s="1779"/>
      <c r="AT90" s="1779"/>
      <c r="AU90" s="17"/>
      <c r="AV90" s="17"/>
      <c r="AW90" s="17"/>
      <c r="AX90" s="17"/>
      <c r="AY90" s="17"/>
      <c r="AZ90" s="20"/>
      <c r="BD90" s="1252" t="s">
        <v>2586</v>
      </c>
      <c r="BE90" s="1253" t="str">
        <f>Application!H16</f>
        <v>The Magnolias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22645 Grand Street</v>
      </c>
    </row>
    <row r="92" spans="1:57" ht="12.95" customHeight="1">
      <c r="A92" s="1780" t="s">
        <v>2166</v>
      </c>
      <c r="B92" s="1780"/>
      <c r="C92" s="1780"/>
      <c r="D92" s="1780"/>
      <c r="E92" s="1780"/>
      <c r="F92" s="1780"/>
      <c r="G92" s="1780"/>
      <c r="H92" s="1780"/>
      <c r="I92" s="1780"/>
      <c r="J92" s="1780"/>
      <c r="K92" s="1780"/>
      <c r="L92" s="1780"/>
      <c r="M92" s="1780"/>
      <c r="N92" s="1780"/>
      <c r="O92" s="1780"/>
      <c r="P92" s="1780"/>
      <c r="Q92" s="1780"/>
      <c r="R92" s="1780"/>
      <c r="S92" s="1780"/>
      <c r="T92" s="1780"/>
      <c r="U92" s="1780"/>
      <c r="V92" s="1780"/>
      <c r="W92" s="1780"/>
      <c r="X92" s="1780"/>
      <c r="Y92" s="1780"/>
      <c r="Z92" s="1780"/>
      <c r="AA92" s="1780"/>
      <c r="AB92" s="1780"/>
      <c r="AC92" s="1780"/>
      <c r="AD92" s="1780"/>
      <c r="AE92" s="1780"/>
      <c r="AF92" s="1780"/>
      <c r="AG92" s="1780"/>
      <c r="AH92" s="1780"/>
      <c r="AI92" s="1780"/>
      <c r="AJ92" s="1780"/>
      <c r="AK92" s="1780"/>
      <c r="AL92" s="1780"/>
      <c r="AM92" s="1780"/>
      <c r="AN92" s="1780"/>
      <c r="AO92" s="1780"/>
      <c r="AP92" s="1780"/>
      <c r="AQ92" s="1780"/>
      <c r="AR92" s="1780"/>
      <c r="AS92" s="1780"/>
      <c r="AT92" s="1780"/>
      <c r="AU92" s="20"/>
      <c r="AV92" s="20"/>
      <c r="AW92" s="20"/>
      <c r="AX92" s="20"/>
      <c r="AY92" s="20"/>
      <c r="AZ92" s="20"/>
      <c r="BD92" s="1252" t="s">
        <v>2588</v>
      </c>
      <c r="BE92" s="1253" t="str">
        <f>Application!M234</f>
        <v>Hayward</v>
      </c>
    </row>
    <row r="93" spans="1:57" ht="12.95" customHeight="1">
      <c r="A93" s="1780"/>
      <c r="B93" s="1780"/>
      <c r="C93" s="1780"/>
      <c r="D93" s="1780"/>
      <c r="E93" s="1780"/>
      <c r="F93" s="1780"/>
      <c r="G93" s="1780"/>
      <c r="H93" s="1780"/>
      <c r="I93" s="1780"/>
      <c r="J93" s="1780"/>
      <c r="K93" s="1780"/>
      <c r="L93" s="1780"/>
      <c r="M93" s="1780"/>
      <c r="N93" s="1780"/>
      <c r="O93" s="1780"/>
      <c r="P93" s="1780"/>
      <c r="Q93" s="1780"/>
      <c r="R93" s="1780"/>
      <c r="S93" s="1780"/>
      <c r="T93" s="1780"/>
      <c r="U93" s="1780"/>
      <c r="V93" s="1780"/>
      <c r="W93" s="1780"/>
      <c r="X93" s="1780"/>
      <c r="Y93" s="1780"/>
      <c r="Z93" s="1780"/>
      <c r="AA93" s="1780"/>
      <c r="AB93" s="1780"/>
      <c r="AC93" s="1780"/>
      <c r="AD93" s="1780"/>
      <c r="AE93" s="1780"/>
      <c r="AF93" s="1780"/>
      <c r="AG93" s="1780"/>
      <c r="AH93" s="1780"/>
      <c r="AI93" s="1780"/>
      <c r="AJ93" s="1780"/>
      <c r="AK93" s="1780"/>
      <c r="AL93" s="1780"/>
      <c r="AM93" s="1780"/>
      <c r="AN93" s="1780"/>
      <c r="AO93" s="1780"/>
      <c r="AP93" s="1780"/>
      <c r="AQ93" s="1780"/>
      <c r="AR93" s="1780"/>
      <c r="AS93" s="1780"/>
      <c r="AT93" s="1780"/>
      <c r="AU93" s="20"/>
      <c r="AV93" s="20"/>
      <c r="AW93" s="20"/>
      <c r="AX93" s="20"/>
      <c r="AY93" s="20"/>
      <c r="AZ93" s="20"/>
      <c r="BD93" s="1251" t="s">
        <v>2589</v>
      </c>
      <c r="BE93" s="1253" t="str">
        <f>Application!W234</f>
        <v>CA</v>
      </c>
    </row>
    <row r="94" spans="1:57" ht="12.95" customHeight="1">
      <c r="A94" s="1780"/>
      <c r="B94" s="1780"/>
      <c r="C94" s="1780"/>
      <c r="D94" s="1780"/>
      <c r="E94" s="1780"/>
      <c r="F94" s="1780"/>
      <c r="G94" s="1780"/>
      <c r="H94" s="1780"/>
      <c r="I94" s="1780"/>
      <c r="J94" s="1780"/>
      <c r="K94" s="1780"/>
      <c r="L94" s="1780"/>
      <c r="M94" s="1780"/>
      <c r="N94" s="1780"/>
      <c r="O94" s="1780"/>
      <c r="P94" s="1780"/>
      <c r="Q94" s="1780"/>
      <c r="R94" s="1780"/>
      <c r="S94" s="1780"/>
      <c r="T94" s="1780"/>
      <c r="U94" s="1780"/>
      <c r="V94" s="1780"/>
      <c r="W94" s="1780"/>
      <c r="X94" s="1780"/>
      <c r="Y94" s="1780"/>
      <c r="Z94" s="1780"/>
      <c r="AA94" s="1780"/>
      <c r="AB94" s="1780"/>
      <c r="AC94" s="1780"/>
      <c r="AD94" s="1780"/>
      <c r="AE94" s="1780"/>
      <c r="AF94" s="1780"/>
      <c r="AG94" s="1780"/>
      <c r="AH94" s="1780"/>
      <c r="AI94" s="1780"/>
      <c r="AJ94" s="1780"/>
      <c r="AK94" s="1780"/>
      <c r="AL94" s="1780"/>
      <c r="AM94" s="1780"/>
      <c r="AN94" s="1780"/>
      <c r="AO94" s="1780"/>
      <c r="AP94" s="1780"/>
      <c r="AQ94" s="1780"/>
      <c r="AR94" s="1780"/>
      <c r="AS94" s="1780"/>
      <c r="AT94" s="1780"/>
      <c r="AU94" s="20"/>
      <c r="AV94" s="20"/>
      <c r="AW94" s="20"/>
      <c r="AX94" s="20"/>
      <c r="AY94" s="20"/>
      <c r="AZ94" s="20"/>
      <c r="BD94" s="1252" t="s">
        <v>2590</v>
      </c>
      <c r="BE94" s="1253">
        <f>Application!AC234</f>
        <v>94541</v>
      </c>
    </row>
    <row r="95" spans="1:57" ht="12.95" customHeight="1">
      <c r="A95" s="1780"/>
      <c r="B95" s="1780"/>
      <c r="C95" s="1780"/>
      <c r="D95" s="1780"/>
      <c r="E95" s="1780"/>
      <c r="F95" s="1780"/>
      <c r="G95" s="1780"/>
      <c r="H95" s="1780"/>
      <c r="I95" s="1780"/>
      <c r="J95" s="1780"/>
      <c r="K95" s="1780"/>
      <c r="L95" s="1780"/>
      <c r="M95" s="1780"/>
      <c r="N95" s="1780"/>
      <c r="O95" s="1780"/>
      <c r="P95" s="1780"/>
      <c r="Q95" s="1780"/>
      <c r="R95" s="1780"/>
      <c r="S95" s="1780"/>
      <c r="T95" s="1780"/>
      <c r="U95" s="1780"/>
      <c r="V95" s="1780"/>
      <c r="W95" s="1780"/>
      <c r="X95" s="1780"/>
      <c r="Y95" s="1780"/>
      <c r="Z95" s="1780"/>
      <c r="AA95" s="1780"/>
      <c r="AB95" s="1780"/>
      <c r="AC95" s="1780"/>
      <c r="AD95" s="1780"/>
      <c r="AE95" s="1780"/>
      <c r="AF95" s="1780"/>
      <c r="AG95" s="1780"/>
      <c r="AH95" s="1780"/>
      <c r="AI95" s="1780"/>
      <c r="AJ95" s="1780"/>
      <c r="AK95" s="1780"/>
      <c r="AL95" s="1780"/>
      <c r="AM95" s="1780"/>
      <c r="AN95" s="1780"/>
      <c r="AO95" s="1780"/>
      <c r="AP95" s="1780"/>
      <c r="AQ95" s="1780"/>
      <c r="AR95" s="1780"/>
      <c r="AS95" s="1780"/>
      <c r="AT95" s="1780"/>
      <c r="AU95" s="20"/>
      <c r="AV95" s="20"/>
      <c r="AW95" s="20"/>
      <c r="AX95" s="20"/>
      <c r="AY95" s="20"/>
      <c r="AZ95" s="20"/>
      <c r="BD95" s="1251" t="s">
        <v>2591</v>
      </c>
      <c r="BE95" s="1253" t="str">
        <f>Application!M235</f>
        <v>Andrea Osgood</v>
      </c>
    </row>
    <row r="96" spans="1:57" ht="12.95" customHeight="1">
      <c r="A96" s="1780"/>
      <c r="B96" s="1780"/>
      <c r="C96" s="1780"/>
      <c r="D96" s="1780"/>
      <c r="E96" s="1780"/>
      <c r="F96" s="1780"/>
      <c r="G96" s="1780"/>
      <c r="H96" s="1780"/>
      <c r="I96" s="1780"/>
      <c r="J96" s="1780"/>
      <c r="K96" s="1780"/>
      <c r="L96" s="1780"/>
      <c r="M96" s="1780"/>
      <c r="N96" s="1780"/>
      <c r="O96" s="1780"/>
      <c r="P96" s="1780"/>
      <c r="Q96" s="1780"/>
      <c r="R96" s="1780"/>
      <c r="S96" s="1780"/>
      <c r="T96" s="1780"/>
      <c r="U96" s="1780"/>
      <c r="V96" s="1780"/>
      <c r="W96" s="1780"/>
      <c r="X96" s="1780"/>
      <c r="Y96" s="1780"/>
      <c r="Z96" s="1780"/>
      <c r="AA96" s="1780"/>
      <c r="AB96" s="1780"/>
      <c r="AC96" s="1780"/>
      <c r="AD96" s="1780"/>
      <c r="AE96" s="1780"/>
      <c r="AF96" s="1780"/>
      <c r="AG96" s="1780"/>
      <c r="AH96" s="1780"/>
      <c r="AI96" s="1780"/>
      <c r="AJ96" s="1780"/>
      <c r="AK96" s="1780"/>
      <c r="AL96" s="1780"/>
      <c r="AM96" s="1780"/>
      <c r="AN96" s="1780"/>
      <c r="AO96" s="1780"/>
      <c r="AP96" s="1780"/>
      <c r="AQ96" s="1780"/>
      <c r="AR96" s="1780"/>
      <c r="AS96" s="1780"/>
      <c r="AT96" s="1780"/>
      <c r="AU96" s="20"/>
      <c r="AV96" s="20"/>
      <c r="AW96" s="20"/>
      <c r="AX96" s="20"/>
      <c r="AY96" s="20"/>
      <c r="AZ96" s="20"/>
      <c r="BD96" s="1252" t="s">
        <v>2592</v>
      </c>
      <c r="BE96" s="1253" t="str">
        <f>Application!M237</f>
        <v>aosgood@edenhousing.org</v>
      </c>
    </row>
    <row r="97" spans="1:57" ht="12.95" customHeight="1">
      <c r="A97" s="1780"/>
      <c r="B97" s="1780"/>
      <c r="C97" s="1780"/>
      <c r="D97" s="1780"/>
      <c r="E97" s="1780"/>
      <c r="F97" s="1780"/>
      <c r="G97" s="1780"/>
      <c r="H97" s="1780"/>
      <c r="I97" s="1780"/>
      <c r="J97" s="1780"/>
      <c r="K97" s="1780"/>
      <c r="L97" s="1780"/>
      <c r="M97" s="1780"/>
      <c r="N97" s="1780"/>
      <c r="O97" s="1780"/>
      <c r="P97" s="1780"/>
      <c r="Q97" s="1780"/>
      <c r="R97" s="1780"/>
      <c r="S97" s="1780"/>
      <c r="T97" s="1780"/>
      <c r="U97" s="1780"/>
      <c r="V97" s="1780"/>
      <c r="W97" s="1780"/>
      <c r="X97" s="1780"/>
      <c r="Y97" s="1780"/>
      <c r="Z97" s="1780"/>
      <c r="AA97" s="1780"/>
      <c r="AB97" s="1780"/>
      <c r="AC97" s="1780"/>
      <c r="AD97" s="1780"/>
      <c r="AE97" s="1780"/>
      <c r="AF97" s="1780"/>
      <c r="AG97" s="1780"/>
      <c r="AH97" s="1780"/>
      <c r="AI97" s="1780"/>
      <c r="AJ97" s="1780"/>
      <c r="AK97" s="1780"/>
      <c r="AL97" s="1780"/>
      <c r="AM97" s="1780"/>
      <c r="AN97" s="1780"/>
      <c r="AO97" s="1780"/>
      <c r="AP97" s="1780"/>
      <c r="AQ97" s="1780"/>
      <c r="AR97" s="1780"/>
      <c r="AS97" s="1780"/>
      <c r="AT97" s="1780"/>
      <c r="AU97" s="20"/>
      <c r="AV97" s="20"/>
      <c r="AW97" s="20"/>
      <c r="AX97" s="20"/>
      <c r="AY97" s="20"/>
      <c r="AZ97" s="20"/>
      <c r="BD97" s="1251" t="s">
        <v>2593</v>
      </c>
      <c r="BE97" s="1253" t="str">
        <f>Application!M248</f>
        <v>aosgood@edenhousin.org</v>
      </c>
    </row>
    <row r="98" spans="1:57" ht="12.95" customHeight="1">
      <c r="A98" s="1780"/>
      <c r="B98" s="1780"/>
      <c r="C98" s="1780"/>
      <c r="D98" s="1780"/>
      <c r="E98" s="1780"/>
      <c r="F98" s="1780"/>
      <c r="G98" s="1780"/>
      <c r="H98" s="1780"/>
      <c r="I98" s="1780"/>
      <c r="J98" s="1780"/>
      <c r="K98" s="1780"/>
      <c r="L98" s="1780"/>
      <c r="M98" s="1780"/>
      <c r="N98" s="1780"/>
      <c r="O98" s="1780"/>
      <c r="P98" s="1780"/>
      <c r="Q98" s="1780"/>
      <c r="R98" s="1780"/>
      <c r="S98" s="1780"/>
      <c r="T98" s="1780"/>
      <c r="U98" s="1780"/>
      <c r="V98" s="1780"/>
      <c r="W98" s="1780"/>
      <c r="X98" s="1780"/>
      <c r="Y98" s="1780"/>
      <c r="Z98" s="1780"/>
      <c r="AA98" s="1780"/>
      <c r="AB98" s="1780"/>
      <c r="AC98" s="1780"/>
      <c r="AD98" s="1780"/>
      <c r="AE98" s="1780"/>
      <c r="AF98" s="1780"/>
      <c r="AG98" s="1780"/>
      <c r="AH98" s="1780"/>
      <c r="AI98" s="1780"/>
      <c r="AJ98" s="1780"/>
      <c r="AK98" s="1780"/>
      <c r="AL98" s="1780"/>
      <c r="AM98" s="1780"/>
      <c r="AN98" s="1780"/>
      <c r="AO98" s="1780"/>
      <c r="AP98" s="1780"/>
      <c r="AQ98" s="1780"/>
      <c r="AR98" s="1780"/>
      <c r="AS98" s="1780"/>
      <c r="AT98" s="1780"/>
      <c r="AU98" s="20"/>
      <c r="AV98" s="20"/>
      <c r="AW98" s="20"/>
      <c r="AX98" s="20"/>
      <c r="AY98" s="20"/>
      <c r="AZ98" s="20"/>
      <c r="BD98" s="1252" t="s">
        <v>2594</v>
      </c>
      <c r="BE98" s="1253" t="str">
        <f>Application!M256</f>
        <v>richardc@firsthouding.org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781" t="s">
        <v>2167</v>
      </c>
      <c r="B100" s="1781"/>
      <c r="C100" s="1781"/>
      <c r="D100" s="1781"/>
      <c r="E100" s="1781"/>
      <c r="F100" s="1781"/>
      <c r="G100" s="1781"/>
      <c r="H100" s="1781"/>
      <c r="I100" s="1781"/>
      <c r="J100" s="1781"/>
      <c r="K100" s="1781"/>
      <c r="L100" s="1781"/>
      <c r="M100" s="1781"/>
      <c r="N100" s="1781"/>
      <c r="O100" s="1781"/>
      <c r="P100" s="1781"/>
      <c r="Q100" s="1781"/>
      <c r="R100" s="1781"/>
      <c r="S100" s="1781"/>
      <c r="T100" s="1781"/>
      <c r="U100" s="1781"/>
      <c r="V100" s="1781"/>
      <c r="W100" s="1781"/>
      <c r="X100" s="1781"/>
      <c r="Y100" s="1781"/>
      <c r="Z100" s="1781"/>
      <c r="AA100" s="1781"/>
      <c r="AB100" s="1781"/>
      <c r="AC100" s="1781"/>
      <c r="AD100" s="1781"/>
      <c r="AE100" s="1781"/>
      <c r="AF100" s="1781"/>
      <c r="AG100" s="1781"/>
      <c r="AH100" s="1781"/>
      <c r="AI100" s="1781"/>
      <c r="AJ100" s="1781"/>
      <c r="AK100" s="1781"/>
      <c r="AL100" s="1781"/>
      <c r="AM100" s="1781"/>
      <c r="AN100" s="1781"/>
      <c r="AO100" s="1781"/>
      <c r="AP100" s="1781"/>
      <c r="AQ100" s="1781"/>
      <c r="AR100" s="1781"/>
      <c r="AS100" s="1781"/>
      <c r="AT100" s="1781"/>
      <c r="AU100" s="20"/>
      <c r="AV100" s="20"/>
      <c r="AW100" s="20"/>
      <c r="AX100" s="20"/>
      <c r="AY100" s="20"/>
      <c r="AZ100" s="20"/>
      <c r="BD100" s="1252" t="s">
        <v>2596</v>
      </c>
      <c r="BE100" s="1253" t="str">
        <f>Application!L279</f>
        <v>reena.zhang@edenhousing.org</v>
      </c>
    </row>
    <row r="101" spans="1:57" ht="12.95" customHeight="1">
      <c r="A101" s="1781"/>
      <c r="B101" s="1781"/>
      <c r="C101" s="1781"/>
      <c r="D101" s="1781"/>
      <c r="E101" s="1781"/>
      <c r="F101" s="1781"/>
      <c r="G101" s="1781"/>
      <c r="H101" s="1781"/>
      <c r="I101" s="1781"/>
      <c r="J101" s="1781"/>
      <c r="K101" s="1781"/>
      <c r="L101" s="1781"/>
      <c r="M101" s="1781"/>
      <c r="N101" s="1781"/>
      <c r="O101" s="1781"/>
      <c r="P101" s="1781"/>
      <c r="Q101" s="1781"/>
      <c r="R101" s="1781"/>
      <c r="S101" s="1781"/>
      <c r="T101" s="1781"/>
      <c r="U101" s="1781"/>
      <c r="V101" s="1781"/>
      <c r="W101" s="1781"/>
      <c r="X101" s="1781"/>
      <c r="Y101" s="1781"/>
      <c r="Z101" s="1781"/>
      <c r="AA101" s="1781"/>
      <c r="AB101" s="1781"/>
      <c r="AC101" s="1781"/>
      <c r="AD101" s="1781"/>
      <c r="AE101" s="1781"/>
      <c r="AF101" s="1781"/>
      <c r="AG101" s="1781"/>
      <c r="AH101" s="1781"/>
      <c r="AI101" s="1781"/>
      <c r="AJ101" s="1781"/>
      <c r="AK101" s="1781"/>
      <c r="AL101" s="1781"/>
      <c r="AM101" s="1781"/>
      <c r="AN101" s="1781"/>
      <c r="AO101" s="1781"/>
      <c r="AP101" s="1781"/>
      <c r="AQ101" s="1781"/>
      <c r="AR101" s="1781"/>
      <c r="AS101" s="1781"/>
      <c r="AT101" s="1781"/>
      <c r="AU101" s="20"/>
      <c r="AV101" s="20"/>
      <c r="AW101" s="20"/>
      <c r="AX101" s="20"/>
      <c r="AY101" s="20"/>
      <c r="AZ101" s="20"/>
      <c r="BD101" s="3" t="s">
        <v>2601</v>
      </c>
      <c r="BE101">
        <f>'Sources and Uses Budget'!C105</f>
        <v>65448259</v>
      </c>
    </row>
    <row r="102" spans="1:57" ht="12.95" customHeight="1">
      <c r="A102" s="1781"/>
      <c r="B102" s="1781"/>
      <c r="C102" s="1781"/>
      <c r="D102" s="1781"/>
      <c r="E102" s="1781"/>
      <c r="F102" s="1781"/>
      <c r="G102" s="1781"/>
      <c r="H102" s="1781"/>
      <c r="I102" s="1781"/>
      <c r="J102" s="1781"/>
      <c r="K102" s="1781"/>
      <c r="L102" s="1781"/>
      <c r="M102" s="1781"/>
      <c r="N102" s="1781"/>
      <c r="O102" s="1781"/>
      <c r="P102" s="1781"/>
      <c r="Q102" s="1781"/>
      <c r="R102" s="1781"/>
      <c r="S102" s="1781"/>
      <c r="T102" s="1781"/>
      <c r="U102" s="1781"/>
      <c r="V102" s="1781"/>
      <c r="W102" s="1781"/>
      <c r="X102" s="1781"/>
      <c r="Y102" s="1781"/>
      <c r="Z102" s="1781"/>
      <c r="AA102" s="1781"/>
      <c r="AB102" s="1781"/>
      <c r="AC102" s="1781"/>
      <c r="AD102" s="1781"/>
      <c r="AE102" s="1781"/>
      <c r="AF102" s="1781"/>
      <c r="AG102" s="1781"/>
      <c r="AH102" s="1781"/>
      <c r="AI102" s="1781"/>
      <c r="AJ102" s="1781"/>
      <c r="AK102" s="1781"/>
      <c r="AL102" s="1781"/>
      <c r="AM102" s="1781"/>
      <c r="AN102" s="1781"/>
      <c r="AO102" s="1781"/>
      <c r="AP102" s="1781"/>
      <c r="AQ102" s="1781"/>
      <c r="AR102" s="1781"/>
      <c r="AS102" s="1781"/>
      <c r="AT102" s="1781"/>
      <c r="AU102" s="20"/>
      <c r="AV102" s="20"/>
      <c r="AW102" s="20"/>
      <c r="AX102" s="20"/>
      <c r="AY102" s="20"/>
      <c r="AZ102" s="20"/>
      <c r="BD102" s="3" t="s">
        <v>2602</v>
      </c>
      <c r="BE102" t="b">
        <f>T197="Yes"</f>
        <v>0</v>
      </c>
    </row>
    <row r="103" spans="1:57" ht="12.95" customHeight="1">
      <c r="A103" s="1781"/>
      <c r="B103" s="1781"/>
      <c r="C103" s="1781"/>
      <c r="D103" s="1781"/>
      <c r="E103" s="1781"/>
      <c r="F103" s="1781"/>
      <c r="G103" s="1781"/>
      <c r="H103" s="1781"/>
      <c r="I103" s="1781"/>
      <c r="J103" s="1781"/>
      <c r="K103" s="1781"/>
      <c r="L103" s="1781"/>
      <c r="M103" s="1781"/>
      <c r="N103" s="1781"/>
      <c r="O103" s="1781"/>
      <c r="P103" s="1781"/>
      <c r="Q103" s="1781"/>
      <c r="R103" s="1781"/>
      <c r="S103" s="1781"/>
      <c r="T103" s="1781"/>
      <c r="U103" s="1781"/>
      <c r="V103" s="1781"/>
      <c r="W103" s="1781"/>
      <c r="X103" s="1781"/>
      <c r="Y103" s="1781"/>
      <c r="Z103" s="1781"/>
      <c r="AA103" s="1781"/>
      <c r="AB103" s="1781"/>
      <c r="AC103" s="1781"/>
      <c r="AD103" s="1781"/>
      <c r="AE103" s="1781"/>
      <c r="AF103" s="1781"/>
      <c r="AG103" s="1781"/>
      <c r="AH103" s="1781"/>
      <c r="AI103" s="1781"/>
      <c r="AJ103" s="1781"/>
      <c r="AK103" s="1781"/>
      <c r="AL103" s="1781"/>
      <c r="AM103" s="1781"/>
      <c r="AN103" s="1781"/>
      <c r="AO103" s="1781"/>
      <c r="AP103" s="1781"/>
      <c r="AQ103" s="1781"/>
      <c r="AR103" s="1781"/>
      <c r="AS103" s="1781"/>
      <c r="AT103" s="1781"/>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1" t="s">
        <v>2168</v>
      </c>
      <c r="B105" s="1781"/>
      <c r="C105" s="1781"/>
      <c r="D105" s="1781"/>
      <c r="E105" s="1781"/>
      <c r="F105" s="1781"/>
      <c r="G105" s="1781"/>
      <c r="H105" s="1781"/>
      <c r="I105" s="1781"/>
      <c r="J105" s="1781"/>
      <c r="K105" s="1781"/>
      <c r="L105" s="1781"/>
      <c r="M105" s="1781"/>
      <c r="N105" s="1781"/>
      <c r="O105" s="1781"/>
      <c r="P105" s="1781"/>
      <c r="Q105" s="1781"/>
      <c r="R105" s="1781"/>
      <c r="S105" s="1781"/>
      <c r="T105" s="1781"/>
      <c r="U105" s="1781"/>
      <c r="V105" s="1781"/>
      <c r="W105" s="1781"/>
      <c r="X105" s="1781"/>
      <c r="Y105" s="1781"/>
      <c r="Z105" s="1781"/>
      <c r="AA105" s="1781"/>
      <c r="AB105" s="1781"/>
      <c r="AC105" s="1781"/>
      <c r="AD105" s="1781"/>
      <c r="AE105" s="1781"/>
      <c r="AF105" s="1781"/>
      <c r="AG105" s="1781"/>
      <c r="AH105" s="1781"/>
      <c r="AI105" s="1781"/>
      <c r="AJ105" s="1781"/>
      <c r="AK105" s="1781"/>
      <c r="AL105" s="1781"/>
      <c r="AM105" s="1781"/>
      <c r="AN105" s="1781"/>
      <c r="AO105" s="1781"/>
      <c r="AP105" s="1781"/>
      <c r="AQ105" s="1781"/>
      <c r="AR105" s="1781"/>
      <c r="AS105" s="1781"/>
      <c r="AT105" s="1781"/>
      <c r="AU105" s="20"/>
      <c r="AV105" s="20"/>
      <c r="AW105" s="20"/>
      <c r="AX105" s="20"/>
      <c r="AY105" s="20"/>
    </row>
    <row r="106" spans="1:57" ht="12.95" customHeight="1">
      <c r="A106" s="1781"/>
      <c r="B106" s="1781"/>
      <c r="C106" s="1781"/>
      <c r="D106" s="1781"/>
      <c r="E106" s="1781"/>
      <c r="F106" s="1781"/>
      <c r="G106" s="1781"/>
      <c r="H106" s="1781"/>
      <c r="I106" s="1781"/>
      <c r="J106" s="1781"/>
      <c r="K106" s="1781"/>
      <c r="L106" s="1781"/>
      <c r="M106" s="1781"/>
      <c r="N106" s="1781"/>
      <c r="O106" s="1781"/>
      <c r="P106" s="1781"/>
      <c r="Q106" s="1781"/>
      <c r="R106" s="1781"/>
      <c r="S106" s="1781"/>
      <c r="T106" s="1781"/>
      <c r="U106" s="1781"/>
      <c r="V106" s="1781"/>
      <c r="W106" s="1781"/>
      <c r="X106" s="1781"/>
      <c r="Y106" s="1781"/>
      <c r="Z106" s="1781"/>
      <c r="AA106" s="1781"/>
      <c r="AB106" s="1781"/>
      <c r="AC106" s="1781"/>
      <c r="AD106" s="1781"/>
      <c r="AE106" s="1781"/>
      <c r="AF106" s="1781"/>
      <c r="AG106" s="1781"/>
      <c r="AH106" s="1781"/>
      <c r="AI106" s="1781"/>
      <c r="AJ106" s="1781"/>
      <c r="AK106" s="1781"/>
      <c r="AL106" s="1781"/>
      <c r="AM106" s="1781"/>
      <c r="AN106" s="1781"/>
      <c r="AO106" s="1781"/>
      <c r="AP106" s="1781"/>
      <c r="AQ106" s="1781"/>
      <c r="AR106" s="1781"/>
      <c r="AS106" s="1781"/>
      <c r="AT106" s="1781"/>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782"/>
      <c r="H113" s="1782"/>
      <c r="I113" s="3" t="s">
        <v>181</v>
      </c>
      <c r="L113" s="1782"/>
      <c r="M113" s="1782"/>
      <c r="N113" s="1782"/>
      <c r="O113" s="1782"/>
      <c r="P113" s="1788" t="s">
        <v>2243</v>
      </c>
      <c r="Q113" s="1788"/>
      <c r="R113" s="1788"/>
      <c r="S113" s="178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0"/>
      <c r="D115" s="1790"/>
      <c r="E115" s="1790"/>
      <c r="F115" s="1790"/>
      <c r="G115" s="1790"/>
      <c r="H115" s="1790"/>
      <c r="I115" s="1790"/>
      <c r="J115" s="1790"/>
      <c r="K115" s="179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2"/>
      <c r="Z117" s="1782"/>
      <c r="AA117" s="1782"/>
      <c r="AB117" s="1782"/>
      <c r="AC117" s="1782"/>
      <c r="AD117" s="1782"/>
      <c r="AE117" s="1782"/>
      <c r="AF117" s="1782"/>
      <c r="AG117" s="1782"/>
      <c r="AH117" s="1782"/>
      <c r="AI117" s="1782"/>
      <c r="AJ117" s="1782"/>
      <c r="AK117" s="178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2" t="s">
        <v>2612</v>
      </c>
      <c r="Z120" s="1782"/>
      <c r="AA120" s="1782"/>
      <c r="AB120" s="1782"/>
      <c r="AC120" s="1782"/>
      <c r="AD120" s="1782"/>
      <c r="AE120" s="1782"/>
      <c r="AF120" s="1782"/>
      <c r="AG120" s="1782"/>
      <c r="AH120" s="1782"/>
      <c r="AI120" s="1782"/>
      <c r="AJ120" s="1782"/>
      <c r="AK120" s="178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1" t="s">
        <v>469</v>
      </c>
      <c r="CV122" s="1662"/>
      <c r="CW122" s="14"/>
      <c r="CX122" s="14" t="s">
        <v>634</v>
      </c>
      <c r="CY122" s="14"/>
      <c r="CZ122" s="14"/>
      <c r="DA122" s="14"/>
      <c r="DB122" s="14"/>
      <c r="DC122" s="14"/>
      <c r="DD122" s="14"/>
      <c r="DE122" s="14"/>
      <c r="DF122" s="14"/>
      <c r="DG122" s="1658" t="str">
        <f>T189</f>
        <v>Santa Clara</v>
      </c>
      <c r="DH122" s="1659"/>
      <c r="DI122" s="1659"/>
      <c r="DJ122" s="1659"/>
      <c r="DK122" s="1659"/>
      <c r="DL122" s="1659"/>
      <c r="DM122" s="1660"/>
    </row>
    <row r="123" spans="1:117" ht="12.95" customHeight="1">
      <c r="A123" s="3"/>
      <c r="B123" s="3"/>
      <c r="T123" s="3"/>
      <c r="U123" s="3"/>
      <c r="V123" s="3"/>
      <c r="W123" s="3"/>
      <c r="X123" s="3"/>
      <c r="Y123" s="1782" t="s">
        <v>2613</v>
      </c>
      <c r="Z123" s="1782"/>
      <c r="AA123" s="1782"/>
      <c r="AB123" s="1782"/>
      <c r="AC123" s="1782"/>
      <c r="AD123" s="1782"/>
      <c r="AE123" s="1782"/>
      <c r="AF123" s="1782"/>
      <c r="AG123" s="1782"/>
      <c r="AH123" s="1782"/>
      <c r="AI123" s="1782"/>
      <c r="AJ123" s="1782"/>
      <c r="AK123" s="178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405" t="s">
        <v>2697</v>
      </c>
      <c r="P153" s="1406"/>
      <c r="Q153" s="1406"/>
      <c r="R153" s="1406"/>
      <c r="S153" s="1406"/>
      <c r="T153" s="1406"/>
      <c r="U153" s="1406"/>
      <c r="V153" s="1406"/>
      <c r="W153" s="1406"/>
      <c r="X153" s="1406"/>
      <c r="Y153" s="1406"/>
      <c r="Z153" s="1406"/>
      <c r="AA153" s="1406"/>
      <c r="AB153" s="1406"/>
      <c r="AC153" s="1406"/>
      <c r="AD153" s="1406"/>
      <c r="AE153" s="1406"/>
      <c r="AF153" s="1406"/>
      <c r="AG153" s="1406"/>
      <c r="AH153" s="1406"/>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439</v>
      </c>
      <c r="O154" s="1522" t="s">
        <v>2722</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0" t="s">
        <v>440</v>
      </c>
      <c r="P155" s="1800"/>
      <c r="Q155" s="1800"/>
      <c r="R155" s="1800"/>
      <c r="S155" s="1800"/>
      <c r="T155" s="1800"/>
      <c r="U155" s="1800"/>
      <c r="V155" s="1800"/>
      <c r="W155" s="1800"/>
      <c r="X155" s="1800"/>
      <c r="Y155" s="1800"/>
      <c r="Z155" s="1800"/>
      <c r="AA155" s="1800"/>
      <c r="AB155" s="1800"/>
      <c r="AC155" s="1800"/>
      <c r="AD155" s="1800"/>
      <c r="AE155" s="1800"/>
      <c r="AF155" s="1800"/>
      <c r="AG155" s="1800"/>
      <c r="AH155" s="1800"/>
      <c r="BM155">
        <v>7</v>
      </c>
      <c r="CR155" s="31"/>
      <c r="CS155" s="32"/>
      <c r="CT155" s="32"/>
      <c r="CU155" s="32"/>
      <c r="CV155" s="32"/>
      <c r="CW155" s="32"/>
      <c r="CX155" s="14"/>
      <c r="CY155" s="31"/>
      <c r="CZ155" s="14"/>
      <c r="DA155" s="14"/>
      <c r="DB155" s="14"/>
      <c r="DC155" s="14"/>
      <c r="DD155" s="14"/>
    </row>
    <row r="156" spans="1:108" ht="12.95" customHeight="1">
      <c r="D156" t="s">
        <v>312</v>
      </c>
      <c r="O156" s="1405" t="s">
        <v>2723</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05" t="s">
        <v>2615</v>
      </c>
      <c r="P157" s="1406"/>
      <c r="Q157" s="1406"/>
      <c r="R157" s="1406"/>
      <c r="S157" s="1406"/>
      <c r="T157" s="1406"/>
      <c r="U157" s="1406"/>
      <c r="V157" s="1406"/>
      <c r="W157" s="1406"/>
      <c r="X157" s="1406"/>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85">
        <v>95037</v>
      </c>
      <c r="P158" s="1785"/>
      <c r="Q158" s="1785"/>
      <c r="R158" s="1785"/>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5">
        <v>4087797271</v>
      </c>
      <c r="P159" s="1775"/>
      <c r="Q159" s="1775"/>
      <c r="R159" s="1775"/>
      <c r="S159" s="1775"/>
      <c r="T159" s="1775"/>
      <c r="V159" s="97" t="s">
        <v>270</v>
      </c>
      <c r="W159" s="1786"/>
      <c r="X159" s="1786"/>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5">
        <v>4087791592</v>
      </c>
      <c r="P160" s="1775"/>
      <c r="Q160" s="1775"/>
      <c r="R160" s="1775"/>
      <c r="S160" s="1775"/>
      <c r="T160" s="1775"/>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317</v>
      </c>
      <c r="O161" s="1774" t="s">
        <v>2724</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791" t="s">
        <v>2218</v>
      </c>
      <c r="E164" s="1791"/>
      <c r="F164" s="1791"/>
      <c r="G164" s="1791"/>
      <c r="H164" s="1791"/>
      <c r="I164" s="1791"/>
      <c r="J164" s="1791"/>
      <c r="K164" s="1791"/>
      <c r="L164" s="1791"/>
      <c r="M164" s="1791"/>
      <c r="N164" s="1791"/>
      <c r="O164" s="1791"/>
      <c r="P164" s="1791"/>
      <c r="Q164" s="1791"/>
      <c r="R164" s="1791"/>
      <c r="S164" s="1791"/>
      <c r="T164" s="1791"/>
      <c r="U164" s="1791"/>
      <c r="V164" s="1791"/>
      <c r="W164" s="1791"/>
      <c r="X164" s="1791"/>
      <c r="Y164" s="1791"/>
      <c r="Z164" s="1791"/>
      <c r="AA164" s="1791"/>
      <c r="AB164" s="1791"/>
      <c r="AC164" s="1791"/>
      <c r="AD164" s="1791"/>
      <c r="AE164" s="1791"/>
      <c r="AF164" s="1791"/>
      <c r="AG164" s="1791"/>
      <c r="AH164" s="179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51" t="s">
        <v>539</v>
      </c>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320</v>
      </c>
      <c r="J173" s="1799" t="s">
        <v>370</v>
      </c>
      <c r="K173" s="1799"/>
      <c r="L173" s="1799"/>
      <c r="M173" s="1799"/>
      <c r="N173" s="1799"/>
      <c r="O173" s="1799"/>
      <c r="P173" s="1799"/>
      <c r="Q173" s="1799"/>
      <c r="R173" s="1799"/>
      <c r="S173" s="1799"/>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348" t="s">
        <v>2103</v>
      </c>
      <c r="K174" s="1348"/>
      <c r="L174" s="1348"/>
      <c r="M174" s="1348"/>
      <c r="N174" s="1348"/>
      <c r="O174" s="1348"/>
      <c r="P174" s="1348"/>
      <c r="Q174" s="1348"/>
      <c r="R174" s="1348"/>
      <c r="S174" s="1348"/>
      <c r="T174" s="1348"/>
      <c r="U174" s="1348"/>
      <c r="V174" s="1348"/>
      <c r="W174" s="1348"/>
      <c r="X174" s="1348"/>
      <c r="Y174" s="1348"/>
      <c r="Z174" s="1348"/>
      <c r="AA174" s="1348"/>
      <c r="AB174" s="1348"/>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34" t="s">
        <v>545</v>
      </c>
      <c r="V175" s="1334"/>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2081</v>
      </c>
      <c r="T176" s="27" t="s">
        <v>304</v>
      </c>
      <c r="U176" s="1412">
        <v>24</v>
      </c>
      <c r="V176" s="1412"/>
      <c r="W176" s="1" t="s">
        <v>305</v>
      </c>
      <c r="X176" s="1778">
        <v>631</v>
      </c>
      <c r="Y176" s="1778"/>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34" t="s">
        <v>669</v>
      </c>
      <c r="S177" s="1334"/>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1203</v>
      </c>
      <c r="AA178" t="s">
        <v>2081</v>
      </c>
      <c r="AE178" s="27" t="s">
        <v>304</v>
      </c>
      <c r="AF178" s="1777"/>
      <c r="AG178" s="1777"/>
      <c r="AH178" s="1" t="s">
        <v>305</v>
      </c>
      <c r="AI178" s="1796"/>
      <c r="AJ178" s="1796"/>
      <c r="AK178" s="1796"/>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2082</v>
      </c>
      <c r="X180" s="1334" t="s">
        <v>669</v>
      </c>
      <c r="Y180" s="133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578</v>
      </c>
      <c r="I184" s="1416" t="str">
        <f>H18</f>
        <v>The Magnolias</v>
      </c>
      <c r="J184" s="1416"/>
      <c r="K184" s="1416"/>
      <c r="L184" s="1416"/>
      <c r="M184" s="1416"/>
      <c r="N184" s="1416"/>
      <c r="O184" s="1416"/>
      <c r="P184" s="1416"/>
      <c r="Q184" s="1416"/>
      <c r="R184" s="1416"/>
      <c r="S184" s="1416"/>
      <c r="T184" s="1416"/>
      <c r="U184" s="1416"/>
      <c r="V184" s="1416"/>
      <c r="W184" s="1416"/>
      <c r="X184" s="1416"/>
      <c r="Y184" s="1416"/>
      <c r="Z184" s="1416"/>
      <c r="AA184" s="1416"/>
      <c r="AB184" s="1416"/>
      <c r="AC184" s="1416"/>
      <c r="AD184" s="1416"/>
      <c r="AE184" s="1416"/>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579</v>
      </c>
      <c r="I185" s="1461" t="s">
        <v>2614</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793"/>
      <c r="F187" s="1793"/>
      <c r="G187" s="1793"/>
      <c r="H187" s="1793"/>
      <c r="I187" s="1793"/>
      <c r="J187" s="1793"/>
      <c r="K187" s="1793"/>
      <c r="L187" s="1793"/>
      <c r="M187" s="1793"/>
      <c r="N187" s="1793"/>
      <c r="O187" s="1793"/>
      <c r="P187" s="1793"/>
      <c r="Q187" s="1793"/>
      <c r="R187" s="1793"/>
      <c r="S187" s="1793"/>
      <c r="T187" s="1793"/>
      <c r="U187" s="1793"/>
      <c r="V187" s="1793"/>
      <c r="W187" s="1793"/>
      <c r="X187" s="1793"/>
      <c r="Y187" s="1793"/>
      <c r="Z187" s="1793"/>
      <c r="AA187" s="1793"/>
      <c r="AB187" s="1793"/>
      <c r="AC187" s="1793"/>
      <c r="AD187" s="1793"/>
      <c r="AE187" s="1793"/>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794"/>
      <c r="F188" s="1794"/>
      <c r="G188" s="1794"/>
      <c r="H188" s="1794"/>
      <c r="I188" s="1794"/>
      <c r="J188" s="1794"/>
      <c r="K188" s="1794"/>
      <c r="L188" s="1794"/>
      <c r="M188" s="1794"/>
      <c r="N188" s="1794"/>
      <c r="O188" s="1794"/>
      <c r="P188" s="1794"/>
      <c r="Q188" s="1794"/>
      <c r="R188" s="1794"/>
      <c r="S188" s="1794"/>
      <c r="T188" s="1794"/>
      <c r="U188" s="1794"/>
      <c r="V188" s="1794"/>
      <c r="W188" s="1794"/>
      <c r="X188" s="1794"/>
      <c r="Y188" s="1794"/>
      <c r="Z188" s="1794"/>
      <c r="AA188" s="1794"/>
      <c r="AB188" s="1794"/>
      <c r="AC188" s="1794"/>
      <c r="AD188" s="1794"/>
      <c r="AE188" s="1794"/>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580</v>
      </c>
      <c r="I189" s="1405" t="s">
        <v>2615</v>
      </c>
      <c r="J189" s="1348"/>
      <c r="K189" s="1348"/>
      <c r="L189" s="1348"/>
      <c r="M189" s="1348"/>
      <c r="N189" s="1348"/>
      <c r="O189" s="1348"/>
      <c r="P189" s="1348"/>
      <c r="Q189" t="s">
        <v>582</v>
      </c>
      <c r="T189" s="1348" t="s">
        <v>191</v>
      </c>
      <c r="U189" s="1348"/>
      <c r="V189" s="1348"/>
      <c r="W189" s="1348"/>
      <c r="X189" s="1348"/>
      <c r="Y189" s="1348"/>
      <c r="Z189" s="1348"/>
      <c r="AA189" s="1348"/>
      <c r="AB189" s="1348"/>
      <c r="AC189" s="1348"/>
      <c r="AD189" s="1348"/>
      <c r="AE189" s="1348"/>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583</v>
      </c>
      <c r="I190" s="1461">
        <v>95037</v>
      </c>
      <c r="J190" s="1461"/>
      <c r="K190" s="1461"/>
      <c r="L190" s="1461"/>
      <c r="M190" s="1461"/>
      <c r="N190" s="1461"/>
      <c r="O190" t="s">
        <v>585</v>
      </c>
      <c r="T190" s="1783">
        <v>5123.1400000000003</v>
      </c>
      <c r="U190" s="1783"/>
      <c r="V190" s="1783"/>
      <c r="W190" s="1783"/>
      <c r="X190" s="1783"/>
      <c r="Y190" s="1783"/>
      <c r="Z190" s="1783"/>
      <c r="AA190" s="1783"/>
      <c r="AB190" s="1783"/>
      <c r="AC190" s="1783"/>
      <c r="AD190" s="1783"/>
      <c r="AE190" s="1783"/>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462</v>
      </c>
      <c r="N191" s="1793" t="s">
        <v>2616</v>
      </c>
      <c r="O191" s="1793"/>
      <c r="P191" s="1793"/>
      <c r="Q191" s="1793"/>
      <c r="R191" s="1793"/>
      <c r="S191" s="1793"/>
      <c r="T191" s="1793"/>
      <c r="U191" s="1793"/>
      <c r="V191" s="1793"/>
      <c r="W191" s="1793"/>
      <c r="X191" s="1793"/>
      <c r="Y191" s="1793"/>
      <c r="Z191" s="1793"/>
      <c r="AA191" s="1793"/>
      <c r="AB191" s="1793"/>
      <c r="AC191" s="1793"/>
      <c r="AD191" s="1793"/>
      <c r="AE191" s="1793"/>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794"/>
      <c r="O192" s="1794"/>
      <c r="P192" s="1794"/>
      <c r="Q192" s="1794"/>
      <c r="R192" s="1794"/>
      <c r="S192" s="1794"/>
      <c r="T192" s="1794"/>
      <c r="U192" s="1794"/>
      <c r="V192" s="1794"/>
      <c r="W192" s="1794"/>
      <c r="X192" s="1794"/>
      <c r="Y192" s="1794"/>
      <c r="Z192" s="1794"/>
      <c r="AA192" s="1794"/>
      <c r="AB192" s="1794"/>
      <c r="AC192" s="1794"/>
      <c r="AD192" s="1794"/>
      <c r="AE192" s="1794"/>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787" t="s">
        <v>2215</v>
      </c>
      <c r="U193" s="1787"/>
      <c r="V193" s="1787"/>
      <c r="W193" s="1787"/>
      <c r="X193" s="1787"/>
      <c r="Y193" s="1787"/>
      <c r="Z193" s="1787"/>
      <c r="AA193" s="1787"/>
      <c r="AB193" s="1787"/>
      <c r="AC193" s="1787"/>
      <c r="AD193" s="1787"/>
      <c r="AE193" s="1787"/>
      <c r="AF193" s="1787"/>
      <c r="AG193" s="1787"/>
      <c r="AH193" s="1787"/>
      <c r="AI193" s="1787"/>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334" t="s">
        <v>669</v>
      </c>
      <c r="AI194" s="1334"/>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330</v>
      </c>
      <c r="T195" s="1334" t="s">
        <v>669</v>
      </c>
      <c r="U195" s="1334"/>
      <c r="W195" t="s">
        <v>684</v>
      </c>
      <c r="AH195" s="1334">
        <v>18</v>
      </c>
      <c r="AI195" s="1334"/>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391" t="s">
        <v>545</v>
      </c>
      <c r="U196" s="1391"/>
      <c r="W196" t="s">
        <v>685</v>
      </c>
      <c r="AH196" s="1334">
        <v>28</v>
      </c>
      <c r="AI196" s="1334"/>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168</v>
      </c>
      <c r="T197" s="1391" t="s">
        <v>669</v>
      </c>
      <c r="U197" s="1391"/>
      <c r="W197" t="s">
        <v>686</v>
      </c>
      <c r="AH197" s="1334">
        <v>17</v>
      </c>
      <c r="AI197" s="1334"/>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391"/>
      <c r="U198" s="1391"/>
      <c r="V198"/>
      <c r="X198" s="1402" t="s">
        <v>2517</v>
      </c>
      <c r="Y198" s="1402"/>
      <c r="Z198" s="1402"/>
      <c r="AA198" s="1402"/>
      <c r="AB198" s="1402"/>
      <c r="AC198" s="1402"/>
      <c r="AD198" s="1402"/>
      <c r="AE198" s="1402"/>
      <c r="AF198" s="1402"/>
      <c r="AG198" s="1402"/>
      <c r="AH198" s="1402"/>
      <c r="AI198" s="1402"/>
      <c r="AJ198" s="1402"/>
      <c r="AK198" s="1402"/>
      <c r="AL198" s="1402"/>
      <c r="AM198" s="1402"/>
      <c r="AN198" s="1402"/>
      <c r="AO198" s="1402"/>
      <c r="AP198" s="1402"/>
      <c r="AQ198" s="1402"/>
      <c r="AR198" s="1402"/>
      <c r="AS198" s="1402"/>
      <c r="AT198" s="1402"/>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334" t="s">
        <v>669</v>
      </c>
      <c r="U199" s="1334"/>
      <c r="V199"/>
      <c r="W199"/>
      <c r="X199" s="1402"/>
      <c r="Y199" s="1402"/>
      <c r="Z199" s="1402"/>
      <c r="AA199" s="1402"/>
      <c r="AB199" s="1402"/>
      <c r="AC199" s="1402"/>
      <c r="AD199" s="1402"/>
      <c r="AE199" s="1402"/>
      <c r="AF199" s="1402"/>
      <c r="AG199" s="1402"/>
      <c r="AH199" s="1402"/>
      <c r="AI199" s="1402"/>
      <c r="AJ199" s="1402"/>
      <c r="AK199" s="1402"/>
      <c r="AL199" s="1402"/>
      <c r="AM199" s="1402"/>
      <c r="AN199" s="1402"/>
      <c r="AO199" s="1402"/>
      <c r="AP199" s="1402"/>
      <c r="AQ199" s="1402"/>
      <c r="AR199" s="1402"/>
      <c r="AS199" s="1402"/>
      <c r="AT199" s="1402"/>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2518</v>
      </c>
      <c r="T200" s="1334" t="s">
        <v>669</v>
      </c>
      <c r="U200" s="133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416" t="s">
        <v>384</v>
      </c>
      <c r="E204" s="1416"/>
      <c r="F204" s="1416"/>
      <c r="G204" s="1416"/>
      <c r="H204" s="1416"/>
      <c r="I204" s="1416"/>
      <c r="J204" s="1416"/>
      <c r="K204" s="1416"/>
      <c r="L204" s="1416"/>
      <c r="M204" s="1416"/>
      <c r="P204" s="1792">
        <f>M26</f>
        <v>3124138</v>
      </c>
      <c r="Q204" s="1776"/>
      <c r="R204" s="1776"/>
      <c r="S204" s="1776"/>
      <c r="T204" s="1776"/>
      <c r="U204" s="1776"/>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03" t="s">
        <v>1247</v>
      </c>
      <c r="E205" s="1416"/>
      <c r="F205" s="1416"/>
      <c r="G205" s="1416"/>
      <c r="H205" s="1416"/>
      <c r="I205" s="1416"/>
      <c r="J205" s="1416"/>
      <c r="K205" s="1416"/>
      <c r="L205" s="1416"/>
      <c r="M205" s="1416"/>
      <c r="P205" s="1776">
        <f>M27</f>
        <v>0</v>
      </c>
      <c r="Q205" s="1776"/>
      <c r="R205" s="1776"/>
      <c r="S205" s="1776"/>
      <c r="T205" s="1776"/>
      <c r="U205" s="1776"/>
      <c r="V205" s="28"/>
      <c r="W205" s="3" t="s">
        <v>1720</v>
      </c>
      <c r="Z205" s="1801" t="s">
        <v>1184</v>
      </c>
      <c r="AA205" s="1801"/>
      <c r="AB205" s="1801"/>
      <c r="AC205" s="1801"/>
      <c r="AD205" s="1801"/>
      <c r="AE205" s="1801"/>
      <c r="AF205" s="1801"/>
      <c r="AG205" s="1801"/>
      <c r="AH205" s="1801"/>
      <c r="AI205" s="1801"/>
      <c r="AJ205" s="1801"/>
      <c r="AK205" s="1801"/>
      <c r="AL205" s="1801"/>
      <c r="AM205" s="1801"/>
      <c r="AN205" s="1801"/>
      <c r="AP205" s="1337"/>
      <c r="AQ205" s="1337"/>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06" t="s">
        <v>2617</v>
      </c>
      <c r="E208" s="1406"/>
      <c r="F208" s="1406"/>
      <c r="G208" s="1406"/>
      <c r="H208" s="1406"/>
      <c r="I208" s="1406"/>
      <c r="J208" s="1406"/>
      <c r="K208" s="1406"/>
      <c r="L208" s="1406"/>
      <c r="M208" s="1406"/>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06" t="s">
        <v>1043</v>
      </c>
      <c r="E211" s="1406"/>
      <c r="F211" s="1406"/>
      <c r="G211" s="1406"/>
      <c r="H211" s="1406"/>
      <c r="I211" s="1406"/>
      <c r="J211" s="1406"/>
      <c r="K211" s="1406"/>
      <c r="L211" s="1406"/>
      <c r="M211" s="1406"/>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334">
        <v>33</v>
      </c>
      <c r="R212" s="1334"/>
      <c r="T212" s="1797">
        <f>IFERROR(Q212/AG440,0)</f>
        <v>0.50769230769230766</v>
      </c>
      <c r="U212" s="1798"/>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89" t="s">
        <v>1041</v>
      </c>
      <c r="E214" s="1789"/>
      <c r="F214" s="1789"/>
      <c r="G214" s="1789"/>
      <c r="H214" s="1789"/>
      <c r="I214" s="1789"/>
      <c r="J214" s="1789"/>
      <c r="K214" s="1789"/>
      <c r="L214" s="1789"/>
      <c r="M214" s="1789"/>
      <c r="N214" s="1789"/>
      <c r="O214" s="1789"/>
      <c r="P214" s="1789"/>
      <c r="Q214" s="1789"/>
      <c r="R214" s="1789"/>
      <c r="S214" s="1789"/>
      <c r="T214" s="1789"/>
      <c r="U214" s="1789"/>
      <c r="V214" s="1789"/>
      <c r="W214" s="1789"/>
      <c r="X214" s="1789"/>
      <c r="Y214" s="1789"/>
      <c r="Z214" s="1789"/>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768"/>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376</v>
      </c>
    </row>
    <row r="220" spans="1:108" ht="12.95" customHeight="1">
      <c r="A220" s="2"/>
      <c r="C220" s="2"/>
      <c r="D220" s="1406" t="s">
        <v>1026</v>
      </c>
      <c r="E220" s="1406"/>
      <c r="F220" s="1406"/>
      <c r="G220" s="1406"/>
      <c r="H220" s="1406"/>
      <c r="I220" s="1406"/>
      <c r="J220" s="1406"/>
      <c r="K220" s="1406"/>
      <c r="L220" s="1406"/>
      <c r="M220" s="1406"/>
      <c r="N220" s="1406"/>
      <c r="O220" s="1406"/>
      <c r="P220" s="1406"/>
      <c r="Q220" s="1406"/>
      <c r="R220" s="1406"/>
      <c r="S220" s="1406"/>
      <c r="T220" s="1406"/>
      <c r="U220" s="1406"/>
      <c r="V220" s="1406"/>
      <c r="W220" s="1406"/>
      <c r="X220" s="1406"/>
      <c r="Y220" s="1406"/>
      <c r="Z220" s="1406"/>
      <c r="AC220" s="1802" t="s">
        <v>2469</v>
      </c>
      <c r="AD220" s="1802"/>
      <c r="AE220" s="1802"/>
      <c r="AF220" s="1802"/>
      <c r="AG220" s="1802"/>
      <c r="AH220" s="1802"/>
      <c r="AI220" s="1802"/>
      <c r="AJ220" s="1802"/>
      <c r="AK220" s="1802"/>
      <c r="AL220" s="1802"/>
      <c r="AM220" s="1802"/>
      <c r="AN220" s="1802"/>
      <c r="AO220" s="1802"/>
      <c r="AP220" s="1802"/>
      <c r="AQ220" s="1802"/>
      <c r="BA220" s="3"/>
      <c r="BC220" t="s">
        <v>299</v>
      </c>
    </row>
    <row r="221" spans="1:108" ht="12.95" customHeight="1">
      <c r="A221" s="2"/>
      <c r="B221" s="14"/>
      <c r="C221" s="2"/>
      <c r="BA221" s="3"/>
    </row>
    <row r="222" spans="1:108" ht="12.95" customHeight="1">
      <c r="A222" s="1451" t="s">
        <v>540</v>
      </c>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451"/>
      <c r="AM222" s="1451"/>
      <c r="AN222" s="1451"/>
      <c r="AO222" s="1451"/>
      <c r="AP222" s="1451"/>
      <c r="AQ222" s="1451"/>
      <c r="AR222" s="1451"/>
      <c r="AS222" s="1451"/>
      <c r="AT222" s="1451"/>
      <c r="AU222" s="95"/>
      <c r="AV222" s="95"/>
      <c r="AW222" s="95"/>
      <c r="AX222" s="95"/>
      <c r="AY222" s="95"/>
      <c r="AZ222" s="3"/>
      <c r="BA222" s="3"/>
      <c r="BP222" s="34"/>
    </row>
    <row r="223" spans="1:108" ht="12.95" customHeight="1">
      <c r="A223" s="1451"/>
      <c r="B223" s="1451"/>
      <c r="C223" s="1451"/>
      <c r="D223" s="1451"/>
      <c r="E223" s="1451"/>
      <c r="F223" s="1451"/>
      <c r="G223" s="1451"/>
      <c r="H223" s="1451"/>
      <c r="I223" s="1451"/>
      <c r="J223" s="1451"/>
      <c r="K223" s="1451"/>
      <c r="L223" s="1451"/>
      <c r="M223" s="1451"/>
      <c r="N223" s="1451"/>
      <c r="O223" s="1451"/>
      <c r="P223" s="1451"/>
      <c r="Q223" s="1451"/>
      <c r="R223" s="1451"/>
      <c r="S223" s="1451"/>
      <c r="T223" s="1451"/>
      <c r="U223" s="1451"/>
      <c r="V223" s="1451"/>
      <c r="W223" s="1451"/>
      <c r="X223" s="1451"/>
      <c r="Y223" s="1451"/>
      <c r="Z223" s="1451"/>
      <c r="AA223" s="1451"/>
      <c r="AB223" s="1451"/>
      <c r="AC223" s="1451"/>
      <c r="AD223" s="1451"/>
      <c r="AE223" s="1451"/>
      <c r="AF223" s="1451"/>
      <c r="AG223" s="1451"/>
      <c r="AH223" s="1451"/>
      <c r="AI223" s="1451"/>
      <c r="AJ223" s="1451"/>
      <c r="AK223" s="1451"/>
      <c r="AL223" s="1451"/>
      <c r="AM223" s="1451"/>
      <c r="AN223" s="1451"/>
      <c r="AO223" s="1451"/>
      <c r="AP223" s="1451"/>
      <c r="AQ223" s="1451"/>
      <c r="AR223" s="1451"/>
      <c r="AS223" s="1451"/>
      <c r="AT223" s="1451"/>
      <c r="BA223" s="3"/>
      <c r="BB223" s="3"/>
      <c r="BQ223" s="34"/>
    </row>
    <row r="224" spans="1:108" ht="12.95" customHeight="1">
      <c r="AZ224" s="4"/>
      <c r="BA224" s="3"/>
      <c r="BB224" s="3"/>
      <c r="BQ224" s="34"/>
    </row>
    <row r="225" spans="1:59" ht="12.9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545</v>
      </c>
      <c r="AJ227" s="133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591</v>
      </c>
      <c r="AJ228" s="133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784" t="str">
        <f>H16</f>
        <v>The Magnolias LP</v>
      </c>
      <c r="N232" s="1784"/>
      <c r="O232" s="1784"/>
      <c r="P232" s="1784"/>
      <c r="Q232" s="1784"/>
      <c r="R232" s="1784"/>
      <c r="S232" s="1784"/>
      <c r="T232" s="1784"/>
      <c r="U232" s="1784"/>
      <c r="V232" s="1784"/>
      <c r="W232" s="1784"/>
      <c r="X232" s="1784"/>
      <c r="Y232" s="1784"/>
      <c r="Z232" s="1784"/>
      <c r="AA232" s="1784"/>
      <c r="AB232" s="1784"/>
      <c r="AC232" s="1784"/>
      <c r="AD232" s="1784"/>
      <c r="AE232" s="1784"/>
      <c r="AF232" s="1784"/>
      <c r="AG232" s="1784"/>
      <c r="AH232" s="1784"/>
      <c r="AI232" s="1784"/>
      <c r="AJ232" s="1784"/>
      <c r="AK232" s="1784"/>
      <c r="AZ232" s="4"/>
      <c r="BA232" s="3"/>
      <c r="BB232" s="206" t="s">
        <v>538</v>
      </c>
      <c r="BG232" s="242">
        <f>IF(AND(AND($M$249="nonprofit",$M$257="nonprofit",$M$265="for profit")),2,0)</f>
        <v>0</v>
      </c>
    </row>
    <row r="233" spans="1:59" ht="12.95" customHeight="1">
      <c r="D233" s="4" t="s">
        <v>85</v>
      </c>
      <c r="E233" s="4"/>
      <c r="F233" s="4"/>
      <c r="G233" s="4"/>
      <c r="H233" s="4"/>
      <c r="I233" s="4"/>
      <c r="J233" s="4"/>
      <c r="K233" s="4"/>
      <c r="M233" s="1405" t="s">
        <v>2618</v>
      </c>
      <c r="N233" s="1405"/>
      <c r="O233" s="1405"/>
      <c r="P233" s="1405"/>
      <c r="Q233" s="1405"/>
      <c r="R233" s="1405"/>
      <c r="S233" s="1405"/>
      <c r="T233" s="1405"/>
      <c r="U233" s="1405"/>
      <c r="V233" s="1405"/>
      <c r="W233" s="1405"/>
      <c r="X233" s="1405"/>
      <c r="Y233" s="1405"/>
      <c r="Z233" s="1405"/>
      <c r="AA233" s="1405"/>
      <c r="AB233" s="1405"/>
      <c r="AC233" s="1405"/>
      <c r="AD233" s="1405"/>
      <c r="AE233" s="1405"/>
      <c r="BB233" s="206" t="s">
        <v>538</v>
      </c>
      <c r="BG233" s="242">
        <f>IF(AND(AND($M$249="nonprofit",$M$257="for profit",$M$265="nonprofit")),2,0)</f>
        <v>0</v>
      </c>
    </row>
    <row r="234" spans="1:59" ht="12.95" customHeight="1">
      <c r="D234" s="4" t="s">
        <v>580</v>
      </c>
      <c r="E234" s="4"/>
      <c r="M234" s="1405" t="s">
        <v>2619</v>
      </c>
      <c r="N234" s="1405"/>
      <c r="O234" s="1405"/>
      <c r="P234" s="1405"/>
      <c r="Q234" s="1405"/>
      <c r="R234" s="1405"/>
      <c r="S234" s="1405"/>
      <c r="T234" s="1405"/>
      <c r="V234" s="33" t="s">
        <v>86</v>
      </c>
      <c r="W234" s="1522" t="s">
        <v>2620</v>
      </c>
      <c r="X234" s="1460"/>
      <c r="Y234" s="4" t="s">
        <v>583</v>
      </c>
      <c r="AC234" s="1406">
        <v>94541</v>
      </c>
      <c r="AD234" s="1406"/>
      <c r="AE234" s="1406"/>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05" t="s">
        <v>2612</v>
      </c>
      <c r="N235" s="1406"/>
      <c r="O235" s="1406"/>
      <c r="P235" s="1406"/>
      <c r="Q235" s="1406"/>
      <c r="R235" s="1406"/>
      <c r="S235" s="1406"/>
      <c r="T235" s="1406"/>
      <c r="U235" s="1406"/>
      <c r="V235" s="1406"/>
      <c r="W235" s="1406"/>
      <c r="X235" s="1406"/>
      <c r="Y235" s="1406"/>
      <c r="Z235" s="1406"/>
      <c r="AA235" s="1406"/>
      <c r="AB235" s="1406"/>
      <c r="AC235" s="1406"/>
      <c r="AD235" s="1406"/>
      <c r="AE235" s="1406"/>
      <c r="AI235" s="4"/>
      <c r="AJ235" s="4"/>
      <c r="AK235" s="4"/>
      <c r="AL235" s="4"/>
      <c r="AM235" s="4"/>
      <c r="AN235" s="4"/>
      <c r="AO235" s="4"/>
      <c r="AP235" s="4"/>
      <c r="AQ235" s="4"/>
      <c r="AR235" s="4"/>
      <c r="AS235" s="4"/>
      <c r="AT235" s="4"/>
      <c r="BB235" s="206"/>
      <c r="BG235" s="205"/>
    </row>
    <row r="236" spans="1:59" ht="12.95" customHeight="1">
      <c r="D236" s="4" t="s">
        <v>88</v>
      </c>
      <c r="E236" s="4"/>
      <c r="F236" s="4"/>
      <c r="M236" s="1415">
        <v>5102478103</v>
      </c>
      <c r="N236" s="1415"/>
      <c r="O236" s="1415"/>
      <c r="P236" s="1415"/>
      <c r="Q236" s="1415"/>
      <c r="R236" s="1415"/>
      <c r="S236" s="4" t="s">
        <v>205</v>
      </c>
      <c r="T236" s="4"/>
      <c r="U236" s="1460"/>
      <c r="V236" s="1460"/>
      <c r="W236" s="1460"/>
      <c r="X236" s="4" t="s">
        <v>89</v>
      </c>
      <c r="Z236" s="1415"/>
      <c r="AA236" s="1415"/>
      <c r="AB236" s="1415"/>
      <c r="AC236" s="1415"/>
      <c r="AD236" s="1415"/>
      <c r="AE236" s="1415"/>
      <c r="AU236" s="4"/>
      <c r="AV236" s="4"/>
      <c r="AW236" s="4"/>
      <c r="AX236" s="4"/>
      <c r="AY236" s="4"/>
      <c r="AZ236" s="4"/>
      <c r="BB236" s="205" t="s">
        <v>537</v>
      </c>
      <c r="BG236" s="242">
        <f>IF(AND(AND($M$249="nonprofit",$M$257="nonprofit",$M$265="(select one)")),1,0)</f>
        <v>1</v>
      </c>
    </row>
    <row r="237" spans="1:59" ht="12.95" customHeight="1">
      <c r="D237" s="4" t="s">
        <v>90</v>
      </c>
      <c r="E237" s="4"/>
      <c r="F237" s="4"/>
      <c r="M237" s="1774" t="s">
        <v>2621</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461" t="s">
        <v>528</v>
      </c>
      <c r="N238" s="1461"/>
      <c r="O238" s="1461"/>
      <c r="P238" s="1461"/>
      <c r="Q238" s="1461"/>
      <c r="R238" s="1461"/>
      <c r="S238" s="1461"/>
      <c r="T238" s="1461"/>
      <c r="U238" s="205" t="s">
        <v>906</v>
      </c>
      <c r="V238" s="205"/>
      <c r="W238" s="205"/>
      <c r="X238" s="205"/>
      <c r="Y238" s="205"/>
      <c r="Z238" s="205"/>
      <c r="AA238" s="1769" t="s">
        <v>2622</v>
      </c>
      <c r="AB238" s="1770"/>
      <c r="AC238" s="1770"/>
      <c r="AD238" s="1770"/>
      <c r="AE238" s="1770"/>
      <c r="AF238" s="1770"/>
      <c r="AG238" s="1770"/>
      <c r="AH238" s="1770"/>
      <c r="AI238" s="1770"/>
      <c r="AJ238" s="1770"/>
      <c r="AK238" s="1770"/>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348"/>
      <c r="N239" s="1348"/>
      <c r="O239" s="1348"/>
      <c r="P239" s="1348"/>
      <c r="Q239" s="1348"/>
      <c r="R239" s="1348"/>
      <c r="S239" s="1348"/>
      <c r="T239" s="1348"/>
      <c r="U239" s="1348"/>
      <c r="V239" s="1348"/>
      <c r="W239" s="1348"/>
      <c r="X239" s="1348"/>
      <c r="Y239" s="1348"/>
      <c r="Z239" s="1348"/>
      <c r="AA239" s="1348"/>
      <c r="AB239" s="1348"/>
      <c r="AC239" s="1348"/>
      <c r="AD239" s="1348"/>
      <c r="AE239" s="1348"/>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08" t="s">
        <v>2623</v>
      </c>
      <c r="N243" s="1409"/>
      <c r="O243" s="1409"/>
      <c r="P243" s="1409"/>
      <c r="Q243" s="1409"/>
      <c r="R243" s="1409"/>
      <c r="S243" s="1409"/>
      <c r="T243" s="1409"/>
      <c r="U243" s="1409"/>
      <c r="V243" s="1409"/>
      <c r="W243" s="1409"/>
      <c r="X243" s="1409"/>
      <c r="Y243" s="1409"/>
      <c r="Z243" s="1409"/>
      <c r="AA243" s="1409"/>
      <c r="AB243" s="1409"/>
      <c r="AC243" s="1409"/>
      <c r="AD243" s="1409"/>
      <c r="AE243" s="1409"/>
      <c r="AF243" s="1409" t="s">
        <v>2624</v>
      </c>
      <c r="AG243" s="1409"/>
      <c r="AH243" s="1409"/>
      <c r="AI243" s="1409"/>
      <c r="AJ243" s="1409"/>
      <c r="AK243" s="1409"/>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05" t="s">
        <v>2618</v>
      </c>
      <c r="N244" s="1406"/>
      <c r="O244" s="1406"/>
      <c r="P244" s="1406"/>
      <c r="Q244" s="1406"/>
      <c r="R244" s="1406"/>
      <c r="S244" s="1406"/>
      <c r="T244" s="1406"/>
      <c r="U244" s="1406"/>
      <c r="V244" s="1406"/>
      <c r="W244" s="1406"/>
      <c r="X244" s="1406"/>
      <c r="Y244" s="1406"/>
      <c r="Z244" s="1406"/>
      <c r="AA244" s="1406"/>
      <c r="AB244" s="1406"/>
      <c r="AC244" s="1406"/>
      <c r="AD244" s="1406"/>
      <c r="AE244" s="1406"/>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05" t="s">
        <v>2619</v>
      </c>
      <c r="N245" s="1406"/>
      <c r="O245" s="1406"/>
      <c r="P245" s="1406"/>
      <c r="Q245" s="1406"/>
      <c r="R245" s="1406"/>
      <c r="S245" s="1406"/>
      <c r="T245" s="1406"/>
      <c r="V245" s="33" t="s">
        <v>86</v>
      </c>
      <c r="W245" s="1522" t="s">
        <v>2620</v>
      </c>
      <c r="X245" s="1460"/>
      <c r="Y245" s="4" t="s">
        <v>583</v>
      </c>
      <c r="AC245" s="1406">
        <v>94541</v>
      </c>
      <c r="AD245" s="1406"/>
      <c r="AE245" s="1406"/>
      <c r="AF245" s="3" t="s">
        <v>1180</v>
      </c>
      <c r="AU245" s="4"/>
      <c r="AV245" s="4"/>
      <c r="AW245" s="4"/>
      <c r="AX245" s="4"/>
      <c r="AY245" s="4"/>
      <c r="BB245" s="4" t="s">
        <v>279</v>
      </c>
      <c r="BG245">
        <v>2</v>
      </c>
      <c r="BH245" t="s">
        <v>566</v>
      </c>
      <c r="BO245" s="240" t="str">
        <f>VLOOKUP(BG243,BG244:BH247,2,FALSE)</f>
        <v>Nonprofit</v>
      </c>
    </row>
    <row r="246" spans="1:67" ht="12.95" customHeight="1">
      <c r="A246" s="19"/>
      <c r="B246" s="4"/>
      <c r="C246" s="4"/>
      <c r="D246" s="4" t="s">
        <v>87</v>
      </c>
      <c r="E246" s="4"/>
      <c r="F246" s="4"/>
      <c r="G246" s="4"/>
      <c r="H246" s="4"/>
      <c r="I246" s="4"/>
      <c r="J246" s="4"/>
      <c r="K246" s="4"/>
      <c r="L246" s="19"/>
      <c r="M246" s="1405" t="s">
        <v>2612</v>
      </c>
      <c r="N246" s="1406"/>
      <c r="O246" s="1406"/>
      <c r="P246" s="1406"/>
      <c r="Q246" s="1406"/>
      <c r="R246" s="1406"/>
      <c r="S246" s="1406"/>
      <c r="T246" s="1406"/>
      <c r="U246" s="1406"/>
      <c r="V246" s="1406"/>
      <c r="W246" s="1406"/>
      <c r="X246" s="1406"/>
      <c r="Y246" s="1406"/>
      <c r="Z246" s="1406"/>
      <c r="AA246" s="1406"/>
      <c r="AB246" s="1406"/>
      <c r="AC246" s="1406"/>
      <c r="AD246" s="1406"/>
      <c r="AE246" s="1406"/>
      <c r="AH246" s="1772">
        <v>51</v>
      </c>
      <c r="AI246" s="1772"/>
      <c r="AJ246" s="1772"/>
      <c r="AK246" s="1772"/>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15">
        <v>5102479103</v>
      </c>
      <c r="N247" s="1415"/>
      <c r="O247" s="1415"/>
      <c r="P247" s="1415"/>
      <c r="Q247" s="1415"/>
      <c r="R247" s="1415"/>
      <c r="S247" s="4" t="s">
        <v>205</v>
      </c>
      <c r="T247" s="4"/>
      <c r="U247" s="1460"/>
      <c r="V247" s="1460"/>
      <c r="W247" s="1460"/>
      <c r="X247" s="4" t="s">
        <v>89</v>
      </c>
      <c r="Z247" s="1415"/>
      <c r="AA247" s="1415"/>
      <c r="AB247" s="1415"/>
      <c r="AC247" s="1415"/>
      <c r="AD247" s="1415"/>
      <c r="AE247" s="1415"/>
      <c r="AU247" s="4"/>
      <c r="AV247" s="4"/>
      <c r="AW247" s="4"/>
      <c r="AX247" s="4"/>
      <c r="AY247" s="4"/>
      <c r="BG247">
        <v>0</v>
      </c>
      <c r="BH247" s="3" t="str">
        <f>""</f>
        <v/>
      </c>
      <c r="BN247" s="34"/>
    </row>
    <row r="248" spans="1:67" ht="12.95" customHeight="1">
      <c r="A248" s="19"/>
      <c r="B248" s="4"/>
      <c r="C248" s="4"/>
      <c r="D248" s="4" t="s">
        <v>90</v>
      </c>
      <c r="E248" s="4"/>
      <c r="F248" s="4"/>
      <c r="M248" s="1774" t="s">
        <v>2625</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61" t="s">
        <v>534</v>
      </c>
      <c r="N249" s="1461"/>
      <c r="O249" s="1461"/>
      <c r="P249" s="1461"/>
      <c r="Q249" s="1461"/>
      <c r="R249" s="1461"/>
      <c r="S249" s="1461"/>
      <c r="T249" s="1461"/>
      <c r="U249" s="205" t="s">
        <v>906</v>
      </c>
      <c r="V249" s="205"/>
      <c r="W249" s="205"/>
      <c r="X249" s="205"/>
      <c r="Y249" s="205"/>
      <c r="Z249" s="205"/>
      <c r="AA249" s="1769" t="s">
        <v>2622</v>
      </c>
      <c r="AB249" s="1770"/>
      <c r="AC249" s="1770"/>
      <c r="AD249" s="1770"/>
      <c r="AE249" s="1770"/>
      <c r="AF249" s="1770"/>
      <c r="AG249" s="1770"/>
      <c r="AH249" s="1770"/>
      <c r="AI249" s="1770"/>
      <c r="AJ249" s="1770"/>
      <c r="AK249" s="177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08" t="s">
        <v>2626</v>
      </c>
      <c r="N251" s="1409"/>
      <c r="O251" s="1409"/>
      <c r="P251" s="1409"/>
      <c r="Q251" s="1409"/>
      <c r="R251" s="1409"/>
      <c r="S251" s="1409"/>
      <c r="T251" s="1409"/>
      <c r="U251" s="1409"/>
      <c r="V251" s="1409"/>
      <c r="W251" s="1409"/>
      <c r="X251" s="1409"/>
      <c r="Y251" s="1409"/>
      <c r="Z251" s="1409"/>
      <c r="AA251" s="1409"/>
      <c r="AB251" s="1409"/>
      <c r="AC251" s="1409"/>
      <c r="AD251" s="1409"/>
      <c r="AE251" s="1409"/>
      <c r="AF251" s="1409" t="s">
        <v>2627</v>
      </c>
      <c r="AG251" s="1409"/>
      <c r="AH251" s="1409"/>
      <c r="AI251" s="1409"/>
      <c r="AJ251" s="1409"/>
      <c r="AK251" s="1409"/>
      <c r="AU251" s="4"/>
      <c r="AV251" s="4"/>
      <c r="AW251" s="4"/>
      <c r="AX251" s="4"/>
      <c r="AY251" s="4"/>
      <c r="BN251" s="34"/>
    </row>
    <row r="252" spans="1:67" ht="12.95" customHeight="1">
      <c r="A252" s="19"/>
      <c r="B252" s="4"/>
      <c r="C252" s="4"/>
      <c r="D252" s="4" t="s">
        <v>85</v>
      </c>
      <c r="E252" s="4"/>
      <c r="F252" s="4"/>
      <c r="G252" s="4"/>
      <c r="H252" s="4"/>
      <c r="I252" s="4"/>
      <c r="J252" s="4"/>
      <c r="K252" s="4"/>
      <c r="L252" s="4"/>
      <c r="M252" s="1405" t="s">
        <v>2628</v>
      </c>
      <c r="N252" s="1406"/>
      <c r="O252" s="1406"/>
      <c r="P252" s="1406"/>
      <c r="Q252" s="1406"/>
      <c r="R252" s="1406"/>
      <c r="S252" s="1406"/>
      <c r="T252" s="1406"/>
      <c r="U252" s="1406"/>
      <c r="V252" s="1406"/>
      <c r="W252" s="1406"/>
      <c r="X252" s="1406"/>
      <c r="Y252" s="1406"/>
      <c r="Z252" s="1406"/>
      <c r="AA252" s="1406"/>
      <c r="AB252" s="1406"/>
      <c r="AC252" s="1406"/>
      <c r="AD252" s="1406"/>
      <c r="AE252" s="1406"/>
      <c r="AF252" s="3" t="s">
        <v>1179</v>
      </c>
      <c r="AL252" s="4"/>
      <c r="AM252" s="4"/>
      <c r="AN252" s="4"/>
      <c r="AO252" s="4"/>
      <c r="AP252" s="4"/>
      <c r="AQ252" s="4"/>
      <c r="AR252" s="4"/>
      <c r="AS252" s="4"/>
      <c r="AT252" s="4"/>
      <c r="BN252" s="34"/>
    </row>
    <row r="253" spans="1:67" ht="12.95" customHeight="1">
      <c r="A253" s="19"/>
      <c r="B253" s="4"/>
      <c r="C253" s="4"/>
      <c r="D253" s="4" t="s">
        <v>580</v>
      </c>
      <c r="E253" s="4"/>
      <c r="M253" s="1405" t="s">
        <v>2629</v>
      </c>
      <c r="N253" s="1406"/>
      <c r="O253" s="1406"/>
      <c r="P253" s="1406"/>
      <c r="Q253" s="1406"/>
      <c r="R253" s="1406"/>
      <c r="S253" s="1406"/>
      <c r="T253" s="1406"/>
      <c r="V253" s="33" t="s">
        <v>86</v>
      </c>
      <c r="W253" s="1522" t="s">
        <v>2630</v>
      </c>
      <c r="X253" s="1460"/>
      <c r="Y253" s="4" t="s">
        <v>583</v>
      </c>
      <c r="AC253" s="1406">
        <v>95113</v>
      </c>
      <c r="AD253" s="1406"/>
      <c r="AE253" s="140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05" t="s">
        <v>2631</v>
      </c>
      <c r="N254" s="1406"/>
      <c r="O254" s="1406"/>
      <c r="P254" s="1406"/>
      <c r="Q254" s="1406"/>
      <c r="R254" s="1406"/>
      <c r="S254" s="1406"/>
      <c r="T254" s="1406"/>
      <c r="U254" s="1406"/>
      <c r="V254" s="1406"/>
      <c r="W254" s="1406"/>
      <c r="X254" s="1406"/>
      <c r="Y254" s="1406"/>
      <c r="Z254" s="1406"/>
      <c r="AA254" s="1406"/>
      <c r="AB254" s="1406"/>
      <c r="AC254" s="1406"/>
      <c r="AD254" s="1406"/>
      <c r="AE254" s="1406"/>
      <c r="AH254" s="1772">
        <v>49</v>
      </c>
      <c r="AI254" s="1772"/>
      <c r="AJ254" s="1772"/>
      <c r="AK254" s="1772"/>
      <c r="AL254" s="4"/>
      <c r="AM254" s="4"/>
      <c r="AN254" s="4"/>
      <c r="AO254" s="4"/>
      <c r="AP254" s="4"/>
      <c r="AQ254" s="4"/>
      <c r="AR254" s="4"/>
      <c r="AS254" s="4"/>
      <c r="AT254" s="4"/>
    </row>
    <row r="255" spans="1:67" ht="12.95" customHeight="1">
      <c r="A255" s="19"/>
      <c r="B255" s="4"/>
      <c r="C255" s="4"/>
      <c r="D255" s="4" t="s">
        <v>88</v>
      </c>
      <c r="E255" s="4"/>
      <c r="F255" s="4"/>
      <c r="M255" s="1415">
        <v>6695889123</v>
      </c>
      <c r="N255" s="1415"/>
      <c r="O255" s="1415"/>
      <c r="P255" s="1415"/>
      <c r="Q255" s="1415"/>
      <c r="R255" s="1415"/>
      <c r="S255" s="4" t="s">
        <v>205</v>
      </c>
      <c r="T255" s="4"/>
      <c r="U255" s="1460"/>
      <c r="V255" s="1460"/>
      <c r="W255" s="1460"/>
      <c r="X255" s="4" t="s">
        <v>89</v>
      </c>
      <c r="Z255" s="1415"/>
      <c r="AA255" s="1415"/>
      <c r="AB255" s="1415"/>
      <c r="AC255" s="1415"/>
      <c r="AD255" s="1415"/>
      <c r="AE255" s="1415"/>
      <c r="AU255" s="4"/>
      <c r="AV255" s="4"/>
      <c r="AW255" s="4"/>
      <c r="AX255" s="4"/>
      <c r="AY255" s="4"/>
      <c r="BN255" s="34"/>
    </row>
    <row r="256" spans="1:67" ht="12.95" customHeight="1">
      <c r="A256" s="19"/>
      <c r="B256" s="4"/>
      <c r="C256" s="4"/>
      <c r="D256" s="4" t="s">
        <v>90</v>
      </c>
      <c r="E256" s="4"/>
      <c r="F256" s="4"/>
      <c r="M256" s="1774" t="s">
        <v>2632</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61" t="s">
        <v>534</v>
      </c>
      <c r="N257" s="1461"/>
      <c r="O257" s="1461"/>
      <c r="P257" s="1461"/>
      <c r="Q257" s="1461"/>
      <c r="R257" s="1461"/>
      <c r="S257" s="1461"/>
      <c r="T257" s="1461"/>
      <c r="U257" s="205" t="s">
        <v>906</v>
      </c>
      <c r="V257" s="205"/>
      <c r="W257" s="205"/>
      <c r="X257" s="205"/>
      <c r="Y257" s="205"/>
      <c r="Z257" s="205"/>
      <c r="AA257" s="1769" t="s">
        <v>2633</v>
      </c>
      <c r="AB257" s="1770"/>
      <c r="AC257" s="1770"/>
      <c r="AD257" s="1770"/>
      <c r="AE257" s="1770"/>
      <c r="AF257" s="1770"/>
      <c r="AG257" s="1770"/>
      <c r="AH257" s="1770"/>
      <c r="AI257" s="1770"/>
      <c r="AJ257" s="1770"/>
      <c r="AK257" s="177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09"/>
      <c r="N259" s="1409"/>
      <c r="O259" s="1409"/>
      <c r="P259" s="1409"/>
      <c r="Q259" s="1409"/>
      <c r="R259" s="1409"/>
      <c r="S259" s="1409"/>
      <c r="T259" s="1409"/>
      <c r="U259" s="1409"/>
      <c r="V259" s="1409"/>
      <c r="W259" s="1409"/>
      <c r="X259" s="1409"/>
      <c r="Y259" s="1409"/>
      <c r="Z259" s="1409"/>
      <c r="AA259" s="1409"/>
      <c r="AB259" s="1409"/>
      <c r="AC259" s="1409"/>
      <c r="AD259" s="1409"/>
      <c r="AE259" s="1409"/>
      <c r="AF259" s="1409" t="s">
        <v>306</v>
      </c>
      <c r="AG259" s="1409"/>
      <c r="AH259" s="1409"/>
      <c r="AI259" s="1409"/>
      <c r="AJ259" s="1409"/>
      <c r="AK259" s="140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06"/>
      <c r="N260" s="1406"/>
      <c r="O260" s="1406"/>
      <c r="P260" s="1406"/>
      <c r="Q260" s="1406"/>
      <c r="R260" s="1406"/>
      <c r="S260" s="1406"/>
      <c r="T260" s="1406"/>
      <c r="U260" s="1406"/>
      <c r="V260" s="1406"/>
      <c r="W260" s="1406"/>
      <c r="X260" s="1406"/>
      <c r="Y260" s="1406"/>
      <c r="Z260" s="1406"/>
      <c r="AA260" s="1406"/>
      <c r="AB260" s="1406"/>
      <c r="AC260" s="1406"/>
      <c r="AD260" s="1406"/>
      <c r="AE260" s="140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06"/>
      <c r="N261" s="1406"/>
      <c r="O261" s="1406"/>
      <c r="P261" s="1406"/>
      <c r="Q261" s="1406"/>
      <c r="R261" s="1406"/>
      <c r="S261" s="1406"/>
      <c r="T261" s="1406"/>
      <c r="V261" s="33" t="s">
        <v>86</v>
      </c>
      <c r="W261" s="1460"/>
      <c r="X261" s="1460"/>
      <c r="Y261" s="4" t="s">
        <v>583</v>
      </c>
      <c r="AC261" s="1406"/>
      <c r="AD261" s="1406"/>
      <c r="AE261" s="140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6"/>
      <c r="N262" s="1406"/>
      <c r="O262" s="1406"/>
      <c r="P262" s="1406"/>
      <c r="Q262" s="1406"/>
      <c r="R262" s="1406"/>
      <c r="S262" s="1406"/>
      <c r="T262" s="1406"/>
      <c r="U262" s="1406"/>
      <c r="V262" s="1406"/>
      <c r="W262" s="1406"/>
      <c r="X262" s="1406"/>
      <c r="Y262" s="1406"/>
      <c r="Z262" s="1406"/>
      <c r="AA262" s="1406"/>
      <c r="AB262" s="1406"/>
      <c r="AC262" s="1406"/>
      <c r="AD262" s="1406"/>
      <c r="AE262" s="1406"/>
      <c r="AH262" s="1772"/>
      <c r="AI262" s="1772"/>
      <c r="AJ262" s="1772"/>
      <c r="AK262" s="177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15"/>
      <c r="N263" s="1415"/>
      <c r="O263" s="1415"/>
      <c r="P263" s="1415"/>
      <c r="Q263" s="1415"/>
      <c r="R263" s="1415"/>
      <c r="S263" s="4" t="s">
        <v>205</v>
      </c>
      <c r="T263" s="4"/>
      <c r="U263" s="1460"/>
      <c r="V263" s="1460"/>
      <c r="W263" s="1460"/>
      <c r="X263" s="4" t="s">
        <v>89</v>
      </c>
      <c r="Z263" s="1415"/>
      <c r="AA263" s="1415"/>
      <c r="AB263" s="1415"/>
      <c r="AC263" s="1415"/>
      <c r="AD263" s="1415"/>
      <c r="AE263" s="141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795"/>
      <c r="AB264" s="1795"/>
      <c r="AC264" s="1795"/>
      <c r="AD264" s="1795"/>
      <c r="AE264" s="179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61" t="s">
        <v>306</v>
      </c>
      <c r="N265" s="1461"/>
      <c r="O265" s="1461"/>
      <c r="P265" s="1461"/>
      <c r="Q265" s="1461"/>
      <c r="R265" s="1461"/>
      <c r="S265" s="1461"/>
      <c r="T265" s="1461"/>
      <c r="U265" s="205" t="s">
        <v>906</v>
      </c>
      <c r="V265" s="205"/>
      <c r="W265" s="205"/>
      <c r="X265" s="205"/>
      <c r="Y265" s="205"/>
      <c r="Z265" s="205"/>
      <c r="AA265" s="1771"/>
      <c r="AB265" s="1771"/>
      <c r="AC265" s="1771"/>
      <c r="AD265" s="1771"/>
      <c r="AE265" s="1771"/>
      <c r="AF265" s="1771"/>
      <c r="AG265" s="1771"/>
      <c r="AH265" s="1771"/>
      <c r="AI265" s="1771"/>
      <c r="AJ265" s="1771"/>
      <c r="AK265" s="177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3" t="str">
        <f>IFERROR(BO245,"")</f>
        <v>Nonprofit</v>
      </c>
      <c r="U267" s="1773"/>
      <c r="V267" s="1773"/>
      <c r="W267" s="1773"/>
      <c r="X267" s="1773"/>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06" t="s">
        <v>279</v>
      </c>
      <c r="E270" s="1406"/>
      <c r="F270" s="1406"/>
      <c r="G270" s="1406"/>
      <c r="H270" s="1406"/>
      <c r="J270" t="s">
        <v>278</v>
      </c>
      <c r="X270" s="1678"/>
      <c r="Y270" s="1678"/>
      <c r="Z270" s="1678"/>
      <c r="AA270" s="1678"/>
      <c r="AB270" s="1678"/>
      <c r="AC270" s="1678"/>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08" t="s">
        <v>2622</v>
      </c>
      <c r="M274" s="1409"/>
      <c r="N274" s="1409"/>
      <c r="O274" s="1409"/>
      <c r="P274" s="1409"/>
      <c r="Q274" s="1409"/>
      <c r="R274" s="1409"/>
      <c r="S274" s="1409"/>
      <c r="T274" s="1409"/>
      <c r="U274" s="1409"/>
      <c r="V274" s="1409"/>
      <c r="W274" s="1409"/>
      <c r="X274" s="1409"/>
      <c r="Y274" s="1409"/>
      <c r="Z274" s="1409"/>
      <c r="AA274" s="1409"/>
      <c r="AB274" s="1409"/>
      <c r="AC274" s="1409"/>
      <c r="AD274" s="1409"/>
      <c r="AE274" s="1409"/>
      <c r="AF274" s="1409"/>
      <c r="AG274" s="1409"/>
      <c r="AH274" s="1409"/>
      <c r="AI274" s="1409"/>
      <c r="AJ274" s="140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5" t="s">
        <v>2618</v>
      </c>
      <c r="M275" s="1406"/>
      <c r="N275" s="1406"/>
      <c r="O275" s="1406"/>
      <c r="P275" s="1406"/>
      <c r="Q275" s="1406"/>
      <c r="R275" s="1406"/>
      <c r="S275" s="1406"/>
      <c r="T275" s="1406"/>
      <c r="U275" s="1406"/>
      <c r="V275" s="1406"/>
      <c r="W275" s="1406"/>
      <c r="X275" s="1406"/>
      <c r="Y275" s="1406"/>
      <c r="Z275" s="1406"/>
      <c r="AA275" s="1406"/>
      <c r="AB275" s="1406"/>
      <c r="AC275" s="1406"/>
      <c r="AD275" s="1406"/>
      <c r="AK275" s="3"/>
      <c r="AL275" s="3"/>
      <c r="AM275" s="3"/>
      <c r="AN275" s="3"/>
      <c r="AO275" s="3"/>
      <c r="AP275" s="3"/>
      <c r="AQ275" s="3"/>
      <c r="AR275" s="3"/>
      <c r="AS275" s="3"/>
      <c r="AT275" s="3"/>
      <c r="AU275" s="3"/>
      <c r="AV275" s="3"/>
      <c r="AW275" s="3"/>
      <c r="AX275" s="3"/>
      <c r="AY275" s="3"/>
    </row>
    <row r="276" spans="1:51" ht="12.95" customHeight="1">
      <c r="D276" s="4" t="s">
        <v>580</v>
      </c>
      <c r="E276" s="4"/>
      <c r="L276" s="1405" t="s">
        <v>2619</v>
      </c>
      <c r="M276" s="1406"/>
      <c r="N276" s="1406"/>
      <c r="O276" s="1406"/>
      <c r="P276" s="1406"/>
      <c r="Q276" s="1406"/>
      <c r="R276" s="1406"/>
      <c r="S276" s="1406"/>
      <c r="U276" s="33" t="s">
        <v>86</v>
      </c>
      <c r="V276" s="1522" t="s">
        <v>2620</v>
      </c>
      <c r="W276" s="1460"/>
      <c r="X276" s="4" t="s">
        <v>583</v>
      </c>
      <c r="AB276" s="1406">
        <v>94541</v>
      </c>
      <c r="AC276" s="1406"/>
      <c r="AD276" s="140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5" t="s">
        <v>2634</v>
      </c>
      <c r="M277" s="1406"/>
      <c r="N277" s="1406"/>
      <c r="O277" s="1406"/>
      <c r="P277" s="1406"/>
      <c r="Q277" s="1406"/>
      <c r="R277" s="1406"/>
      <c r="S277" s="1406"/>
      <c r="T277" s="1406"/>
      <c r="U277" s="1406"/>
      <c r="V277" s="1406"/>
      <c r="W277" s="1406"/>
      <c r="X277" s="1406"/>
      <c r="Y277" s="1406"/>
      <c r="Z277" s="1406"/>
      <c r="AA277" s="1406"/>
      <c r="AB277" s="1406"/>
      <c r="AC277" s="1406"/>
      <c r="AD277" s="1406"/>
      <c r="AI277" s="4"/>
      <c r="AJ277" s="4"/>
      <c r="AK277" s="3"/>
      <c r="AL277" s="3"/>
      <c r="AM277" s="3"/>
      <c r="AN277" s="3"/>
      <c r="AO277" s="3"/>
      <c r="AP277" s="3"/>
      <c r="AQ277" s="3"/>
      <c r="AR277" s="3"/>
      <c r="AS277" s="3"/>
      <c r="AT277" s="3"/>
    </row>
    <row r="278" spans="1:51" ht="12.95" customHeight="1">
      <c r="D278" s="4" t="s">
        <v>88</v>
      </c>
      <c r="E278" s="4"/>
      <c r="F278" s="4"/>
      <c r="L278" s="1415">
        <v>5104614952</v>
      </c>
      <c r="M278" s="1415"/>
      <c r="N278" s="1415"/>
      <c r="O278" s="1415"/>
      <c r="P278" s="1415"/>
      <c r="Q278" s="1415"/>
      <c r="R278" s="4" t="s">
        <v>205</v>
      </c>
      <c r="S278" s="4"/>
      <c r="T278" s="1460"/>
      <c r="U278" s="1460"/>
      <c r="V278" s="1460"/>
      <c r="W278" s="4" t="s">
        <v>89</v>
      </c>
      <c r="Y278" s="1415"/>
      <c r="Z278" s="1415"/>
      <c r="AA278" s="1415"/>
      <c r="AB278" s="1415"/>
      <c r="AC278" s="1415"/>
      <c r="AD278" s="1415"/>
    </row>
    <row r="279" spans="1:51" ht="12.95" customHeight="1">
      <c r="D279" s="4" t="s">
        <v>90</v>
      </c>
      <c r="E279" s="4"/>
      <c r="F279" s="4"/>
      <c r="L279" s="1774" t="s">
        <v>2635</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row>
    <row r="280" spans="1:51" ht="12.95" customHeight="1">
      <c r="D280" s="3" t="s">
        <v>623</v>
      </c>
      <c r="E280" s="3"/>
      <c r="F280" s="3"/>
      <c r="G280" s="3"/>
      <c r="H280" s="3"/>
      <c r="I280" s="3"/>
      <c r="L280" s="1522" t="s">
        <v>2636</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51" t="s">
        <v>541</v>
      </c>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c r="AA282" s="1451"/>
      <c r="AB282" s="1451"/>
      <c r="AC282" s="1451"/>
      <c r="AD282" s="1451"/>
      <c r="AE282" s="1451"/>
      <c r="AF282" s="1451"/>
      <c r="AG282" s="1451"/>
      <c r="AH282" s="1451"/>
      <c r="AI282" s="1451"/>
      <c r="AJ282" s="1451"/>
      <c r="AK282" s="1451"/>
      <c r="AL282" s="1451"/>
      <c r="AM282" s="1451"/>
      <c r="AN282" s="1451"/>
      <c r="AO282" s="1451"/>
      <c r="AP282" s="1451"/>
      <c r="AQ282" s="1451"/>
      <c r="AR282" s="1451"/>
      <c r="AS282" s="1451"/>
      <c r="AT282" s="1451"/>
      <c r="AU282" s="95"/>
      <c r="AV282" s="95"/>
      <c r="AW282" s="95"/>
      <c r="AX282" s="95"/>
      <c r="AY282" s="95"/>
    </row>
    <row r="283" spans="1:51" ht="12.95" customHeight="1">
      <c r="A283" s="1451"/>
      <c r="B283" s="1451"/>
      <c r="C283" s="1451"/>
      <c r="D283" s="1451"/>
      <c r="E283" s="1451"/>
      <c r="F283" s="1451"/>
      <c r="G283" s="1451"/>
      <c r="H283" s="1451"/>
      <c r="I283" s="1451"/>
      <c r="J283" s="1451"/>
      <c r="K283" s="1451"/>
      <c r="L283" s="1451"/>
      <c r="M283" s="1451"/>
      <c r="N283" s="1451"/>
      <c r="O283" s="1451"/>
      <c r="P283" s="1451"/>
      <c r="Q283" s="1451"/>
      <c r="R283" s="1451"/>
      <c r="S283" s="1451"/>
      <c r="T283" s="1451"/>
      <c r="U283" s="1451"/>
      <c r="V283" s="1451"/>
      <c r="W283" s="1451"/>
      <c r="X283" s="1451"/>
      <c r="Y283" s="1451"/>
      <c r="Z283" s="1451"/>
      <c r="AA283" s="1451"/>
      <c r="AB283" s="1451"/>
      <c r="AC283" s="1451"/>
      <c r="AD283" s="1451"/>
      <c r="AE283" s="1451"/>
      <c r="AF283" s="1451"/>
      <c r="AG283" s="1451"/>
      <c r="AH283" s="1451"/>
      <c r="AI283" s="1451"/>
      <c r="AJ283" s="1451"/>
      <c r="AK283" s="1451"/>
      <c r="AL283" s="1451"/>
      <c r="AM283" s="1451"/>
      <c r="AN283" s="1451"/>
      <c r="AO283" s="1451"/>
      <c r="AP283" s="1451"/>
      <c r="AQ283" s="1451"/>
      <c r="AR283" s="1451"/>
      <c r="AS283" s="1451"/>
      <c r="AT283" s="145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5" t="s">
        <v>2622</v>
      </c>
      <c r="I287" s="1348"/>
      <c r="J287" s="1348"/>
      <c r="K287" s="1348"/>
      <c r="L287" s="1348"/>
      <c r="M287" s="1348"/>
      <c r="N287" s="1348"/>
      <c r="O287" s="1348"/>
      <c r="P287" s="1348"/>
      <c r="Q287" s="1348"/>
      <c r="R287" s="1348"/>
      <c r="T287" s="3" t="s">
        <v>567</v>
      </c>
      <c r="V287" s="3"/>
      <c r="W287" s="3"/>
      <c r="X287" s="3"/>
      <c r="Y287" s="3"/>
      <c r="AA287" s="1405" t="s">
        <v>2638</v>
      </c>
      <c r="AB287" s="1348"/>
      <c r="AC287" s="1348"/>
      <c r="AD287" s="1348"/>
      <c r="AE287" s="1348"/>
      <c r="AF287" s="1348"/>
      <c r="AG287" s="1348"/>
      <c r="AH287" s="1348"/>
      <c r="AI287" s="1348"/>
      <c r="AJ287" s="1348"/>
      <c r="AK287" s="1348"/>
    </row>
    <row r="288" spans="1:51" ht="12.95" customHeight="1">
      <c r="B288" s="3" t="s">
        <v>471</v>
      </c>
      <c r="C288" s="3"/>
      <c r="D288" s="3"/>
      <c r="E288" s="3"/>
      <c r="F288" s="3"/>
      <c r="H288" s="1522" t="s">
        <v>2618</v>
      </c>
      <c r="I288" s="1461"/>
      <c r="J288" s="1461"/>
      <c r="K288" s="1461"/>
      <c r="L288" s="1461"/>
      <c r="M288" s="1461"/>
      <c r="N288" s="1461"/>
      <c r="O288" s="1461"/>
      <c r="P288" s="1461"/>
      <c r="Q288" s="1461"/>
      <c r="R288" s="1461"/>
      <c r="T288" s="3" t="s">
        <v>471</v>
      </c>
      <c r="V288" s="3"/>
      <c r="W288" s="3"/>
      <c r="X288" s="3"/>
      <c r="Y288" s="3"/>
      <c r="AA288" s="1522" t="s">
        <v>2639</v>
      </c>
      <c r="AB288" s="1461"/>
      <c r="AC288" s="1461"/>
      <c r="AD288" s="1461"/>
      <c r="AE288" s="1461"/>
      <c r="AF288" s="1461"/>
      <c r="AG288" s="1461"/>
      <c r="AH288" s="1461"/>
      <c r="AI288" s="1461"/>
      <c r="AJ288" s="1461"/>
      <c r="AK288" s="1461"/>
    </row>
    <row r="289" spans="2:37" ht="12.95" customHeight="1">
      <c r="B289" s="3" t="s">
        <v>472</v>
      </c>
      <c r="C289" s="3"/>
      <c r="D289" s="3"/>
      <c r="E289" s="3"/>
      <c r="F289" s="3"/>
      <c r="H289" s="1522" t="s">
        <v>2637</v>
      </c>
      <c r="I289" s="1461"/>
      <c r="J289" s="1461"/>
      <c r="K289" s="1461"/>
      <c r="L289" s="1461"/>
      <c r="M289" s="1461"/>
      <c r="N289" s="1461"/>
      <c r="O289" s="1461"/>
      <c r="P289" s="1461"/>
      <c r="Q289" s="1461"/>
      <c r="R289" s="1461"/>
      <c r="T289" s="3" t="s">
        <v>75</v>
      </c>
      <c r="V289" s="3"/>
      <c r="W289" s="3"/>
      <c r="X289" s="3"/>
      <c r="Y289" s="3"/>
      <c r="AA289" s="1522" t="s">
        <v>2640</v>
      </c>
      <c r="AB289" s="1461"/>
      <c r="AC289" s="1461"/>
      <c r="AD289" s="1461"/>
      <c r="AE289" s="1461"/>
      <c r="AF289" s="1461"/>
      <c r="AG289" s="1461"/>
      <c r="AH289" s="1461"/>
      <c r="AI289" s="1461"/>
      <c r="AJ289" s="1461"/>
      <c r="AK289" s="1461"/>
    </row>
    <row r="290" spans="2:37" ht="12.95" customHeight="1">
      <c r="B290" s="3" t="s">
        <v>87</v>
      </c>
      <c r="C290" s="3"/>
      <c r="D290" s="3"/>
      <c r="E290" s="3"/>
      <c r="F290" s="3"/>
      <c r="H290" s="1522" t="s">
        <v>2612</v>
      </c>
      <c r="I290" s="1461"/>
      <c r="J290" s="1461"/>
      <c r="K290" s="1461"/>
      <c r="L290" s="1461"/>
      <c r="M290" s="1461"/>
      <c r="N290" s="1461"/>
      <c r="O290" s="1461"/>
      <c r="P290" s="1461"/>
      <c r="Q290" s="1461"/>
      <c r="R290" s="1461"/>
      <c r="T290" s="3" t="s">
        <v>87</v>
      </c>
      <c r="V290" s="3"/>
      <c r="W290" s="3"/>
      <c r="X290" s="3"/>
      <c r="Y290" s="3"/>
      <c r="AA290" s="1522" t="s">
        <v>2641</v>
      </c>
      <c r="AB290" s="1461"/>
      <c r="AC290" s="1461"/>
      <c r="AD290" s="1461"/>
      <c r="AE290" s="1461"/>
      <c r="AF290" s="1461"/>
      <c r="AG290" s="1461"/>
      <c r="AH290" s="1461"/>
      <c r="AI290" s="1461"/>
      <c r="AJ290" s="1461"/>
      <c r="AK290" s="1461"/>
    </row>
    <row r="291" spans="2:37" ht="12.95" customHeight="1">
      <c r="B291" s="3" t="s">
        <v>88</v>
      </c>
      <c r="C291" s="3"/>
      <c r="D291" s="3"/>
      <c r="E291" s="3"/>
      <c r="F291" s="3"/>
      <c r="G291" s="3"/>
      <c r="H291" s="1452">
        <v>5102479103</v>
      </c>
      <c r="I291" s="1452"/>
      <c r="J291" s="1452"/>
      <c r="K291" s="1452"/>
      <c r="L291" s="1452"/>
      <c r="M291" s="1452"/>
      <c r="N291" s="4" t="s">
        <v>205</v>
      </c>
      <c r="O291" s="4"/>
      <c r="P291" s="1406"/>
      <c r="Q291" s="1406"/>
      <c r="R291" s="1406"/>
      <c r="S291" s="3"/>
      <c r="T291" s="3" t="s">
        <v>88</v>
      </c>
      <c r="V291" s="3"/>
      <c r="W291" s="3"/>
      <c r="X291" s="3"/>
      <c r="Y291" s="3"/>
      <c r="AA291" s="1452">
        <v>4159676818</v>
      </c>
      <c r="AB291" s="1452"/>
      <c r="AC291" s="1452"/>
      <c r="AD291" s="1452"/>
      <c r="AE291" s="1452"/>
      <c r="AF291" s="1452"/>
      <c r="AG291" s="4" t="s">
        <v>205</v>
      </c>
      <c r="AH291" s="4"/>
      <c r="AI291" s="1406"/>
      <c r="AJ291" s="1406"/>
      <c r="AK291" s="1406"/>
    </row>
    <row r="292" spans="2:37" ht="12.95" customHeight="1">
      <c r="B292" s="3" t="s">
        <v>89</v>
      </c>
      <c r="C292" s="3"/>
      <c r="D292" s="3"/>
      <c r="E292" s="3"/>
      <c r="F292" s="3"/>
      <c r="G292" s="3"/>
      <c r="H292" s="1415"/>
      <c r="I292" s="1415"/>
      <c r="J292" s="1415"/>
      <c r="K292" s="1415"/>
      <c r="L292" s="1415"/>
      <c r="M292" s="1415"/>
      <c r="N292" s="4"/>
      <c r="O292" s="4"/>
      <c r="P292" s="35"/>
      <c r="Q292" s="35"/>
      <c r="R292" s="35"/>
      <c r="S292" s="3"/>
      <c r="T292" s="3" t="s">
        <v>89</v>
      </c>
      <c r="V292" s="3"/>
      <c r="W292" s="3"/>
      <c r="X292" s="3"/>
      <c r="Y292" s="3"/>
      <c r="AA292" s="1415"/>
      <c r="AB292" s="1415"/>
      <c r="AC292" s="1415"/>
      <c r="AD292" s="1415"/>
      <c r="AE292" s="1415"/>
      <c r="AF292" s="1415"/>
      <c r="AG292" s="4"/>
      <c r="AH292" s="4"/>
      <c r="AI292" s="35"/>
      <c r="AJ292" s="35"/>
      <c r="AK292" s="35"/>
    </row>
    <row r="293" spans="2:37" ht="12.95" customHeight="1">
      <c r="B293" s="3" t="s">
        <v>76</v>
      </c>
      <c r="C293" s="3"/>
      <c r="D293" s="3"/>
      <c r="E293" s="3"/>
      <c r="F293" s="3"/>
      <c r="G293" s="3"/>
      <c r="H293" s="1522" t="s">
        <v>2621</v>
      </c>
      <c r="I293" s="1461"/>
      <c r="J293" s="1461"/>
      <c r="K293" s="1461"/>
      <c r="L293" s="1461"/>
      <c r="M293" s="1461"/>
      <c r="N293" s="1348"/>
      <c r="O293" s="1348"/>
      <c r="P293" s="1348"/>
      <c r="Q293" s="1348"/>
      <c r="R293" s="1348"/>
      <c r="S293" s="3"/>
      <c r="T293" s="3" t="s">
        <v>76</v>
      </c>
      <c r="V293" s="3"/>
      <c r="W293" s="3"/>
      <c r="X293" s="3"/>
      <c r="Y293" s="3"/>
      <c r="AA293" s="1522" t="s">
        <v>2642</v>
      </c>
      <c r="AB293" s="1461"/>
      <c r="AC293" s="1461"/>
      <c r="AD293" s="1461"/>
      <c r="AE293" s="1461"/>
      <c r="AF293" s="1461"/>
      <c r="AG293" s="1348"/>
      <c r="AH293" s="1348"/>
      <c r="AI293" s="1348"/>
      <c r="AJ293" s="1348"/>
      <c r="AK293" s="134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5" t="s">
        <v>2643</v>
      </c>
      <c r="I295" s="1348"/>
      <c r="J295" s="1348"/>
      <c r="K295" s="1348"/>
      <c r="L295" s="1348"/>
      <c r="M295" s="1348"/>
      <c r="N295" s="1348"/>
      <c r="O295" s="1348"/>
      <c r="P295" s="1348"/>
      <c r="Q295" s="1348"/>
      <c r="R295" s="1348"/>
      <c r="T295" s="3" t="s">
        <v>363</v>
      </c>
      <c r="V295" s="3"/>
      <c r="W295" s="3"/>
      <c r="X295" s="3"/>
      <c r="Y295" s="3"/>
      <c r="AA295" s="1405" t="s">
        <v>2648</v>
      </c>
      <c r="AB295" s="1348"/>
      <c r="AC295" s="1348"/>
      <c r="AD295" s="1348"/>
      <c r="AE295" s="1348"/>
      <c r="AF295" s="1348"/>
      <c r="AG295" s="1348"/>
      <c r="AH295" s="1348"/>
      <c r="AI295" s="1348"/>
      <c r="AJ295" s="1348"/>
      <c r="AK295" s="1348"/>
    </row>
    <row r="296" spans="2:37" ht="12.95" customHeight="1">
      <c r="B296" s="3" t="s">
        <v>471</v>
      </c>
      <c r="C296" s="3"/>
      <c r="D296" s="3"/>
      <c r="E296" s="3"/>
      <c r="F296" s="3"/>
      <c r="H296" s="1522" t="s">
        <v>2644</v>
      </c>
      <c r="I296" s="1461"/>
      <c r="J296" s="1461"/>
      <c r="K296" s="1461"/>
      <c r="L296" s="1461"/>
      <c r="M296" s="1461"/>
      <c r="N296" s="1461"/>
      <c r="O296" s="1461"/>
      <c r="P296" s="1461"/>
      <c r="Q296" s="1461"/>
      <c r="R296" s="1461"/>
      <c r="T296" s="3" t="s">
        <v>471</v>
      </c>
      <c r="V296" s="3"/>
      <c r="W296" s="3"/>
      <c r="X296" s="3"/>
      <c r="Y296" s="3"/>
      <c r="AA296" s="1522" t="s">
        <v>2649</v>
      </c>
      <c r="AB296" s="1461"/>
      <c r="AC296" s="1461"/>
      <c r="AD296" s="1461"/>
      <c r="AE296" s="1461"/>
      <c r="AF296" s="1461"/>
      <c r="AG296" s="1461"/>
      <c r="AH296" s="1461"/>
      <c r="AI296" s="1461"/>
      <c r="AJ296" s="1461"/>
      <c r="AK296" s="1461"/>
    </row>
    <row r="297" spans="2:37" ht="12.95" customHeight="1">
      <c r="B297" s="3" t="s">
        <v>472</v>
      </c>
      <c r="C297" s="3"/>
      <c r="D297" s="3"/>
      <c r="E297" s="3"/>
      <c r="F297" s="3"/>
      <c r="H297" s="1522" t="s">
        <v>2645</v>
      </c>
      <c r="I297" s="1461"/>
      <c r="J297" s="1461"/>
      <c r="K297" s="1461"/>
      <c r="L297" s="1461"/>
      <c r="M297" s="1461"/>
      <c r="N297" s="1461"/>
      <c r="O297" s="1461"/>
      <c r="P297" s="1461"/>
      <c r="Q297" s="1461"/>
      <c r="R297" s="1461"/>
      <c r="T297" s="3" t="s">
        <v>75</v>
      </c>
      <c r="V297" s="3"/>
      <c r="W297" s="3"/>
      <c r="X297" s="3"/>
      <c r="Y297" s="3"/>
      <c r="AA297" s="1522" t="s">
        <v>2650</v>
      </c>
      <c r="AB297" s="1461"/>
      <c r="AC297" s="1461"/>
      <c r="AD297" s="1461"/>
      <c r="AE297" s="1461"/>
      <c r="AF297" s="1461"/>
      <c r="AG297" s="1461"/>
      <c r="AH297" s="1461"/>
      <c r="AI297" s="1461"/>
      <c r="AJ297" s="1461"/>
      <c r="AK297" s="1461"/>
    </row>
    <row r="298" spans="2:37" ht="12.95" customHeight="1">
      <c r="B298" s="3" t="s">
        <v>87</v>
      </c>
      <c r="C298" s="3"/>
      <c r="D298" s="3"/>
      <c r="E298" s="3"/>
      <c r="F298" s="3"/>
      <c r="H298" s="1522" t="s">
        <v>2646</v>
      </c>
      <c r="I298" s="1461"/>
      <c r="J298" s="1461"/>
      <c r="K298" s="1461"/>
      <c r="L298" s="1461"/>
      <c r="M298" s="1461"/>
      <c r="N298" s="1461"/>
      <c r="O298" s="1461"/>
      <c r="P298" s="1461"/>
      <c r="Q298" s="1461"/>
      <c r="R298" s="1461"/>
      <c r="T298" s="3" t="s">
        <v>87</v>
      </c>
      <c r="V298" s="3"/>
      <c r="W298" s="3"/>
      <c r="X298" s="3"/>
      <c r="Y298" s="3"/>
      <c r="AA298" s="1522" t="s">
        <v>2651</v>
      </c>
      <c r="AB298" s="1461"/>
      <c r="AC298" s="1461"/>
      <c r="AD298" s="1461"/>
      <c r="AE298" s="1461"/>
      <c r="AF298" s="1461"/>
      <c r="AG298" s="1461"/>
      <c r="AH298" s="1461"/>
      <c r="AI298" s="1461"/>
      <c r="AJ298" s="1461"/>
      <c r="AK298" s="1461"/>
    </row>
    <row r="299" spans="2:37" ht="12.95" customHeight="1">
      <c r="B299" s="3" t="s">
        <v>88</v>
      </c>
      <c r="C299" s="3"/>
      <c r="D299" s="3"/>
      <c r="E299" s="3"/>
      <c r="F299" s="3"/>
      <c r="G299" s="3"/>
      <c r="H299" s="1452">
        <v>4152625175</v>
      </c>
      <c r="I299" s="1452"/>
      <c r="J299" s="1452"/>
      <c r="K299" s="1452"/>
      <c r="L299" s="1452"/>
      <c r="M299" s="1452"/>
      <c r="N299" s="4" t="s">
        <v>205</v>
      </c>
      <c r="O299" s="4"/>
      <c r="P299" s="1406"/>
      <c r="Q299" s="1406"/>
      <c r="R299" s="1406"/>
      <c r="S299" s="3"/>
      <c r="T299" s="3" t="s">
        <v>88</v>
      </c>
      <c r="V299" s="3"/>
      <c r="W299" s="3"/>
      <c r="X299" s="3"/>
      <c r="Y299" s="3"/>
      <c r="AA299" s="1452">
        <v>9258200600</v>
      </c>
      <c r="AB299" s="1452"/>
      <c r="AC299" s="1452"/>
      <c r="AD299" s="1452"/>
      <c r="AE299" s="1452"/>
      <c r="AF299" s="1452"/>
      <c r="AG299" s="4" t="s">
        <v>205</v>
      </c>
      <c r="AH299" s="4"/>
      <c r="AI299" s="1406"/>
      <c r="AJ299" s="1406"/>
      <c r="AK299" s="1406"/>
    </row>
    <row r="300" spans="2:37" ht="12.95" customHeight="1">
      <c r="B300" s="3" t="s">
        <v>89</v>
      </c>
      <c r="C300" s="3"/>
      <c r="D300" s="3"/>
      <c r="E300" s="3"/>
      <c r="F300" s="3"/>
      <c r="G300" s="3"/>
      <c r="H300" s="1415"/>
      <c r="I300" s="1415"/>
      <c r="J300" s="1415"/>
      <c r="K300" s="1415"/>
      <c r="L300" s="1415"/>
      <c r="M300" s="1415"/>
      <c r="N300" s="4"/>
      <c r="O300" s="4"/>
      <c r="P300" s="35"/>
      <c r="Q300" s="35"/>
      <c r="R300" s="35"/>
      <c r="S300" s="3"/>
      <c r="T300" s="3" t="s">
        <v>89</v>
      </c>
      <c r="V300" s="3"/>
      <c r="W300" s="3"/>
      <c r="X300" s="3"/>
      <c r="Y300" s="3"/>
      <c r="AA300" s="1415"/>
      <c r="AB300" s="1415"/>
      <c r="AC300" s="1415"/>
      <c r="AD300" s="1415"/>
      <c r="AE300" s="1415"/>
      <c r="AF300" s="1415"/>
      <c r="AG300" s="4"/>
      <c r="AH300" s="4"/>
      <c r="AI300" s="35"/>
      <c r="AJ300" s="35"/>
      <c r="AK300" s="35"/>
    </row>
    <row r="301" spans="2:37" ht="12.95" customHeight="1">
      <c r="B301" s="3" t="s">
        <v>76</v>
      </c>
      <c r="C301" s="3"/>
      <c r="D301" s="3"/>
      <c r="E301" s="3"/>
      <c r="F301" s="3"/>
      <c r="G301" s="3"/>
      <c r="H301" s="1522" t="s">
        <v>2647</v>
      </c>
      <c r="I301" s="1461"/>
      <c r="J301" s="1461"/>
      <c r="K301" s="1461"/>
      <c r="L301" s="1461"/>
      <c r="M301" s="1461"/>
      <c r="N301" s="1348"/>
      <c r="O301" s="1348"/>
      <c r="P301" s="1348"/>
      <c r="Q301" s="1348"/>
      <c r="R301" s="1348"/>
      <c r="S301" s="3"/>
      <c r="T301" s="3" t="s">
        <v>76</v>
      </c>
      <c r="V301" s="3"/>
      <c r="W301" s="3"/>
      <c r="X301" s="3"/>
      <c r="Y301" s="3"/>
      <c r="AA301" s="1522" t="s">
        <v>2652</v>
      </c>
      <c r="AB301" s="1461"/>
      <c r="AC301" s="1461"/>
      <c r="AD301" s="1461"/>
      <c r="AE301" s="1461"/>
      <c r="AF301" s="1461"/>
      <c r="AG301" s="1348"/>
      <c r="AH301" s="1348"/>
      <c r="AI301" s="1348"/>
      <c r="AJ301" s="1348"/>
      <c r="AK301" s="1348"/>
    </row>
    <row r="302" spans="2:37" ht="12.95" customHeight="1"/>
    <row r="303" spans="2:37" ht="12.95" customHeight="1">
      <c r="B303" s="3" t="s">
        <v>77</v>
      </c>
      <c r="C303" s="3"/>
      <c r="D303" s="3"/>
      <c r="E303" s="3"/>
      <c r="F303" s="3"/>
      <c r="H303" s="1405" t="s">
        <v>2643</v>
      </c>
      <c r="I303" s="1348"/>
      <c r="J303" s="1348"/>
      <c r="K303" s="1348"/>
      <c r="L303" s="1348"/>
      <c r="M303" s="1348"/>
      <c r="N303" s="1348"/>
      <c r="O303" s="1348"/>
      <c r="P303" s="1348"/>
      <c r="Q303" s="1348"/>
      <c r="R303" s="1348"/>
      <c r="T303" s="4" t="s">
        <v>878</v>
      </c>
      <c r="V303" s="3"/>
      <c r="W303" s="3"/>
      <c r="X303" s="3"/>
      <c r="Y303" s="3"/>
      <c r="AA303" s="1405" t="s">
        <v>2653</v>
      </c>
      <c r="AB303" s="1348"/>
      <c r="AC303" s="1348"/>
      <c r="AD303" s="1348"/>
      <c r="AE303" s="1348"/>
      <c r="AF303" s="1348"/>
      <c r="AG303" s="1348"/>
      <c r="AH303" s="1348"/>
      <c r="AI303" s="1348"/>
      <c r="AJ303" s="1348"/>
      <c r="AK303" s="1348"/>
    </row>
    <row r="304" spans="2:37" ht="12.95" customHeight="1">
      <c r="B304" s="3" t="s">
        <v>471</v>
      </c>
      <c r="C304" s="3"/>
      <c r="D304" s="3"/>
      <c r="E304" s="3"/>
      <c r="F304" s="3"/>
      <c r="H304" s="1522" t="s">
        <v>2644</v>
      </c>
      <c r="I304" s="1461"/>
      <c r="J304" s="1461"/>
      <c r="K304" s="1461"/>
      <c r="L304" s="1461"/>
      <c r="M304" s="1461"/>
      <c r="N304" s="1461"/>
      <c r="O304" s="1461"/>
      <c r="P304" s="1461"/>
      <c r="Q304" s="1461"/>
      <c r="R304" s="1461"/>
      <c r="T304" s="3" t="s">
        <v>471</v>
      </c>
      <c r="V304" s="3"/>
      <c r="W304" s="3"/>
      <c r="X304" s="3"/>
      <c r="Y304" s="3"/>
      <c r="AA304" s="1522" t="s">
        <v>2654</v>
      </c>
      <c r="AB304" s="1461"/>
      <c r="AC304" s="1461"/>
      <c r="AD304" s="1461"/>
      <c r="AE304" s="1461"/>
      <c r="AF304" s="1461"/>
      <c r="AG304" s="1461"/>
      <c r="AH304" s="1461"/>
      <c r="AI304" s="1461"/>
      <c r="AJ304" s="1461"/>
      <c r="AK304" s="1461"/>
    </row>
    <row r="305" spans="2:37" ht="12.95" customHeight="1">
      <c r="B305" s="3" t="s">
        <v>472</v>
      </c>
      <c r="C305" s="3"/>
      <c r="D305" s="3"/>
      <c r="E305" s="3"/>
      <c r="F305" s="3"/>
      <c r="H305" s="1522" t="s">
        <v>2645</v>
      </c>
      <c r="I305" s="1461"/>
      <c r="J305" s="1461"/>
      <c r="K305" s="1461"/>
      <c r="L305" s="1461"/>
      <c r="M305" s="1461"/>
      <c r="N305" s="1461"/>
      <c r="O305" s="1461"/>
      <c r="P305" s="1461"/>
      <c r="Q305" s="1461"/>
      <c r="R305" s="1461"/>
      <c r="T305" s="3" t="s">
        <v>75</v>
      </c>
      <c r="V305" s="3"/>
      <c r="W305" s="3"/>
      <c r="X305" s="3"/>
      <c r="Y305" s="3"/>
      <c r="AA305" s="1522" t="s">
        <v>2655</v>
      </c>
      <c r="AB305" s="1461"/>
      <c r="AC305" s="1461"/>
      <c r="AD305" s="1461"/>
      <c r="AE305" s="1461"/>
      <c r="AF305" s="1461"/>
      <c r="AG305" s="1461"/>
      <c r="AH305" s="1461"/>
      <c r="AI305" s="1461"/>
      <c r="AJ305" s="1461"/>
      <c r="AK305" s="1461"/>
    </row>
    <row r="306" spans="2:37" ht="12.95" customHeight="1">
      <c r="B306" s="3" t="s">
        <v>87</v>
      </c>
      <c r="C306" s="3"/>
      <c r="D306" s="3"/>
      <c r="E306" s="3"/>
      <c r="F306" s="3"/>
      <c r="H306" s="1522" t="s">
        <v>2646</v>
      </c>
      <c r="I306" s="1461"/>
      <c r="J306" s="1461"/>
      <c r="K306" s="1461"/>
      <c r="L306" s="1461"/>
      <c r="M306" s="1461"/>
      <c r="N306" s="1461"/>
      <c r="O306" s="1461"/>
      <c r="P306" s="1461"/>
      <c r="Q306" s="1461"/>
      <c r="R306" s="1461"/>
      <c r="T306" s="3" t="s">
        <v>87</v>
      </c>
      <c r="V306" s="3"/>
      <c r="W306" s="3"/>
      <c r="X306" s="3"/>
      <c r="Y306" s="3"/>
      <c r="AA306" s="1522" t="s">
        <v>2656</v>
      </c>
      <c r="AB306" s="1461"/>
      <c r="AC306" s="1461"/>
      <c r="AD306" s="1461"/>
      <c r="AE306" s="1461"/>
      <c r="AF306" s="1461"/>
      <c r="AG306" s="1461"/>
      <c r="AH306" s="1461"/>
      <c r="AI306" s="1461"/>
      <c r="AJ306" s="1461"/>
      <c r="AK306" s="1461"/>
    </row>
    <row r="307" spans="2:37" ht="12.95" customHeight="1">
      <c r="B307" s="3" t="s">
        <v>88</v>
      </c>
      <c r="C307" s="3"/>
      <c r="D307" s="3"/>
      <c r="E307" s="3"/>
      <c r="F307" s="3"/>
      <c r="G307" s="3"/>
      <c r="H307" s="1452">
        <v>4152625175</v>
      </c>
      <c r="I307" s="1452"/>
      <c r="J307" s="1452"/>
      <c r="K307" s="1452"/>
      <c r="L307" s="1452"/>
      <c r="M307" s="1452"/>
      <c r="N307" s="4" t="s">
        <v>205</v>
      </c>
      <c r="O307" s="4"/>
      <c r="P307" s="1406"/>
      <c r="Q307" s="1406"/>
      <c r="R307" s="1406"/>
      <c r="S307" s="3"/>
      <c r="T307" s="3" t="s">
        <v>88</v>
      </c>
      <c r="V307" s="3"/>
      <c r="W307" s="3"/>
      <c r="X307" s="3"/>
      <c r="Y307" s="3"/>
      <c r="AA307" s="1452">
        <v>5104590170</v>
      </c>
      <c r="AB307" s="1452"/>
      <c r="AC307" s="1452"/>
      <c r="AD307" s="1452"/>
      <c r="AE307" s="1452"/>
      <c r="AF307" s="1452"/>
      <c r="AG307" s="4" t="s">
        <v>205</v>
      </c>
      <c r="AH307" s="4"/>
      <c r="AI307" s="1406"/>
      <c r="AJ307" s="1406"/>
      <c r="AK307" s="1406"/>
    </row>
    <row r="308" spans="2:37" ht="12.95" customHeight="1">
      <c r="B308" s="3" t="s">
        <v>89</v>
      </c>
      <c r="C308" s="3"/>
      <c r="D308" s="3"/>
      <c r="E308" s="3"/>
      <c r="F308" s="3"/>
      <c r="G308" s="3"/>
      <c r="H308" s="1415"/>
      <c r="I308" s="1415"/>
      <c r="J308" s="1415"/>
      <c r="K308" s="1415"/>
      <c r="L308" s="1415"/>
      <c r="M308" s="1415"/>
      <c r="N308" s="4"/>
      <c r="O308" s="4"/>
      <c r="P308" s="35"/>
      <c r="Q308" s="35"/>
      <c r="R308" s="35"/>
      <c r="S308" s="3"/>
      <c r="T308" s="3" t="s">
        <v>89</v>
      </c>
      <c r="V308" s="3"/>
      <c r="W308" s="3"/>
      <c r="X308" s="3"/>
      <c r="Y308" s="3"/>
      <c r="AA308" s="1415"/>
      <c r="AB308" s="1415"/>
      <c r="AC308" s="1415"/>
      <c r="AD308" s="1415"/>
      <c r="AE308" s="1415"/>
      <c r="AF308" s="1415"/>
      <c r="AG308" s="4"/>
      <c r="AH308" s="4"/>
      <c r="AI308" s="35"/>
      <c r="AJ308" s="35"/>
      <c r="AK308" s="35"/>
    </row>
    <row r="309" spans="2:37" ht="12.95" customHeight="1">
      <c r="B309" s="3" t="s">
        <v>76</v>
      </c>
      <c r="C309" s="3"/>
      <c r="D309" s="3"/>
      <c r="E309" s="3"/>
      <c r="F309" s="3"/>
      <c r="G309" s="3"/>
      <c r="H309" s="1522" t="s">
        <v>2647</v>
      </c>
      <c r="I309" s="1461"/>
      <c r="J309" s="1461"/>
      <c r="K309" s="1461"/>
      <c r="L309" s="1461"/>
      <c r="M309" s="1461"/>
      <c r="N309" s="1348"/>
      <c r="O309" s="1348"/>
      <c r="P309" s="1348"/>
      <c r="Q309" s="1348"/>
      <c r="R309" s="1348"/>
      <c r="S309" s="3"/>
      <c r="T309" s="3" t="s">
        <v>76</v>
      </c>
      <c r="V309" s="3"/>
      <c r="W309" s="3"/>
      <c r="X309" s="3"/>
      <c r="Y309" s="3"/>
      <c r="AA309" s="1522" t="s">
        <v>2657</v>
      </c>
      <c r="AB309" s="1461"/>
      <c r="AC309" s="1461"/>
      <c r="AD309" s="1461"/>
      <c r="AE309" s="1461"/>
      <c r="AF309" s="1461"/>
      <c r="AG309" s="1348"/>
      <c r="AH309" s="1348"/>
      <c r="AI309" s="1348"/>
      <c r="AJ309" s="1348"/>
      <c r="AK309" s="134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5" t="s">
        <v>2658</v>
      </c>
      <c r="I311" s="1348"/>
      <c r="J311" s="1348"/>
      <c r="K311" s="1348"/>
      <c r="L311" s="1348"/>
      <c r="M311" s="1348"/>
      <c r="N311" s="1348"/>
      <c r="O311" s="1348"/>
      <c r="P311" s="1348"/>
      <c r="Q311" s="1348"/>
      <c r="R311" s="1348"/>
      <c r="S311" s="3"/>
      <c r="T311" s="3" t="s">
        <v>364</v>
      </c>
      <c r="V311" s="3"/>
      <c r="W311" s="3"/>
      <c r="X311" s="3"/>
      <c r="Y311" s="3"/>
      <c r="AA311" s="1405" t="s">
        <v>2663</v>
      </c>
      <c r="AB311" s="1348"/>
      <c r="AC311" s="1348"/>
      <c r="AD311" s="1348"/>
      <c r="AE311" s="1348"/>
      <c r="AF311" s="1348"/>
      <c r="AG311" s="1348"/>
      <c r="AH311" s="1348"/>
      <c r="AI311" s="1348"/>
      <c r="AJ311" s="1348"/>
      <c r="AK311" s="1348"/>
    </row>
    <row r="312" spans="2:37" ht="12.95" customHeight="1">
      <c r="B312" s="3" t="s">
        <v>471</v>
      </c>
      <c r="C312" s="3"/>
      <c r="D312" s="3"/>
      <c r="E312" s="3"/>
      <c r="F312" s="3"/>
      <c r="H312" s="1522" t="s">
        <v>2659</v>
      </c>
      <c r="I312" s="1461"/>
      <c r="J312" s="1461"/>
      <c r="K312" s="1461"/>
      <c r="L312" s="1461"/>
      <c r="M312" s="1461"/>
      <c r="N312" s="1461"/>
      <c r="O312" s="1461"/>
      <c r="P312" s="1461"/>
      <c r="Q312" s="1461"/>
      <c r="R312" s="1461"/>
      <c r="S312" s="3"/>
      <c r="T312" s="3" t="s">
        <v>471</v>
      </c>
      <c r="V312" s="3"/>
      <c r="W312" s="3"/>
      <c r="X312" s="3"/>
      <c r="Y312" s="3"/>
      <c r="AA312" s="1461"/>
      <c r="AB312" s="1461"/>
      <c r="AC312" s="1461"/>
      <c r="AD312" s="1461"/>
      <c r="AE312" s="1461"/>
      <c r="AF312" s="1461"/>
      <c r="AG312" s="1461"/>
      <c r="AH312" s="1461"/>
      <c r="AI312" s="1461"/>
      <c r="AJ312" s="1461"/>
      <c r="AK312" s="1461"/>
    </row>
    <row r="313" spans="2:37" ht="12.95" customHeight="1">
      <c r="B313" s="3" t="s">
        <v>472</v>
      </c>
      <c r="C313" s="3"/>
      <c r="D313" s="3"/>
      <c r="E313" s="3"/>
      <c r="F313" s="3"/>
      <c r="H313" s="1522" t="s">
        <v>2660</v>
      </c>
      <c r="I313" s="1461"/>
      <c r="J313" s="1461"/>
      <c r="K313" s="1461"/>
      <c r="L313" s="1461"/>
      <c r="M313" s="1461"/>
      <c r="N313" s="1461"/>
      <c r="O313" s="1461"/>
      <c r="P313" s="1461"/>
      <c r="Q313" s="1461"/>
      <c r="R313" s="1461"/>
      <c r="S313" s="3"/>
      <c r="T313" s="3" t="s">
        <v>75</v>
      </c>
      <c r="V313" s="3"/>
      <c r="W313" s="3"/>
      <c r="X313" s="3"/>
      <c r="Y313" s="3"/>
      <c r="AA313" s="1461"/>
      <c r="AB313" s="1461"/>
      <c r="AC313" s="1461"/>
      <c r="AD313" s="1461"/>
      <c r="AE313" s="1461"/>
      <c r="AF313" s="1461"/>
      <c r="AG313" s="1461"/>
      <c r="AH313" s="1461"/>
      <c r="AI313" s="1461"/>
      <c r="AJ313" s="1461"/>
      <c r="AK313" s="1461"/>
    </row>
    <row r="314" spans="2:37" ht="12.95" customHeight="1">
      <c r="B314" s="3" t="s">
        <v>87</v>
      </c>
      <c r="C314" s="3"/>
      <c r="D314" s="3"/>
      <c r="E314" s="3"/>
      <c r="F314" s="3"/>
      <c r="H314" s="1522" t="s">
        <v>2661</v>
      </c>
      <c r="I314" s="1461"/>
      <c r="J314" s="1461"/>
      <c r="K314" s="1461"/>
      <c r="L314" s="1461"/>
      <c r="M314" s="1461"/>
      <c r="N314" s="1461"/>
      <c r="O314" s="1461"/>
      <c r="P314" s="1461"/>
      <c r="Q314" s="1461"/>
      <c r="R314" s="1461"/>
      <c r="S314" s="3"/>
      <c r="T314" s="3" t="s">
        <v>87</v>
      </c>
      <c r="V314" s="3"/>
      <c r="W314" s="3"/>
      <c r="X314" s="3"/>
      <c r="Y314" s="3"/>
      <c r="AA314" s="1461"/>
      <c r="AB314" s="1461"/>
      <c r="AC314" s="1461"/>
      <c r="AD314" s="1461"/>
      <c r="AE314" s="1461"/>
      <c r="AF314" s="1461"/>
      <c r="AG314" s="1461"/>
      <c r="AH314" s="1461"/>
      <c r="AI314" s="1461"/>
      <c r="AJ314" s="1461"/>
      <c r="AK314" s="1461"/>
    </row>
    <row r="315" spans="2:37" ht="12.95" customHeight="1">
      <c r="B315" s="3" t="s">
        <v>88</v>
      </c>
      <c r="C315" s="3"/>
      <c r="D315" s="3"/>
      <c r="E315" s="3"/>
      <c r="F315" s="3"/>
      <c r="G315" s="3"/>
      <c r="H315" s="1452">
        <v>9169305766</v>
      </c>
      <c r="I315" s="1452"/>
      <c r="J315" s="1452"/>
      <c r="K315" s="1452"/>
      <c r="L315" s="1452"/>
      <c r="M315" s="1452"/>
      <c r="N315" s="4" t="s">
        <v>205</v>
      </c>
      <c r="O315" s="4"/>
      <c r="P315" s="1406"/>
      <c r="Q315" s="1406"/>
      <c r="R315" s="1406"/>
      <c r="S315" s="3"/>
      <c r="T315" s="3" t="s">
        <v>88</v>
      </c>
      <c r="V315" s="3"/>
      <c r="W315" s="3"/>
      <c r="X315" s="3"/>
      <c r="Y315" s="3"/>
      <c r="AA315" s="1452"/>
      <c r="AB315" s="1452"/>
      <c r="AC315" s="1452"/>
      <c r="AD315" s="1452"/>
      <c r="AE315" s="1452"/>
      <c r="AF315" s="1452"/>
      <c r="AG315" s="4" t="s">
        <v>205</v>
      </c>
      <c r="AH315" s="4"/>
      <c r="AI315" s="1406"/>
      <c r="AJ315" s="1406"/>
      <c r="AK315" s="1406"/>
    </row>
    <row r="316" spans="2:37" ht="12.95" customHeight="1">
      <c r="B316" s="3" t="s">
        <v>89</v>
      </c>
      <c r="C316" s="3"/>
      <c r="D316" s="3"/>
      <c r="E316" s="3"/>
      <c r="F316" s="3"/>
      <c r="G316" s="3"/>
      <c r="H316" s="1415"/>
      <c r="I316" s="1415"/>
      <c r="J316" s="1415"/>
      <c r="K316" s="1415"/>
      <c r="L316" s="1415"/>
      <c r="M316" s="1415"/>
      <c r="N316" s="4"/>
      <c r="O316" s="4"/>
      <c r="P316" s="35"/>
      <c r="Q316" s="35"/>
      <c r="R316" s="35"/>
      <c r="S316" s="3"/>
      <c r="T316" s="3" t="s">
        <v>89</v>
      </c>
      <c r="V316" s="3"/>
      <c r="W316" s="3"/>
      <c r="X316" s="3"/>
      <c r="Y316" s="3"/>
      <c r="AA316" s="1415"/>
      <c r="AB316" s="1415"/>
      <c r="AC316" s="1415"/>
      <c r="AD316" s="1415"/>
      <c r="AE316" s="1415"/>
      <c r="AF316" s="1415"/>
      <c r="AG316" s="4"/>
      <c r="AH316" s="4"/>
      <c r="AI316" s="35"/>
      <c r="AJ316" s="35"/>
      <c r="AK316" s="35"/>
    </row>
    <row r="317" spans="2:37" ht="12.95" customHeight="1">
      <c r="B317" s="3" t="s">
        <v>76</v>
      </c>
      <c r="C317" s="3"/>
      <c r="D317" s="3"/>
      <c r="E317" s="3"/>
      <c r="F317" s="3"/>
      <c r="G317" s="3"/>
      <c r="H317" s="1522" t="s">
        <v>2662</v>
      </c>
      <c r="I317" s="1461"/>
      <c r="J317" s="1461"/>
      <c r="K317" s="1461"/>
      <c r="L317" s="1461"/>
      <c r="M317" s="1461"/>
      <c r="N317" s="1348"/>
      <c r="O317" s="1348"/>
      <c r="P317" s="1348"/>
      <c r="Q317" s="1348"/>
      <c r="R317" s="1348"/>
      <c r="S317" s="3"/>
      <c r="T317" s="3" t="s">
        <v>76</v>
      </c>
      <c r="V317" s="3"/>
      <c r="W317" s="3"/>
      <c r="X317" s="3"/>
      <c r="Y317" s="3"/>
      <c r="AA317" s="1461"/>
      <c r="AB317" s="1461"/>
      <c r="AC317" s="1461"/>
      <c r="AD317" s="1461"/>
      <c r="AE317" s="1461"/>
      <c r="AF317" s="1461"/>
      <c r="AG317" s="1348"/>
      <c r="AH317" s="1348"/>
      <c r="AI317" s="1348"/>
      <c r="AJ317" s="1348"/>
      <c r="AK317" s="1348"/>
    </row>
    <row r="318" spans="2:37" ht="12.95" customHeight="1"/>
    <row r="319" spans="2:37" ht="12.95" customHeight="1">
      <c r="B319" s="4" t="s">
        <v>908</v>
      </c>
      <c r="C319" s="3"/>
      <c r="D319" s="3"/>
      <c r="E319" s="3"/>
      <c r="F319" s="3"/>
      <c r="H319" s="1405" t="s">
        <v>2664</v>
      </c>
      <c r="I319" s="1348"/>
      <c r="J319" s="1348"/>
      <c r="K319" s="1348"/>
      <c r="L319" s="1348"/>
      <c r="M319" s="1348"/>
      <c r="N319" s="1348"/>
      <c r="O319" s="1348"/>
      <c r="P319" s="1348"/>
      <c r="Q319" s="1348"/>
      <c r="R319" s="1348"/>
      <c r="T319" s="3" t="s">
        <v>365</v>
      </c>
      <c r="V319" s="3"/>
      <c r="W319" s="3"/>
      <c r="X319" s="3"/>
      <c r="Y319" s="3"/>
      <c r="AA319" s="1405" t="s">
        <v>2669</v>
      </c>
      <c r="AB319" s="1348"/>
      <c r="AC319" s="1348"/>
      <c r="AD319" s="1348"/>
      <c r="AE319" s="1348"/>
      <c r="AF319" s="1348"/>
      <c r="AG319" s="1348"/>
      <c r="AH319" s="1348"/>
      <c r="AI319" s="1348"/>
      <c r="AJ319" s="1348"/>
      <c r="AK319" s="1348"/>
    </row>
    <row r="320" spans="2:37" ht="12.95" customHeight="1">
      <c r="B320" s="3" t="s">
        <v>471</v>
      </c>
      <c r="C320" s="3"/>
      <c r="D320" s="3"/>
      <c r="E320" s="3"/>
      <c r="F320" s="3"/>
      <c r="H320" s="1522" t="s">
        <v>2665</v>
      </c>
      <c r="I320" s="1461"/>
      <c r="J320" s="1461"/>
      <c r="K320" s="1461"/>
      <c r="L320" s="1461"/>
      <c r="M320" s="1461"/>
      <c r="N320" s="1461"/>
      <c r="O320" s="1461"/>
      <c r="P320" s="1461"/>
      <c r="Q320" s="1461"/>
      <c r="R320" s="1461"/>
      <c r="T320" s="3" t="s">
        <v>471</v>
      </c>
      <c r="V320" s="3"/>
      <c r="W320" s="3"/>
      <c r="X320" s="3"/>
      <c r="Y320" s="3"/>
      <c r="AA320" s="1859" t="s">
        <v>2670</v>
      </c>
      <c r="AB320" s="1859"/>
      <c r="AC320" s="1859"/>
      <c r="AD320" s="1859"/>
      <c r="AE320" s="1859"/>
      <c r="AF320" s="1859"/>
      <c r="AG320" s="1859"/>
      <c r="AH320" s="1859"/>
      <c r="AI320" s="1859"/>
      <c r="AJ320" s="1859"/>
      <c r="AK320" s="1859"/>
    </row>
    <row r="321" spans="2:37" ht="12.95" customHeight="1">
      <c r="B321" s="3" t="s">
        <v>472</v>
      </c>
      <c r="C321" s="3"/>
      <c r="D321" s="3"/>
      <c r="E321" s="3"/>
      <c r="F321" s="3"/>
      <c r="H321" s="1522" t="s">
        <v>2666</v>
      </c>
      <c r="I321" s="1461"/>
      <c r="J321" s="1461"/>
      <c r="K321" s="1461"/>
      <c r="L321" s="1461"/>
      <c r="M321" s="1461"/>
      <c r="N321" s="1461"/>
      <c r="O321" s="1461"/>
      <c r="P321" s="1461"/>
      <c r="Q321" s="1461"/>
      <c r="R321" s="1461"/>
      <c r="T321" s="3" t="s">
        <v>75</v>
      </c>
      <c r="V321" s="3"/>
      <c r="W321" s="3"/>
      <c r="X321" s="3"/>
      <c r="Y321" s="3"/>
      <c r="AA321" s="1461" t="s">
        <v>2671</v>
      </c>
      <c r="AB321" s="1461"/>
      <c r="AC321" s="1461"/>
      <c r="AD321" s="1461"/>
      <c r="AE321" s="1461"/>
      <c r="AF321" s="1461"/>
      <c r="AG321" s="1461"/>
      <c r="AH321" s="1461"/>
      <c r="AI321" s="1461"/>
      <c r="AJ321" s="1461"/>
      <c r="AK321" s="1461"/>
    </row>
    <row r="322" spans="2:37" ht="12.95" customHeight="1">
      <c r="B322" s="3" t="s">
        <v>87</v>
      </c>
      <c r="C322" s="3"/>
      <c r="D322" s="3"/>
      <c r="E322" s="3"/>
      <c r="F322" s="3"/>
      <c r="H322" s="1522" t="s">
        <v>2667</v>
      </c>
      <c r="I322" s="1461"/>
      <c r="J322" s="1461"/>
      <c r="K322" s="1461"/>
      <c r="L322" s="1461"/>
      <c r="M322" s="1461"/>
      <c r="N322" s="1461"/>
      <c r="O322" s="1461"/>
      <c r="P322" s="1461"/>
      <c r="Q322" s="1461"/>
      <c r="R322" s="1461"/>
      <c r="T322" s="3" t="s">
        <v>87</v>
      </c>
      <c r="V322" s="3"/>
      <c r="W322" s="3"/>
      <c r="X322" s="3"/>
      <c r="Y322" s="3"/>
      <c r="AA322" s="1461" t="s">
        <v>2672</v>
      </c>
      <c r="AB322" s="1461"/>
      <c r="AC322" s="1461"/>
      <c r="AD322" s="1461"/>
      <c r="AE322" s="1461"/>
      <c r="AF322" s="1461"/>
      <c r="AG322" s="1461"/>
      <c r="AH322" s="1461"/>
      <c r="AI322" s="1461"/>
      <c r="AJ322" s="1461"/>
      <c r="AK322" s="1461"/>
    </row>
    <row r="323" spans="2:37" ht="12.95" customHeight="1">
      <c r="B323" s="3" t="s">
        <v>88</v>
      </c>
      <c r="C323" s="3"/>
      <c r="D323" s="3"/>
      <c r="E323" s="3"/>
      <c r="F323" s="3"/>
      <c r="G323" s="3"/>
      <c r="H323" s="1452">
        <v>4154336804</v>
      </c>
      <c r="I323" s="1452"/>
      <c r="J323" s="1452"/>
      <c r="K323" s="1452"/>
      <c r="L323" s="1452"/>
      <c r="M323" s="1452"/>
      <c r="N323" s="4" t="s">
        <v>205</v>
      </c>
      <c r="O323" s="4"/>
      <c r="P323" s="1406"/>
      <c r="Q323" s="1406"/>
      <c r="R323" s="1406"/>
      <c r="S323" s="3"/>
      <c r="T323" s="3" t="s">
        <v>88</v>
      </c>
      <c r="V323" s="3"/>
      <c r="W323" s="3"/>
      <c r="X323" s="3"/>
      <c r="Y323" s="3"/>
      <c r="AA323" s="1860">
        <v>9163726100</v>
      </c>
      <c r="AB323" s="1860"/>
      <c r="AC323" s="1860"/>
      <c r="AD323" s="1860"/>
      <c r="AE323" s="1860"/>
      <c r="AF323" s="1860"/>
      <c r="AG323" s="4" t="s">
        <v>205</v>
      </c>
      <c r="AH323" s="4"/>
      <c r="AI323" s="1406"/>
      <c r="AJ323" s="1406"/>
      <c r="AK323" s="1406"/>
    </row>
    <row r="324" spans="2:37" ht="12.95" customHeight="1">
      <c r="B324" s="3" t="s">
        <v>89</v>
      </c>
      <c r="C324" s="3"/>
      <c r="D324" s="3"/>
      <c r="E324" s="3"/>
      <c r="F324" s="3"/>
      <c r="G324" s="3"/>
      <c r="H324" s="1415"/>
      <c r="I324" s="1415"/>
      <c r="J324" s="1415"/>
      <c r="K324" s="1415"/>
      <c r="L324" s="1415"/>
      <c r="M324" s="1415"/>
      <c r="N324" s="4"/>
      <c r="O324" s="4"/>
      <c r="P324" s="35"/>
      <c r="Q324" s="35"/>
      <c r="R324" s="35"/>
      <c r="S324" s="3"/>
      <c r="T324" s="3" t="s">
        <v>89</v>
      </c>
      <c r="V324" s="3"/>
      <c r="W324" s="3"/>
      <c r="X324" s="3"/>
      <c r="Y324" s="3"/>
      <c r="AA324" s="1861">
        <v>9164196108</v>
      </c>
      <c r="AB324" s="1861"/>
      <c r="AC324" s="1861"/>
      <c r="AD324" s="1861"/>
      <c r="AE324" s="1861"/>
      <c r="AF324" s="1861"/>
      <c r="AG324" s="4"/>
      <c r="AH324" s="4"/>
      <c r="AI324" s="35"/>
      <c r="AJ324" s="35"/>
      <c r="AK324" s="35"/>
    </row>
    <row r="325" spans="2:37" ht="12.95" customHeight="1">
      <c r="B325" s="3" t="s">
        <v>76</v>
      </c>
      <c r="C325" s="3"/>
      <c r="D325" s="3"/>
      <c r="E325" s="3"/>
      <c r="F325" s="3"/>
      <c r="G325" s="3"/>
      <c r="H325" s="1522" t="s">
        <v>2668</v>
      </c>
      <c r="I325" s="1461"/>
      <c r="J325" s="1461"/>
      <c r="K325" s="1461"/>
      <c r="L325" s="1461"/>
      <c r="M325" s="1461"/>
      <c r="N325" s="1348"/>
      <c r="O325" s="1348"/>
      <c r="P325" s="1348"/>
      <c r="Q325" s="1348"/>
      <c r="R325" s="1348"/>
      <c r="S325" s="3"/>
      <c r="T325" s="3" t="s">
        <v>76</v>
      </c>
      <c r="V325" s="3"/>
      <c r="W325" s="3"/>
      <c r="X325" s="3"/>
      <c r="Y325" s="3"/>
      <c r="AA325" s="1461" t="s">
        <v>2673</v>
      </c>
      <c r="AB325" s="1461"/>
      <c r="AC325" s="1461"/>
      <c r="AD325" s="1461"/>
      <c r="AE325" s="1461"/>
      <c r="AF325" s="1461"/>
      <c r="AG325" s="1348"/>
      <c r="AH325" s="1348"/>
      <c r="AI325" s="1348"/>
      <c r="AJ325" s="1348"/>
      <c r="AK325" s="134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48" t="s">
        <v>591</v>
      </c>
      <c r="I327" s="1348"/>
      <c r="J327" s="1348"/>
      <c r="K327" s="1348"/>
      <c r="L327" s="1348"/>
      <c r="M327" s="1348"/>
      <c r="N327" s="1348"/>
      <c r="O327" s="1348"/>
      <c r="P327" s="1348"/>
      <c r="Q327" s="1348"/>
      <c r="R327" s="1348"/>
      <c r="T327" s="3" t="s">
        <v>367</v>
      </c>
      <c r="V327" s="3"/>
      <c r="W327" s="3"/>
      <c r="X327" s="3"/>
      <c r="Y327" s="3"/>
      <c r="AA327" s="1348" t="s">
        <v>591</v>
      </c>
      <c r="AB327" s="1348"/>
      <c r="AC327" s="1348"/>
      <c r="AD327" s="1348"/>
      <c r="AE327" s="1348"/>
      <c r="AF327" s="1348"/>
      <c r="AG327" s="1348"/>
      <c r="AH327" s="1348"/>
      <c r="AI327" s="1348"/>
      <c r="AJ327" s="1348"/>
      <c r="AK327" s="1348"/>
    </row>
    <row r="328" spans="2:37" ht="12.95" customHeight="1">
      <c r="B328" s="3" t="s">
        <v>471</v>
      </c>
      <c r="C328" s="3"/>
      <c r="D328" s="3"/>
      <c r="E328" s="3"/>
      <c r="F328" s="3"/>
      <c r="H328" s="1461"/>
      <c r="I328" s="1461"/>
      <c r="J328" s="1461"/>
      <c r="K328" s="1461"/>
      <c r="L328" s="1461"/>
      <c r="M328" s="1461"/>
      <c r="N328" s="1461"/>
      <c r="O328" s="1461"/>
      <c r="P328" s="1461"/>
      <c r="Q328" s="1461"/>
      <c r="R328" s="1461"/>
      <c r="T328" s="3" t="s">
        <v>471</v>
      </c>
      <c r="V328" s="3"/>
      <c r="W328" s="3"/>
      <c r="X328" s="3"/>
      <c r="Y328" s="3"/>
      <c r="AA328" s="1461"/>
      <c r="AB328" s="1461"/>
      <c r="AC328" s="1461"/>
      <c r="AD328" s="1461"/>
      <c r="AE328" s="1461"/>
      <c r="AF328" s="1461"/>
      <c r="AG328" s="1461"/>
      <c r="AH328" s="1461"/>
      <c r="AI328" s="1461"/>
      <c r="AJ328" s="1461"/>
      <c r="AK328" s="1461"/>
    </row>
    <row r="329" spans="2:37" ht="12.95" customHeight="1">
      <c r="B329" s="3" t="s">
        <v>472</v>
      </c>
      <c r="C329" s="3"/>
      <c r="D329" s="3"/>
      <c r="E329" s="3"/>
      <c r="F329" s="3"/>
      <c r="H329" s="1461"/>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37" ht="12.95" customHeight="1">
      <c r="B330" s="3" t="s">
        <v>87</v>
      </c>
      <c r="C330" s="3"/>
      <c r="D330" s="3"/>
      <c r="E330" s="3"/>
      <c r="F330" s="3"/>
      <c r="H330" s="1461"/>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37" ht="12.95" customHeight="1">
      <c r="B331" s="3" t="s">
        <v>88</v>
      </c>
      <c r="C331" s="3"/>
      <c r="D331" s="3"/>
      <c r="E331" s="3"/>
      <c r="F331" s="3"/>
      <c r="G331" s="3"/>
      <c r="H331" s="1452"/>
      <c r="I331" s="1452"/>
      <c r="J331" s="1452"/>
      <c r="K331" s="1452"/>
      <c r="L331" s="1452"/>
      <c r="M331" s="1452"/>
      <c r="N331" s="4" t="s">
        <v>205</v>
      </c>
      <c r="O331" s="4"/>
      <c r="P331" s="1406"/>
      <c r="Q331" s="1406"/>
      <c r="R331" s="1406"/>
      <c r="S331" s="3"/>
      <c r="T331" s="3" t="s">
        <v>88</v>
      </c>
      <c r="V331" s="3"/>
      <c r="W331" s="3"/>
      <c r="X331" s="3"/>
      <c r="Y331" s="3"/>
      <c r="AA331" s="1452"/>
      <c r="AB331" s="1452"/>
      <c r="AC331" s="1452"/>
      <c r="AD331" s="1452"/>
      <c r="AE331" s="1452"/>
      <c r="AF331" s="1452"/>
      <c r="AG331" s="4" t="s">
        <v>205</v>
      </c>
      <c r="AH331" s="4"/>
      <c r="AI331" s="1406"/>
      <c r="AJ331" s="1406"/>
      <c r="AK331" s="1406"/>
    </row>
    <row r="332" spans="2:37" ht="12.95" customHeight="1">
      <c r="B332" s="3" t="s">
        <v>89</v>
      </c>
      <c r="C332" s="3"/>
      <c r="D332" s="3"/>
      <c r="E332" s="3"/>
      <c r="F332" s="3"/>
      <c r="G332" s="3"/>
      <c r="H332" s="1415"/>
      <c r="I332" s="1415"/>
      <c r="J332" s="1415"/>
      <c r="K332" s="1415"/>
      <c r="L332" s="1415"/>
      <c r="M332" s="1415"/>
      <c r="N332" s="4"/>
      <c r="O332" s="4"/>
      <c r="P332" s="35"/>
      <c r="Q332" s="35"/>
      <c r="R332" s="35"/>
      <c r="S332" s="3"/>
      <c r="T332" s="3" t="s">
        <v>89</v>
      </c>
      <c r="V332" s="3"/>
      <c r="W332" s="3"/>
      <c r="X332" s="3"/>
      <c r="Y332" s="3"/>
      <c r="AA332" s="1415"/>
      <c r="AB332" s="1415"/>
      <c r="AC332" s="1415"/>
      <c r="AD332" s="1415"/>
      <c r="AE332" s="1415"/>
      <c r="AF332" s="1415"/>
      <c r="AG332" s="4"/>
      <c r="AH332" s="4"/>
      <c r="AI332" s="35"/>
      <c r="AJ332" s="35"/>
      <c r="AK332" s="35"/>
    </row>
    <row r="333" spans="2:37" ht="12.95" customHeight="1">
      <c r="B333" s="3" t="s">
        <v>76</v>
      </c>
      <c r="C333" s="3"/>
      <c r="D333" s="3"/>
      <c r="E333" s="3"/>
      <c r="F333" s="3"/>
      <c r="G333" s="3"/>
      <c r="H333" s="1461"/>
      <c r="I333" s="1461"/>
      <c r="J333" s="1461"/>
      <c r="K333" s="1461"/>
      <c r="L333" s="1461"/>
      <c r="M333" s="1461"/>
      <c r="N333" s="1348"/>
      <c r="O333" s="1348"/>
      <c r="P333" s="1348"/>
      <c r="Q333" s="1348"/>
      <c r="R333" s="1348"/>
      <c r="S333" s="3"/>
      <c r="T333" s="3" t="s">
        <v>76</v>
      </c>
      <c r="V333" s="3"/>
      <c r="W333" s="3"/>
      <c r="X333" s="3"/>
      <c r="Y333" s="3"/>
      <c r="AA333" s="1461"/>
      <c r="AB333" s="1461"/>
      <c r="AC333" s="1461"/>
      <c r="AD333" s="1461"/>
      <c r="AE333" s="1461"/>
      <c r="AF333" s="1461"/>
      <c r="AG333" s="1348"/>
      <c r="AH333" s="1348"/>
      <c r="AI333" s="1348"/>
      <c r="AJ333" s="1348"/>
      <c r="AK333" s="134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48" t="s">
        <v>2674</v>
      </c>
      <c r="I335" s="1348"/>
      <c r="J335" s="1348"/>
      <c r="K335" s="1348"/>
      <c r="L335" s="1348"/>
      <c r="M335" s="1348"/>
      <c r="N335" s="1348"/>
      <c r="O335" s="1348"/>
      <c r="P335" s="1348"/>
      <c r="Q335" s="1348"/>
      <c r="R335" s="1348"/>
      <c r="T335" s="205" t="s">
        <v>886</v>
      </c>
      <c r="V335" s="3"/>
      <c r="W335" s="3"/>
      <c r="X335" s="3"/>
      <c r="Y335" s="3"/>
      <c r="AA335" s="1348" t="s">
        <v>2679</v>
      </c>
      <c r="AB335" s="1348"/>
      <c r="AC335" s="1348"/>
      <c r="AD335" s="1348"/>
      <c r="AE335" s="1348"/>
      <c r="AF335" s="1348"/>
      <c r="AG335" s="1348"/>
      <c r="AH335" s="1348"/>
      <c r="AI335" s="1348"/>
      <c r="AJ335" s="1348"/>
      <c r="AK335" s="1348"/>
    </row>
    <row r="336" spans="2:37" ht="12.95" customHeight="1">
      <c r="B336" s="3" t="s">
        <v>471</v>
      </c>
      <c r="C336" s="3"/>
      <c r="D336" s="3"/>
      <c r="E336" s="3"/>
      <c r="F336" s="3"/>
      <c r="H336" s="1461" t="s">
        <v>2675</v>
      </c>
      <c r="I336" s="1461"/>
      <c r="J336" s="1461"/>
      <c r="K336" s="1461"/>
      <c r="L336" s="1461"/>
      <c r="M336" s="1461"/>
      <c r="N336" s="1461"/>
      <c r="O336" s="1461"/>
      <c r="P336" s="1461"/>
      <c r="Q336" s="1461"/>
      <c r="R336" s="1461"/>
      <c r="T336" s="3" t="s">
        <v>471</v>
      </c>
      <c r="V336" s="3"/>
      <c r="W336" s="3"/>
      <c r="X336" s="3"/>
      <c r="Y336" s="3"/>
      <c r="AA336" s="1461" t="s">
        <v>2618</v>
      </c>
      <c r="AB336" s="1461"/>
      <c r="AC336" s="1461"/>
      <c r="AD336" s="1461"/>
      <c r="AE336" s="1461"/>
      <c r="AF336" s="1461"/>
      <c r="AG336" s="1461"/>
      <c r="AH336" s="1461"/>
      <c r="AI336" s="1461"/>
      <c r="AJ336" s="1461"/>
      <c r="AK336" s="1461"/>
    </row>
    <row r="337" spans="1:66" ht="12.95" customHeight="1">
      <c r="B337" s="3" t="s">
        <v>75</v>
      </c>
      <c r="C337" s="3"/>
      <c r="D337" s="3"/>
      <c r="E337" s="3"/>
      <c r="F337" s="3"/>
      <c r="H337" s="1461" t="s">
        <v>2676</v>
      </c>
      <c r="I337" s="1461"/>
      <c r="J337" s="1461"/>
      <c r="K337" s="1461"/>
      <c r="L337" s="1461"/>
      <c r="M337" s="1461"/>
      <c r="N337" s="1461"/>
      <c r="O337" s="1461"/>
      <c r="P337" s="1461"/>
      <c r="Q337" s="1461"/>
      <c r="R337" s="1461"/>
      <c r="T337" s="3" t="s">
        <v>75</v>
      </c>
      <c r="V337" s="3"/>
      <c r="W337" s="3"/>
      <c r="X337" s="3"/>
      <c r="Y337" s="3"/>
      <c r="AA337" s="1461" t="s">
        <v>2637</v>
      </c>
      <c r="AB337" s="1461"/>
      <c r="AC337" s="1461"/>
      <c r="AD337" s="1461"/>
      <c r="AE337" s="1461"/>
      <c r="AF337" s="1461"/>
      <c r="AG337" s="1461"/>
      <c r="AH337" s="1461"/>
      <c r="AI337" s="1461"/>
      <c r="AJ337" s="1461"/>
      <c r="AK337" s="1461"/>
    </row>
    <row r="338" spans="1:66" ht="12.95" customHeight="1">
      <c r="B338" s="3" t="s">
        <v>87</v>
      </c>
      <c r="C338" s="3"/>
      <c r="D338" s="3"/>
      <c r="E338" s="3"/>
      <c r="F338" s="3"/>
      <c r="G338" s="3"/>
      <c r="H338" s="252" t="s">
        <v>2677</v>
      </c>
      <c r="I338" s="252"/>
      <c r="J338" s="252"/>
      <c r="K338" s="252"/>
      <c r="L338" s="252"/>
      <c r="M338" s="252"/>
      <c r="N338" s="252"/>
      <c r="O338" s="252"/>
      <c r="P338" s="252"/>
      <c r="Q338" s="252"/>
      <c r="R338" s="252"/>
      <c r="T338" s="3" t="s">
        <v>87</v>
      </c>
      <c r="V338" s="3"/>
      <c r="W338" s="3"/>
      <c r="X338" s="3"/>
      <c r="Y338" s="3"/>
      <c r="AA338" s="1461" t="s">
        <v>2680</v>
      </c>
      <c r="AB338" s="1461"/>
      <c r="AC338" s="1461"/>
      <c r="AD338" s="1461"/>
      <c r="AE338" s="1461"/>
      <c r="AF338" s="1461"/>
      <c r="AG338" s="1461"/>
      <c r="AH338" s="1461"/>
      <c r="AI338" s="1461"/>
      <c r="AJ338" s="1461"/>
      <c r="AK338" s="1461"/>
    </row>
    <row r="339" spans="1:66" ht="12.95" customHeight="1">
      <c r="B339" s="3" t="s">
        <v>88</v>
      </c>
      <c r="C339" s="3"/>
      <c r="D339" s="3"/>
      <c r="E339" s="3"/>
      <c r="F339" s="3"/>
      <c r="G339" s="3"/>
      <c r="H339" s="1452">
        <v>7609301333</v>
      </c>
      <c r="I339" s="1452"/>
      <c r="J339" s="1452"/>
      <c r="K339" s="1452"/>
      <c r="L339" s="1452"/>
      <c r="M339" s="1452"/>
      <c r="N339" s="4" t="s">
        <v>205</v>
      </c>
      <c r="O339" s="4"/>
      <c r="P339" s="1406"/>
      <c r="Q339" s="1406"/>
      <c r="R339" s="1406"/>
      <c r="S339" s="3"/>
      <c r="T339" s="3" t="s">
        <v>88</v>
      </c>
      <c r="V339" s="3"/>
      <c r="W339" s="3"/>
      <c r="X339" s="3"/>
      <c r="Y339" s="3"/>
      <c r="AA339" s="1452">
        <v>5102478120</v>
      </c>
      <c r="AB339" s="1452"/>
      <c r="AC339" s="1452"/>
      <c r="AD339" s="1452"/>
      <c r="AE339" s="1452"/>
      <c r="AF339" s="1452"/>
      <c r="AG339" s="4" t="s">
        <v>205</v>
      </c>
      <c r="AH339" s="4"/>
      <c r="AI339" s="1406"/>
      <c r="AJ339" s="1406"/>
      <c r="AK339" s="1406"/>
    </row>
    <row r="340" spans="1:66" ht="12.95" customHeight="1">
      <c r="B340" s="3" t="s">
        <v>89</v>
      </c>
      <c r="C340" s="3"/>
      <c r="D340" s="3"/>
      <c r="E340" s="3"/>
      <c r="F340" s="3"/>
      <c r="G340" s="3"/>
      <c r="H340" s="1415">
        <v>7609303390</v>
      </c>
      <c r="I340" s="1415"/>
      <c r="J340" s="1415"/>
      <c r="K340" s="1415"/>
      <c r="L340" s="1415"/>
      <c r="M340" s="1415"/>
      <c r="N340" s="4"/>
      <c r="O340" s="4"/>
      <c r="P340" s="35"/>
      <c r="Q340" s="35"/>
      <c r="R340" s="35"/>
      <c r="S340" s="3"/>
      <c r="T340" s="3" t="s">
        <v>89</v>
      </c>
      <c r="V340" s="3"/>
      <c r="W340" s="3"/>
      <c r="X340" s="3"/>
      <c r="Y340" s="3"/>
      <c r="AA340" s="1415"/>
      <c r="AB340" s="1415"/>
      <c r="AC340" s="1415"/>
      <c r="AD340" s="1415"/>
      <c r="AE340" s="1415"/>
      <c r="AF340" s="1415"/>
      <c r="AG340" s="4"/>
      <c r="AH340" s="4"/>
      <c r="AI340" s="35"/>
      <c r="AJ340" s="35"/>
      <c r="AK340" s="35"/>
    </row>
    <row r="341" spans="1:66" ht="12.95" customHeight="1">
      <c r="B341" s="3" t="s">
        <v>76</v>
      </c>
      <c r="C341" s="3"/>
      <c r="D341" s="3"/>
      <c r="E341" s="3"/>
      <c r="F341" s="3"/>
      <c r="G341" s="3"/>
      <c r="H341" s="252" t="s">
        <v>2678</v>
      </c>
      <c r="I341" s="252"/>
      <c r="J341" s="252"/>
      <c r="K341" s="252"/>
      <c r="L341" s="252"/>
      <c r="M341" s="252"/>
      <c r="N341" s="1259"/>
      <c r="O341" s="1259"/>
      <c r="P341" s="1259"/>
      <c r="Q341" s="1259"/>
      <c r="R341" s="1259"/>
      <c r="S341" s="3"/>
      <c r="T341" s="3" t="s">
        <v>76</v>
      </c>
      <c r="V341" s="3"/>
      <c r="W341" s="3"/>
      <c r="X341" s="3"/>
      <c r="Y341" s="3"/>
      <c r="AA341" s="1461" t="s">
        <v>2681</v>
      </c>
      <c r="AB341" s="1461"/>
      <c r="AC341" s="1461"/>
      <c r="AD341" s="1461"/>
      <c r="AE341" s="1461"/>
      <c r="AF341" s="1461"/>
      <c r="AG341" s="1348"/>
      <c r="AH341" s="1348"/>
      <c r="AI341" s="1348"/>
      <c r="AJ341" s="1348"/>
      <c r="AK341" s="134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348" t="s">
        <v>591</v>
      </c>
      <c r="Q343" s="1348"/>
      <c r="R343" s="1348"/>
      <c r="S343" s="1348"/>
      <c r="T343" s="1348"/>
      <c r="U343" s="1348"/>
      <c r="V343" s="1348"/>
      <c r="W343" s="1348"/>
      <c r="X343" s="1348"/>
      <c r="Y343" s="1348"/>
      <c r="Z343" s="1348"/>
      <c r="AA343" s="1348"/>
      <c r="AB343" s="1348"/>
      <c r="AC343" s="1348"/>
      <c r="AD343" s="1348"/>
      <c r="AE343" s="1348"/>
      <c r="BN343" t="s">
        <v>669</v>
      </c>
    </row>
    <row r="344" spans="1:66" ht="12.95" customHeight="1">
      <c r="B344" s="4"/>
      <c r="C344" s="4"/>
      <c r="D344" s="4"/>
      <c r="E344" s="4"/>
      <c r="F344" s="4"/>
      <c r="I344" s="4" t="s">
        <v>471</v>
      </c>
      <c r="P344" s="1461"/>
      <c r="Q344" s="1461"/>
      <c r="R344" s="1461"/>
      <c r="S344" s="1461"/>
      <c r="T344" s="1461"/>
      <c r="U344" s="1461"/>
      <c r="V344" s="1461"/>
      <c r="W344" s="1461"/>
      <c r="X344" s="1461"/>
      <c r="Y344" s="1461"/>
      <c r="Z344" s="1461"/>
      <c r="AA344" s="1461"/>
      <c r="AB344" s="1461"/>
      <c r="AC344" s="1461"/>
      <c r="AD344" s="1461"/>
      <c r="AE344" s="1461"/>
      <c r="BN344" t="s">
        <v>545</v>
      </c>
    </row>
    <row r="345" spans="1:66" ht="12.95"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2.95"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2.95" customHeight="1">
      <c r="B347" s="4"/>
      <c r="C347" s="4"/>
      <c r="D347" s="4"/>
      <c r="E347" s="4"/>
      <c r="F347" s="4"/>
      <c r="G347" s="4"/>
      <c r="H347" s="303"/>
      <c r="I347" s="4" t="s">
        <v>88</v>
      </c>
      <c r="P347" s="1415"/>
      <c r="Q347" s="1415"/>
      <c r="R347" s="1415"/>
      <c r="S347" s="1415"/>
      <c r="T347" s="1415"/>
      <c r="U347" s="1415"/>
      <c r="V347" s="1415"/>
      <c r="W347" s="1415"/>
      <c r="X347" s="1415"/>
      <c r="Y347" s="1415"/>
      <c r="Z347" s="1415"/>
      <c r="AA347" s="4" t="s">
        <v>205</v>
      </c>
      <c r="AB347" s="4"/>
      <c r="AC347" s="1460"/>
      <c r="AD347" s="1460"/>
      <c r="AE347" s="1460"/>
      <c r="AF347" s="303"/>
      <c r="AG347" s="4"/>
      <c r="AH347" s="4"/>
      <c r="AI347" s="4"/>
      <c r="AJ347" s="4"/>
      <c r="AK347" s="4"/>
    </row>
    <row r="348" spans="1:66" ht="12.95" customHeight="1">
      <c r="B348" s="4"/>
      <c r="C348" s="4"/>
      <c r="D348" s="4"/>
      <c r="E348" s="4"/>
      <c r="F348" s="4"/>
      <c r="G348" s="4"/>
      <c r="H348" s="303"/>
      <c r="I348" s="4" t="s">
        <v>89</v>
      </c>
      <c r="P348" s="1415"/>
      <c r="Q348" s="1415"/>
      <c r="R348" s="1415"/>
      <c r="S348" s="1415"/>
      <c r="T348" s="1415"/>
      <c r="U348" s="1415"/>
      <c r="V348" s="1415"/>
      <c r="W348" s="1415"/>
      <c r="X348" s="1415"/>
      <c r="Y348" s="1415"/>
      <c r="Z348" s="1415"/>
      <c r="AF348" s="303"/>
      <c r="AG348" s="4"/>
      <c r="AH348" s="4"/>
      <c r="AI348" s="35"/>
      <c r="AJ348" s="35"/>
      <c r="AK348" s="35"/>
    </row>
    <row r="349" spans="1:66" ht="12.95" customHeight="1">
      <c r="B349" s="4"/>
      <c r="C349" s="4"/>
      <c r="D349" s="4"/>
      <c r="E349" s="4"/>
      <c r="F349" s="4"/>
      <c r="G349" s="4"/>
      <c r="I349" s="4" t="s">
        <v>76</v>
      </c>
      <c r="P349" s="1348"/>
      <c r="Q349" s="1348"/>
      <c r="R349" s="1348"/>
      <c r="S349" s="1348"/>
      <c r="T349" s="1348"/>
      <c r="U349" s="1348"/>
      <c r="V349" s="1348"/>
      <c r="W349" s="1348"/>
      <c r="X349" s="1348"/>
      <c r="Y349" s="1348"/>
      <c r="Z349" s="1348"/>
      <c r="AA349" s="1348"/>
      <c r="AB349" s="1348"/>
      <c r="AC349" s="1348"/>
      <c r="AD349" s="1348"/>
      <c r="AE349" s="1348"/>
    </row>
    <row r="350" spans="1:66" ht="12.95" customHeight="1">
      <c r="T350" s="8"/>
      <c r="U350" s="8"/>
      <c r="V350" s="8"/>
      <c r="W350" s="8"/>
      <c r="X350" s="8"/>
      <c r="Y350" s="8"/>
      <c r="Z350" s="8"/>
      <c r="AU350" s="95"/>
      <c r="AV350" s="95"/>
      <c r="AW350" s="95"/>
      <c r="AX350" s="95"/>
      <c r="AY350" s="95"/>
    </row>
    <row r="351" spans="1:66" ht="12.95" customHeight="1">
      <c r="A351" s="1451" t="s">
        <v>542</v>
      </c>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c r="AA351" s="1451"/>
      <c r="AB351" s="1451"/>
      <c r="AC351" s="1451"/>
      <c r="AD351" s="1451"/>
      <c r="AE351" s="1451"/>
      <c r="AF351" s="1451"/>
      <c r="AG351" s="1451"/>
      <c r="AH351" s="1451"/>
      <c r="AI351" s="1451"/>
      <c r="AJ351" s="1451"/>
      <c r="AK351" s="1451"/>
      <c r="AL351" s="1451"/>
      <c r="AM351" s="1451"/>
      <c r="AN351" s="1451"/>
      <c r="AO351" s="1451"/>
      <c r="AP351" s="1451"/>
      <c r="AQ351" s="1451"/>
      <c r="AR351" s="1451"/>
      <c r="AS351" s="1451"/>
      <c r="AT351" s="1451"/>
      <c r="AU351" s="95"/>
      <c r="AV351" s="95"/>
      <c r="AW351" s="95"/>
      <c r="AX351" s="95"/>
      <c r="AY351" s="95"/>
    </row>
    <row r="352" spans="1:66" ht="12.95" customHeight="1">
      <c r="A352" s="1451"/>
      <c r="B352" s="1451"/>
      <c r="C352" s="1451"/>
      <c r="D352" s="1451"/>
      <c r="E352" s="1451"/>
      <c r="F352" s="1451"/>
      <c r="G352" s="1451"/>
      <c r="H352" s="1451"/>
      <c r="I352" s="1451"/>
      <c r="J352" s="1451"/>
      <c r="K352" s="1451"/>
      <c r="L352" s="1451"/>
      <c r="M352" s="1451"/>
      <c r="N352" s="1451"/>
      <c r="O352" s="1451"/>
      <c r="P352" s="1451"/>
      <c r="Q352" s="1451"/>
      <c r="R352" s="1451"/>
      <c r="S352" s="1451"/>
      <c r="T352" s="1451"/>
      <c r="U352" s="1451"/>
      <c r="V352" s="1451"/>
      <c r="W352" s="1451"/>
      <c r="X352" s="1451"/>
      <c r="Y352" s="1451"/>
      <c r="Z352" s="1451"/>
      <c r="AA352" s="1451"/>
      <c r="AB352" s="1451"/>
      <c r="AC352" s="1451"/>
      <c r="AD352" s="1451"/>
      <c r="AE352" s="1451"/>
      <c r="AF352" s="1451"/>
      <c r="AG352" s="1451"/>
      <c r="AH352" s="1451"/>
      <c r="AI352" s="1451"/>
      <c r="AJ352" s="1451"/>
      <c r="AK352" s="1451"/>
      <c r="AL352" s="1451"/>
      <c r="AM352" s="1451"/>
      <c r="AN352" s="1451"/>
      <c r="AO352" s="1451"/>
      <c r="AP352" s="1451"/>
      <c r="AQ352" s="1451"/>
      <c r="AR352" s="1451"/>
      <c r="AS352" s="1451"/>
      <c r="AT352" s="145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2100</v>
      </c>
      <c r="M355" s="1334" t="s">
        <v>545</v>
      </c>
      <c r="N355" s="1334"/>
      <c r="P355" t="s">
        <v>1650</v>
      </c>
      <c r="AJ355" s="1334" t="s">
        <v>545</v>
      </c>
      <c r="AK355" s="1334"/>
    </row>
    <row r="356" spans="1:46" ht="12.95" customHeight="1">
      <c r="D356" s="3" t="s">
        <v>1639</v>
      </c>
      <c r="M356" s="1334" t="s">
        <v>591</v>
      </c>
      <c r="N356" s="1334"/>
      <c r="P356" s="3" t="s">
        <v>1719</v>
      </c>
      <c r="AJ356" s="1431">
        <v>0</v>
      </c>
      <c r="AK356" s="1431"/>
    </row>
    <row r="357" spans="1:46" ht="12.95" customHeight="1">
      <c r="D357" s="3" t="s">
        <v>704</v>
      </c>
      <c r="M357" s="1334" t="s">
        <v>591</v>
      </c>
      <c r="N357" s="1334"/>
      <c r="P357" t="s">
        <v>1649</v>
      </c>
      <c r="AJ357" s="1334" t="s">
        <v>591</v>
      </c>
      <c r="AK357" s="1334"/>
    </row>
    <row r="358" spans="1:46" ht="12.95" customHeight="1">
      <c r="D358" s="3" t="s">
        <v>705</v>
      </c>
      <c r="M358" s="1334" t="s">
        <v>591</v>
      </c>
      <c r="N358" s="1334"/>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2.95" customHeight="1">
      <c r="E364" t="s">
        <v>369</v>
      </c>
      <c r="Y364" s="1334" t="s">
        <v>591</v>
      </c>
      <c r="Z364" s="1334"/>
    </row>
    <row r="365" spans="1:46" ht="12.95" customHeight="1">
      <c r="D365" s="4" t="s">
        <v>978</v>
      </c>
      <c r="Q365" s="1348"/>
      <c r="R365" s="1348"/>
      <c r="S365" s="1348"/>
      <c r="T365" s="1348"/>
      <c r="U365" s="1348"/>
      <c r="V365" s="1348"/>
      <c r="W365" s="1348"/>
      <c r="X365" s="1348"/>
      <c r="Y365" s="1348"/>
      <c r="Z365" s="1348"/>
      <c r="AA365" s="1348"/>
      <c r="AB365" s="1348"/>
      <c r="AC365" s="1348"/>
      <c r="AD365" s="1348"/>
      <c r="AE365" s="1348"/>
      <c r="AF365" s="1348"/>
      <c r="AG365" s="1348"/>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4" t="s">
        <v>591</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04" t="s">
        <v>706</v>
      </c>
      <c r="F368" s="1404"/>
      <c r="G368" s="1404"/>
      <c r="H368" s="1404"/>
      <c r="I368" s="1404"/>
      <c r="J368" s="1404"/>
      <c r="K368" s="1404"/>
      <c r="L368" s="1404"/>
      <c r="M368" s="1404"/>
      <c r="N368" s="1404"/>
      <c r="O368" s="1404"/>
      <c r="P368" s="1404"/>
      <c r="Q368" s="1404"/>
      <c r="R368" s="1404"/>
      <c r="S368" s="1404"/>
      <c r="T368" s="1404"/>
      <c r="U368" s="1404"/>
      <c r="V368" s="1404"/>
      <c r="W368" s="1404"/>
      <c r="X368" s="1404"/>
      <c r="Y368" s="1404"/>
      <c r="Z368" s="1404"/>
      <c r="AA368" s="1404"/>
      <c r="AB368" s="1404"/>
      <c r="AC368" s="1404"/>
      <c r="AD368" s="1404"/>
      <c r="AE368" s="1404"/>
      <c r="AF368" s="1404"/>
      <c r="AG368" s="1404"/>
      <c r="AH368" s="1404"/>
    </row>
    <row r="369" spans="1:34" ht="12.95" customHeight="1">
      <c r="E369" s="1404"/>
      <c r="F369" s="1404"/>
      <c r="G369" s="1404"/>
      <c r="H369" s="1404"/>
      <c r="I369" s="1404"/>
      <c r="J369" s="1404"/>
      <c r="K369" s="1404"/>
      <c r="L369" s="1404"/>
      <c r="M369" s="1404"/>
      <c r="N369" s="1404"/>
      <c r="O369" s="1404"/>
      <c r="P369" s="1404"/>
      <c r="Q369" s="1404"/>
      <c r="R369" s="1404"/>
      <c r="S369" s="1404"/>
      <c r="T369" s="1404"/>
      <c r="U369" s="1404"/>
      <c r="V369" s="1404"/>
      <c r="W369" s="1404"/>
      <c r="X369" s="1404"/>
      <c r="Y369" s="1404"/>
      <c r="Z369" s="1404"/>
      <c r="AA369" s="1404"/>
      <c r="AB369" s="1404"/>
      <c r="AC369" s="1404"/>
      <c r="AD369" s="1404"/>
      <c r="AE369" s="1404"/>
      <c r="AF369" s="1404"/>
      <c r="AG369" s="1404"/>
      <c r="AH369" s="1404"/>
    </row>
    <row r="370" spans="1:34" ht="12.95" customHeight="1">
      <c r="E370" s="4" t="s">
        <v>448</v>
      </c>
      <c r="F370" s="4"/>
      <c r="G370" s="4"/>
      <c r="H370" s="4"/>
      <c r="I370" s="4"/>
      <c r="J370" s="4"/>
      <c r="K370" s="4"/>
      <c r="L370" s="4"/>
      <c r="N370" s="1705"/>
      <c r="O370" s="1705"/>
      <c r="P370" s="1705"/>
      <c r="Q370" s="1705"/>
      <c r="R370" s="4"/>
      <c r="U370" s="4" t="s">
        <v>449</v>
      </c>
      <c r="V370" s="4"/>
      <c r="W370" s="4"/>
      <c r="X370" s="4"/>
      <c r="Y370" s="4"/>
      <c r="Z370" s="4"/>
      <c r="AA370" s="4"/>
      <c r="AB370" s="4"/>
      <c r="AC370" s="1705"/>
      <c r="AD370" s="1705"/>
      <c r="AE370" s="1705"/>
      <c r="AF370" s="1705"/>
    </row>
    <row r="371" spans="1:34" ht="12.95" customHeight="1">
      <c r="E371" s="4" t="s">
        <v>450</v>
      </c>
      <c r="F371" s="4"/>
      <c r="G371" s="4"/>
      <c r="H371" s="4"/>
      <c r="I371" s="4"/>
      <c r="J371" s="4"/>
      <c r="K371" s="4"/>
      <c r="L371" s="4"/>
      <c r="N371" s="1705"/>
      <c r="O371" s="1705"/>
      <c r="P371" s="1705"/>
      <c r="Q371" s="1705"/>
      <c r="R371" s="4"/>
      <c r="U371" s="4" t="s">
        <v>0</v>
      </c>
      <c r="V371" s="4"/>
      <c r="W371" s="4"/>
      <c r="X371" s="4"/>
      <c r="Y371" s="4"/>
      <c r="Z371" s="4"/>
      <c r="AA371" s="4"/>
      <c r="AB371" s="4"/>
      <c r="AC371" s="1705"/>
      <c r="AD371" s="1705"/>
      <c r="AE371" s="1705"/>
      <c r="AF371" s="1705"/>
    </row>
    <row r="372" spans="1:34" ht="12.95" customHeight="1">
      <c r="E372" s="4" t="s">
        <v>1</v>
      </c>
      <c r="F372" s="4"/>
      <c r="G372" s="4"/>
      <c r="H372" s="4"/>
      <c r="I372" s="4"/>
      <c r="J372" s="4"/>
      <c r="K372" s="4"/>
      <c r="L372" s="4"/>
      <c r="N372" s="1705"/>
      <c r="O372" s="1705"/>
      <c r="P372" s="1705"/>
      <c r="Q372" s="1705"/>
      <c r="R372" s="4"/>
      <c r="V372" s="4"/>
      <c r="W372" s="4"/>
      <c r="X372" s="4"/>
      <c r="Y372" s="4"/>
      <c r="Z372" s="4"/>
      <c r="AA372" s="4"/>
      <c r="AB372" s="4"/>
    </row>
    <row r="373" spans="1:34" ht="12.95" customHeight="1">
      <c r="E373" s="4" t="s">
        <v>2</v>
      </c>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4" ht="12.95" customHeight="1">
      <c r="E374" s="4"/>
      <c r="F374" s="4"/>
      <c r="G374" s="4"/>
      <c r="H374" s="4"/>
      <c r="I374" s="4"/>
      <c r="J374" s="4"/>
      <c r="K374" s="4"/>
      <c r="L374" s="4"/>
      <c r="N374" s="1841"/>
      <c r="O374" s="1841"/>
      <c r="P374" s="1841"/>
      <c r="Q374" s="1841"/>
      <c r="R374" s="1841"/>
      <c r="S374" s="1841"/>
      <c r="T374" s="1841"/>
      <c r="U374" s="1841"/>
      <c r="V374" s="1841"/>
      <c r="W374" s="1841"/>
      <c r="X374" s="1841"/>
      <c r="Y374" s="1841"/>
      <c r="Z374" s="1841"/>
      <c r="AA374" s="1841"/>
      <c r="AB374" s="1841"/>
      <c r="AC374" s="1841"/>
      <c r="AD374" s="1841"/>
      <c r="AE374" s="1841"/>
      <c r="AF374" s="1841"/>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304</v>
      </c>
      <c r="S377" s="1756"/>
      <c r="T377" s="1756"/>
      <c r="U377" s="1" t="s">
        <v>305</v>
      </c>
      <c r="V377" s="1756"/>
      <c r="W377" s="1756"/>
      <c r="Y377" t="s">
        <v>2081</v>
      </c>
      <c r="AC377" s="27" t="s">
        <v>304</v>
      </c>
      <c r="AD377" s="1756"/>
      <c r="AE377" s="1756"/>
      <c r="AF377" s="1" t="s">
        <v>305</v>
      </c>
      <c r="AG377" s="1756"/>
      <c r="AH377" s="1756"/>
    </row>
    <row r="378" spans="1:34" ht="12.95" customHeight="1">
      <c r="E378" s="4" t="s">
        <v>987</v>
      </c>
      <c r="F378" s="4"/>
      <c r="G378" s="4"/>
      <c r="H378" s="4"/>
      <c r="I378" s="4"/>
      <c r="J378" s="4"/>
      <c r="K378" s="4"/>
      <c r="L378" s="4"/>
      <c r="N378" s="1756"/>
      <c r="O378" s="1756"/>
      <c r="P378" s="1756"/>
    </row>
    <row r="379" spans="1:34" ht="12.95" customHeight="1">
      <c r="E379" s="205" t="s">
        <v>2087</v>
      </c>
      <c r="F379" s="4"/>
      <c r="G379" s="4"/>
      <c r="H379" s="4"/>
      <c r="I379" s="4"/>
      <c r="J379" s="4"/>
      <c r="K379" s="4"/>
      <c r="L379" s="4"/>
      <c r="AG379" s="1796" t="s">
        <v>591</v>
      </c>
      <c r="AH379" s="1796"/>
    </row>
    <row r="380" spans="1:34" ht="12.95" customHeight="1">
      <c r="E380" s="4"/>
      <c r="F380" s="4"/>
      <c r="G380" s="4" t="s">
        <v>2088</v>
      </c>
      <c r="H380" s="4"/>
      <c r="I380" s="4"/>
      <c r="J380" s="4"/>
      <c r="K380" s="4"/>
      <c r="L380" s="4"/>
      <c r="AG380" s="1796" t="s">
        <v>591</v>
      </c>
      <c r="AH380" s="1796"/>
    </row>
    <row r="381" spans="1:34" ht="12.95" customHeight="1">
      <c r="E381" s="4"/>
      <c r="F381" s="4"/>
      <c r="G381" s="321" t="s">
        <v>988</v>
      </c>
      <c r="H381" s="4"/>
      <c r="I381" s="4"/>
      <c r="J381" s="4"/>
      <c r="K381" s="4"/>
      <c r="L381" s="4"/>
      <c r="V381" s="1334" t="s">
        <v>591</v>
      </c>
      <c r="W381" s="1334"/>
      <c r="Y381" s="22" t="s">
        <v>980</v>
      </c>
    </row>
    <row r="382" spans="1:34" ht="12.95" customHeight="1">
      <c r="E382" s="4" t="s">
        <v>981</v>
      </c>
      <c r="F382" s="4"/>
      <c r="G382" s="4"/>
      <c r="H382" s="4"/>
      <c r="I382" s="4"/>
      <c r="J382" s="4"/>
      <c r="K382" s="4"/>
      <c r="L382" s="4"/>
      <c r="V382" s="1334" t="s">
        <v>591</v>
      </c>
      <c r="W382" s="1334"/>
      <c r="Y382" s="4" t="s">
        <v>982</v>
      </c>
    </row>
    <row r="383" spans="1:34" ht="12.95" customHeight="1"/>
    <row r="384" spans="1:34" ht="12.95" customHeight="1">
      <c r="A384" s="2" t="s">
        <v>78</v>
      </c>
      <c r="B384" s="2"/>
    </row>
    <row r="385" spans="4:36" ht="12.95" customHeight="1">
      <c r="D385" t="s">
        <v>427</v>
      </c>
      <c r="J385" s="1348" t="s">
        <v>2682</v>
      </c>
      <c r="K385" s="1348"/>
      <c r="L385" s="1348"/>
      <c r="M385" s="1348"/>
      <c r="N385" s="1348"/>
      <c r="O385" s="1348"/>
      <c r="P385" s="1348"/>
      <c r="Q385" s="1348"/>
      <c r="R385" s="1348"/>
      <c r="S385" s="1348"/>
      <c r="T385" s="1348"/>
      <c r="U385" s="1348"/>
      <c r="V385" s="8" t="s">
        <v>83</v>
      </c>
      <c r="W385" s="8"/>
      <c r="X385" s="8"/>
      <c r="Y385" s="8"/>
      <c r="Z385" s="8"/>
      <c r="AA385" s="8"/>
      <c r="AB385" s="8"/>
      <c r="AC385" s="1405" t="s">
        <v>2683</v>
      </c>
      <c r="AD385" s="1348"/>
      <c r="AE385" s="1348"/>
      <c r="AF385" s="1348"/>
      <c r="AG385" s="1348"/>
      <c r="AH385" s="1348"/>
      <c r="AI385" s="1348"/>
      <c r="AJ385" s="1348"/>
    </row>
    <row r="386" spans="4:36" ht="12.95" customHeight="1">
      <c r="D386" s="3" t="s">
        <v>1182</v>
      </c>
      <c r="J386" s="1461" t="s">
        <v>2683</v>
      </c>
      <c r="K386" s="1461"/>
      <c r="L386" s="1461"/>
      <c r="M386" s="1461"/>
      <c r="N386" s="1461"/>
      <c r="O386" s="1461"/>
      <c r="P386" s="1461"/>
      <c r="Q386" s="1461"/>
      <c r="R386" s="1461"/>
      <c r="S386" s="1461"/>
      <c r="T386" s="1461"/>
      <c r="U386" s="1461"/>
      <c r="V386" s="3" t="s">
        <v>1182</v>
      </c>
      <c r="W386" s="8"/>
      <c r="X386" s="8"/>
      <c r="Y386" s="8"/>
      <c r="Z386" s="8"/>
      <c r="AA386" s="8"/>
      <c r="AB386" s="8"/>
      <c r="AC386" s="1348"/>
      <c r="AD386" s="1348"/>
      <c r="AE386" s="1348"/>
      <c r="AF386" s="1348"/>
      <c r="AG386" s="1348"/>
      <c r="AH386" s="1348"/>
      <c r="AI386" s="1348"/>
      <c r="AJ386" s="1348"/>
    </row>
    <row r="387" spans="4:36" ht="12.95" customHeight="1">
      <c r="D387" s="3" t="s">
        <v>441</v>
      </c>
      <c r="J387" s="1461" t="s">
        <v>2684</v>
      </c>
      <c r="K387" s="1461"/>
      <c r="L387" s="1461"/>
      <c r="M387" s="1461"/>
      <c r="N387" s="1461"/>
      <c r="O387" s="1461"/>
      <c r="P387" s="1461"/>
      <c r="Q387" s="1461"/>
      <c r="R387" s="1461"/>
      <c r="S387" s="1461"/>
      <c r="T387" s="1461"/>
      <c r="U387" s="1461"/>
      <c r="V387" s="3" t="s">
        <v>441</v>
      </c>
      <c r="W387" s="8"/>
      <c r="X387" s="8"/>
      <c r="Y387" s="8"/>
      <c r="Z387" s="8"/>
      <c r="AA387" s="8"/>
      <c r="AB387" s="8"/>
      <c r="AC387" s="1348"/>
      <c r="AD387" s="1348"/>
      <c r="AE387" s="1348"/>
      <c r="AF387" s="1348"/>
      <c r="AG387" s="1348"/>
      <c r="AH387" s="1348"/>
      <c r="AI387" s="1348"/>
      <c r="AJ387" s="1348"/>
    </row>
    <row r="388" spans="4:36" ht="12.95" customHeight="1">
      <c r="D388" t="s">
        <v>1178</v>
      </c>
      <c r="J388" s="1391" t="s">
        <v>2685</v>
      </c>
      <c r="K388" s="1391"/>
      <c r="L388" s="1391"/>
      <c r="M388" s="1391"/>
      <c r="N388" s="1391"/>
      <c r="O388" s="1391"/>
      <c r="P388" s="1391"/>
      <c r="Q388" s="1391"/>
      <c r="R388" s="1391"/>
      <c r="S388" s="1391"/>
      <c r="T388" s="1391"/>
      <c r="U388" s="1391"/>
      <c r="V388" s="1348"/>
      <c r="W388" s="1348"/>
      <c r="X388" s="1348"/>
      <c r="Y388" s="1348"/>
      <c r="Z388" s="1348"/>
      <c r="AA388" s="1348"/>
      <c r="AB388" s="1348"/>
      <c r="AC388" s="1348"/>
      <c r="AD388" s="1348"/>
      <c r="AE388" s="1348"/>
      <c r="AF388" s="1348"/>
      <c r="AG388" s="1348"/>
      <c r="AH388" s="1348"/>
      <c r="AI388" s="1348"/>
      <c r="AJ388" s="1348"/>
    </row>
    <row r="389" spans="4:36" ht="12.95" customHeight="1">
      <c r="D389" t="s">
        <v>4</v>
      </c>
      <c r="Q389" s="1698">
        <v>45118</v>
      </c>
      <c r="R389" s="1698"/>
      <c r="S389" s="1698"/>
      <c r="T389" s="1698"/>
      <c r="U389" s="1698"/>
      <c r="V389" t="s">
        <v>308</v>
      </c>
      <c r="AI389" s="1334" t="s">
        <v>545</v>
      </c>
      <c r="AJ389" s="1334"/>
    </row>
    <row r="390" spans="4:36" ht="12.95" customHeight="1">
      <c r="D390" t="s">
        <v>5</v>
      </c>
      <c r="Q390" s="1589">
        <v>46022</v>
      </c>
      <c r="R390" s="1842"/>
      <c r="S390" s="1842"/>
      <c r="T390" s="1842"/>
      <c r="U390" s="1842"/>
      <c r="W390" s="21" t="s">
        <v>74</v>
      </c>
      <c r="AG390" s="1809">
        <v>0</v>
      </c>
      <c r="AH390" s="1809"/>
      <c r="AI390" s="1809"/>
      <c r="AJ390" s="1809"/>
    </row>
    <row r="391" spans="4:36" ht="12.95" customHeight="1">
      <c r="D391" t="s">
        <v>426</v>
      </c>
      <c r="Q391" s="1837">
        <v>2750000</v>
      </c>
      <c r="R391" s="1837"/>
      <c r="S391" s="1837"/>
      <c r="T391" s="1837"/>
      <c r="U391" s="1837"/>
      <c r="V391" s="3" t="s">
        <v>1181</v>
      </c>
      <c r="AG391" s="1821">
        <v>45901</v>
      </c>
      <c r="AH391" s="1821"/>
      <c r="AI391" s="1821"/>
      <c r="AJ391" s="1821"/>
    </row>
    <row r="392" spans="4:36" ht="12.95" customHeight="1">
      <c r="D392" t="s">
        <v>88</v>
      </c>
      <c r="I392" s="1452"/>
      <c r="J392" s="1452"/>
      <c r="K392" s="1452"/>
      <c r="L392" s="1452"/>
      <c r="M392" s="1452"/>
      <c r="N392" s="1452"/>
      <c r="Q392" s="4" t="s">
        <v>205</v>
      </c>
      <c r="S392" s="1836"/>
      <c r="T392" s="1836"/>
      <c r="U392" s="1836"/>
      <c r="V392" t="s">
        <v>73</v>
      </c>
      <c r="AI392" s="1334" t="s">
        <v>669</v>
      </c>
      <c r="AJ392" s="1334"/>
    </row>
    <row r="393" spans="4:36" ht="12.95" customHeight="1">
      <c r="D393" t="s">
        <v>309</v>
      </c>
      <c r="Q393" s="1397">
        <v>0</v>
      </c>
      <c r="R393" s="1397"/>
      <c r="S393" s="1397"/>
      <c r="T393" s="1397"/>
      <c r="U393" s="1397"/>
      <c r="V393" t="s">
        <v>310</v>
      </c>
      <c r="AG393" s="1809">
        <v>163733</v>
      </c>
      <c r="AH393" s="1809"/>
      <c r="AI393" s="1809"/>
      <c r="AJ393" s="1809"/>
    </row>
    <row r="394" spans="4:36" ht="12.95" customHeight="1">
      <c r="D394" t="s">
        <v>311</v>
      </c>
      <c r="Q394" s="1753"/>
      <c r="R394" s="1753"/>
      <c r="S394" s="1753"/>
      <c r="T394" s="1753"/>
      <c r="U394" s="1753"/>
      <c r="V394" t="s">
        <v>1163</v>
      </c>
      <c r="AG394" s="1809">
        <v>0</v>
      </c>
      <c r="AH394" s="1809"/>
      <c r="AI394" s="1809"/>
      <c r="AJ394" s="1809"/>
    </row>
    <row r="395" spans="4:36" ht="12.95" customHeight="1">
      <c r="D395" t="s">
        <v>1162</v>
      </c>
      <c r="AG395" s="1809">
        <v>0</v>
      </c>
      <c r="AH395" s="1809"/>
      <c r="AI395" s="1809"/>
      <c r="AJ395" s="1809"/>
    </row>
    <row r="396" spans="4:36" ht="12.95" customHeight="1">
      <c r="AG396" s="457"/>
      <c r="AH396" s="457"/>
      <c r="AI396" s="457"/>
      <c r="AJ396" s="457"/>
    </row>
    <row r="397" spans="4:36" ht="12.95" customHeight="1">
      <c r="D397" s="3" t="s">
        <v>2144</v>
      </c>
      <c r="AG397" s="457"/>
      <c r="AH397" s="457"/>
      <c r="AI397" s="1334" t="s">
        <v>669</v>
      </c>
      <c r="AJ397" s="1334"/>
    </row>
    <row r="398" spans="4:36" ht="12.95" customHeight="1">
      <c r="D398" s="3" t="s">
        <v>1667</v>
      </c>
      <c r="T398" s="1749"/>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1666</v>
      </c>
      <c r="T399" s="1749"/>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7"/>
      <c r="AH400" s="457"/>
      <c r="AI400" s="457"/>
      <c r="AJ400" s="457"/>
    </row>
    <row r="401" spans="1:36" ht="12.95" customHeight="1">
      <c r="D401" s="3" t="s">
        <v>1660</v>
      </c>
      <c r="S401" s="1749" t="s">
        <v>545</v>
      </c>
      <c r="T401" s="1749"/>
      <c r="U401" s="1749"/>
      <c r="V401" t="s">
        <v>1661</v>
      </c>
      <c r="AG401" s="1822">
        <v>55</v>
      </c>
      <c r="AH401" s="1822"/>
      <c r="AI401" s="1822"/>
      <c r="AJ401" s="1822"/>
    </row>
    <row r="402" spans="1:36" ht="12.95" customHeight="1">
      <c r="D402" s="3" t="s">
        <v>1658</v>
      </c>
      <c r="S402" s="1749" t="s">
        <v>545</v>
      </c>
      <c r="T402" s="1749"/>
      <c r="U402" s="1749"/>
      <c r="V402" t="s">
        <v>1663</v>
      </c>
      <c r="AE402" s="1839">
        <v>1</v>
      </c>
      <c r="AF402" s="1839"/>
      <c r="AG402" s="1839"/>
      <c r="AH402" s="1839"/>
      <c r="AI402" s="1839"/>
      <c r="AJ402" s="1839"/>
    </row>
    <row r="403" spans="1:36" ht="12.95" customHeight="1">
      <c r="D403" s="3" t="s">
        <v>1659</v>
      </c>
      <c r="K403" s="1768"/>
      <c r="L403" s="1768"/>
      <c r="M403" s="1768"/>
      <c r="N403" s="1768"/>
      <c r="O403" s="1768"/>
      <c r="P403" s="1768"/>
      <c r="Q403" s="1768"/>
      <c r="R403" s="1768"/>
      <c r="S403" s="1768"/>
      <c r="T403" s="1768"/>
      <c r="U403" s="1768"/>
      <c r="V403" s="1768"/>
      <c r="W403" s="1768"/>
      <c r="X403" s="1768"/>
      <c r="Y403" s="1768"/>
      <c r="Z403" s="1768"/>
      <c r="AA403" s="1768"/>
      <c r="AB403" s="1768"/>
      <c r="AC403" s="1768"/>
      <c r="AD403" s="1768"/>
      <c r="AE403" s="1768"/>
      <c r="AF403" s="1768"/>
      <c r="AG403" s="1768"/>
      <c r="AH403" s="1768"/>
      <c r="AI403" s="1768"/>
      <c r="AJ403" s="1768"/>
    </row>
    <row r="404" spans="1:36" ht="12.95" customHeight="1">
      <c r="D404" s="3" t="s">
        <v>1662</v>
      </c>
      <c r="K404" s="1768" t="s">
        <v>2686</v>
      </c>
      <c r="L404" s="1768"/>
      <c r="M404" s="1768"/>
      <c r="N404" s="1768"/>
      <c r="O404" s="1768"/>
      <c r="P404" s="1768"/>
      <c r="Q404" s="1768"/>
      <c r="R404" s="1768"/>
      <c r="S404" s="1768"/>
      <c r="T404" s="1768"/>
      <c r="U404" s="1768"/>
      <c r="V404" s="1768"/>
      <c r="W404" s="1768"/>
      <c r="X404" s="1768"/>
      <c r="Y404" s="1768"/>
      <c r="Z404" s="1768"/>
      <c r="AA404" s="1768"/>
      <c r="AB404" s="1768"/>
      <c r="AC404" s="1768"/>
      <c r="AD404" s="1768"/>
      <c r="AE404" s="1768"/>
      <c r="AF404" s="1768"/>
      <c r="AG404" s="1768"/>
      <c r="AH404" s="1768"/>
      <c r="AI404" s="1768"/>
      <c r="AJ404" s="1768"/>
    </row>
    <row r="405" spans="1:36" ht="12.95" customHeight="1">
      <c r="D405" s="3" t="s">
        <v>1665</v>
      </c>
      <c r="E405" s="478"/>
      <c r="F405" s="478"/>
      <c r="G405" s="478"/>
      <c r="H405" s="478"/>
      <c r="I405" s="478"/>
      <c r="J405" s="478"/>
      <c r="K405" s="478"/>
      <c r="L405" s="478"/>
      <c r="M405" s="478"/>
      <c r="N405" s="478"/>
      <c r="O405" s="478"/>
      <c r="P405" s="478"/>
      <c r="Q405" s="478"/>
      <c r="R405" s="478"/>
      <c r="S405" s="1845" t="s">
        <v>2687</v>
      </c>
      <c r="T405" s="1845"/>
      <c r="U405" s="1845"/>
      <c r="V405" s="1845"/>
      <c r="W405" s="1845"/>
      <c r="X405" s="1845"/>
      <c r="Y405" s="1845"/>
      <c r="Z405" s="1845"/>
      <c r="AA405" s="1845"/>
      <c r="AB405" s="1845"/>
      <c r="AC405" s="1845"/>
      <c r="AD405" s="1845"/>
      <c r="AE405" s="1845"/>
      <c r="AF405" s="1845"/>
      <c r="AG405" s="1845"/>
      <c r="AH405" s="1845"/>
      <c r="AI405" s="1845"/>
      <c r="AJ405" s="1845"/>
    </row>
    <row r="406" spans="1:36" ht="12.95"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405" t="s">
        <v>2688</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5" customHeight="1">
      <c r="E411" t="s">
        <v>106</v>
      </c>
      <c r="R411" s="1334" t="s">
        <v>545</v>
      </c>
      <c r="S411" s="1334"/>
      <c r="AC411" s="27" t="s">
        <v>570</v>
      </c>
      <c r="AD411" s="1705">
        <v>5</v>
      </c>
      <c r="AE411" s="1705"/>
    </row>
    <row r="412" spans="1:36" ht="12.95" customHeight="1">
      <c r="E412" t="s">
        <v>107</v>
      </c>
      <c r="R412" s="1334" t="s">
        <v>591</v>
      </c>
      <c r="S412" s="1334"/>
      <c r="AC412" s="27" t="s">
        <v>570</v>
      </c>
      <c r="AD412" s="1705"/>
      <c r="AE412" s="1705"/>
    </row>
    <row r="413" spans="1:36" ht="12.95" customHeight="1">
      <c r="E413" t="s">
        <v>108</v>
      </c>
      <c r="S413" s="1334" t="s">
        <v>591</v>
      </c>
      <c r="T413" s="1334"/>
    </row>
    <row r="414" spans="1:36" ht="12.95" customHeight="1">
      <c r="E414" t="s">
        <v>169</v>
      </c>
      <c r="H414" s="1754" t="s">
        <v>333</v>
      </c>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row>
    <row r="415" spans="1:36" ht="12.95" customHeight="1">
      <c r="H415" s="1755"/>
      <c r="I415" s="1755"/>
      <c r="J415" s="1755"/>
      <c r="K415" s="1755"/>
      <c r="L415" s="1755"/>
      <c r="M415" s="1755"/>
      <c r="N415" s="1755"/>
      <c r="O415" s="1755"/>
      <c r="P415" s="1755"/>
      <c r="Q415" s="1755"/>
      <c r="R415" s="1755"/>
      <c r="S415" s="1755"/>
      <c r="T415" s="1755"/>
      <c r="U415" s="1755"/>
      <c r="V415" s="1755"/>
      <c r="W415" s="1755"/>
      <c r="X415" s="1755"/>
      <c r="Y415" s="1755"/>
      <c r="Z415" s="1755"/>
      <c r="AA415" s="1755"/>
      <c r="AB415" s="1755"/>
      <c r="AC415" s="1755"/>
      <c r="AD415" s="1755"/>
      <c r="AE415" s="1755"/>
    </row>
    <row r="416" spans="1:36" ht="12.95" customHeight="1"/>
    <row r="417" spans="1:39" ht="12.95" customHeight="1">
      <c r="A417" s="2" t="s">
        <v>590</v>
      </c>
      <c r="B417" s="2"/>
      <c r="C417" s="2"/>
      <c r="D417" s="2" t="s">
        <v>114</v>
      </c>
      <c r="AF417" s="2" t="s">
        <v>957</v>
      </c>
    </row>
    <row r="418" spans="1:39" ht="12.95" customHeight="1">
      <c r="E418" s="1756"/>
      <c r="F418" s="1756"/>
      <c r="G418" s="1756"/>
      <c r="H418" s="13" t="s">
        <v>115</v>
      </c>
      <c r="I418" s="1756"/>
      <c r="J418" s="1756"/>
      <c r="K418" s="1756"/>
      <c r="L418" t="s">
        <v>116</v>
      </c>
      <c r="N418" s="27" t="s">
        <v>575</v>
      </c>
      <c r="P418" s="1758">
        <v>1.53</v>
      </c>
      <c r="Q418" s="1758"/>
      <c r="R418" s="1758"/>
      <c r="S418" t="s">
        <v>117</v>
      </c>
      <c r="W418" s="1844">
        <f>IF(E418&gt;0,(E418*I418),(P418*43560))</f>
        <v>66646.8</v>
      </c>
      <c r="X418" s="1844"/>
      <c r="Y418" s="1844"/>
      <c r="Z418" t="s">
        <v>118</v>
      </c>
      <c r="AF418" s="1759">
        <f>IFERROR(IF(P418&gt;0,(AG437/P418),(AG437/(W418/43560))),0)</f>
        <v>43.13725490196078</v>
      </c>
      <c r="AG418" s="1759"/>
      <c r="AH418" s="1759"/>
      <c r="AM418" s="3"/>
    </row>
    <row r="419" spans="1:39" ht="12.95" customHeight="1">
      <c r="E419" t="s">
        <v>51</v>
      </c>
    </row>
    <row r="420" spans="1:39" ht="12.95"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2.95" customHeight="1">
      <c r="E421" s="118" t="s">
        <v>1736</v>
      </c>
      <c r="F421" s="1014"/>
      <c r="G421" s="1014"/>
      <c r="H421" s="1014"/>
      <c r="I421" s="1757">
        <v>1.53</v>
      </c>
      <c r="J421" s="1757"/>
      <c r="K421" s="1757"/>
      <c r="L421" s="1014"/>
      <c r="M421" s="118"/>
      <c r="N421" s="1014"/>
      <c r="O421" s="1014"/>
      <c r="P421" s="1414">
        <f>(DU755+DU778+DU800)/I421</f>
        <v>77.777777777777771</v>
      </c>
      <c r="Q421" s="1414"/>
      <c r="R421" s="1414"/>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4">
        <v>1</v>
      </c>
      <c r="Q424" s="1334"/>
      <c r="S424" t="s">
        <v>188</v>
      </c>
      <c r="AE424" s="1334">
        <v>1</v>
      </c>
      <c r="AF424" s="1334"/>
    </row>
    <row r="425" spans="1:39" ht="12.95" customHeight="1">
      <c r="E425" t="s">
        <v>189</v>
      </c>
      <c r="P425" s="1334">
        <v>0</v>
      </c>
      <c r="Q425" s="1334"/>
      <c r="S425" t="s">
        <v>131</v>
      </c>
      <c r="AE425" s="1334" t="s">
        <v>591</v>
      </c>
      <c r="AF425" s="1334"/>
    </row>
    <row r="426" spans="1:39" ht="12.95" customHeight="1">
      <c r="F426" s="28" t="s">
        <v>132</v>
      </c>
    </row>
    <row r="427" spans="1:39" ht="12.95" customHeight="1">
      <c r="F427" s="1793"/>
      <c r="G427" s="1793"/>
      <c r="H427" s="1793"/>
      <c r="I427" s="1793"/>
      <c r="J427" s="1793"/>
      <c r="K427" s="1793"/>
      <c r="L427" s="1793"/>
      <c r="M427" s="1793"/>
      <c r="N427" s="1793"/>
      <c r="O427" s="1793"/>
      <c r="P427" s="1793"/>
      <c r="Q427" s="1793"/>
      <c r="R427" s="1793"/>
      <c r="S427" s="1793"/>
      <c r="T427" s="1793"/>
      <c r="U427" s="1793"/>
      <c r="V427" s="1793"/>
      <c r="W427" s="1793"/>
      <c r="X427" s="1793"/>
      <c r="Y427" s="1793"/>
      <c r="Z427" s="1793"/>
      <c r="AA427" s="1793"/>
      <c r="AB427" s="1793"/>
      <c r="AC427" s="1793"/>
      <c r="AD427" s="1793"/>
      <c r="AE427" s="1793"/>
      <c r="AF427" s="1793"/>
      <c r="AG427" s="1793"/>
      <c r="AH427" s="1793"/>
    </row>
    <row r="428" spans="1:39" ht="12.95" customHeight="1">
      <c r="F428" s="1794"/>
      <c r="G428" s="1794"/>
      <c r="H428" s="1794"/>
      <c r="I428" s="1794"/>
      <c r="J428" s="1794"/>
      <c r="K428" s="1794"/>
      <c r="L428" s="1794"/>
      <c r="M428" s="1794"/>
      <c r="N428" s="1794"/>
      <c r="O428" s="1794"/>
      <c r="P428" s="1794"/>
      <c r="Q428" s="1794"/>
      <c r="R428" s="1794"/>
      <c r="S428" s="1794"/>
      <c r="T428" s="1794"/>
      <c r="U428" s="1794"/>
      <c r="V428" s="1794"/>
      <c r="W428" s="1794"/>
      <c r="X428" s="1794"/>
      <c r="Y428" s="1794"/>
      <c r="Z428" s="1794"/>
      <c r="AA428" s="1794"/>
      <c r="AB428" s="1794"/>
      <c r="AC428" s="1794"/>
      <c r="AD428" s="1794"/>
      <c r="AE428" s="1794"/>
      <c r="AF428" s="1794"/>
      <c r="AG428" s="1794"/>
      <c r="AH428" s="1794"/>
    </row>
    <row r="429" spans="1:39" ht="12.95" customHeight="1">
      <c r="E429" t="s">
        <v>608</v>
      </c>
      <c r="P429" s="1"/>
      <c r="Q429" s="1334" t="s">
        <v>545</v>
      </c>
      <c r="R429" s="1334"/>
    </row>
    <row r="430" spans="1:39" ht="12.95" customHeight="1">
      <c r="F430" t="s">
        <v>609</v>
      </c>
      <c r="P430" s="1"/>
      <c r="Q430" s="1"/>
      <c r="AF430" s="1334" t="s">
        <v>591</v>
      </c>
      <c r="AG430" s="1843"/>
    </row>
    <row r="431" spans="1:39" ht="12.95" customHeight="1"/>
    <row r="432" spans="1:39" ht="12.95" customHeight="1">
      <c r="A432" s="2"/>
      <c r="B432" s="2"/>
      <c r="C432" s="2"/>
      <c r="E432" s="4" t="s">
        <v>307</v>
      </c>
      <c r="Z432" s="1334" t="s">
        <v>669</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2.95" customHeight="1"/>
    <row r="436" spans="1:55" ht="12.95" customHeight="1">
      <c r="A436" s="2" t="s">
        <v>467</v>
      </c>
      <c r="B436" s="2"/>
      <c r="C436" s="2"/>
      <c r="D436" s="2" t="s">
        <v>764</v>
      </c>
      <c r="AF436" s="48"/>
    </row>
    <row r="437" spans="1:55" ht="12.95" customHeight="1">
      <c r="D437" s="1617" t="s">
        <v>43</v>
      </c>
      <c r="E437" s="161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760"/>
      <c r="AG437" s="1823">
        <v>66</v>
      </c>
      <c r="AH437" s="1823"/>
      <c r="AI437" s="1823"/>
      <c r="AJ437" s="1823"/>
    </row>
    <row r="438" spans="1:55" ht="12.95" customHeight="1">
      <c r="D438" s="1694" t="s">
        <v>1222</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11">
        <v>0</v>
      </c>
      <c r="AH438" s="1597"/>
      <c r="AI438" s="1597"/>
      <c r="AJ438" s="1597"/>
    </row>
    <row r="439" spans="1:55" ht="12.95" customHeight="1">
      <c r="D439" s="1694" t="s">
        <v>1031</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23">
        <v>65</v>
      </c>
      <c r="AH439" s="1823"/>
      <c r="AI439" s="1823"/>
      <c r="AJ439" s="1823"/>
    </row>
    <row r="440" spans="1:55" ht="12.95" customHeight="1">
      <c r="D440" s="1694" t="s">
        <v>1032</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23">
        <v>65</v>
      </c>
      <c r="AH440" s="1823"/>
      <c r="AI440" s="1823"/>
      <c r="AJ440" s="1823"/>
    </row>
    <row r="441" spans="1:55" ht="12.95" customHeight="1">
      <c r="D441" s="1694" t="s">
        <v>1034</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08">
        <f>IF(ISERROR(AG440/AG439),0,AG440/AG439)</f>
        <v>1</v>
      </c>
      <c r="AH441" s="1808"/>
      <c r="AI441" s="1808"/>
      <c r="AJ441" s="1808"/>
    </row>
    <row r="442" spans="1:55" ht="12.95" customHeight="1">
      <c r="D442" s="1694" t="s">
        <v>1033</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702">
        <v>49751</v>
      </c>
      <c r="AH442" s="1702"/>
      <c r="AI442" s="1702"/>
      <c r="AJ442" s="1702"/>
    </row>
    <row r="443" spans="1:55" ht="12.95" customHeight="1">
      <c r="D443" s="1694" t="s">
        <v>1035</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702">
        <v>49751</v>
      </c>
      <c r="AH443" s="1702"/>
      <c r="AI443" s="1702"/>
      <c r="AJ443" s="1702"/>
    </row>
    <row r="444" spans="1:55" ht="12.95" customHeight="1">
      <c r="D444" s="1694" t="s">
        <v>1036</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08">
        <f>IF(ISERROR(AG443/AG442),0,AG443/AG442)</f>
        <v>1</v>
      </c>
      <c r="AH444" s="1808"/>
      <c r="AI444" s="1808"/>
      <c r="AJ444" s="1808"/>
    </row>
    <row r="445" spans="1:55" ht="12.95" customHeight="1">
      <c r="D445" s="1694" t="s">
        <v>1037</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08">
        <f>MIN(IF(AG441&gt;AG444,AG444,AG441),1)</f>
        <v>1</v>
      </c>
      <c r="AH445" s="1808"/>
      <c r="AI445" s="1808"/>
      <c r="AJ445" s="1808"/>
    </row>
    <row r="446" spans="1:55" ht="12.95" customHeight="1">
      <c r="D446" s="1694" t="s">
        <v>2089</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760"/>
      <c r="AG446" s="1702">
        <v>6638</v>
      </c>
      <c r="AH446" s="1702"/>
      <c r="AI446" s="1702"/>
      <c r="AJ446" s="1702"/>
      <c r="AZ446" s="34"/>
      <c r="BA446" s="34"/>
      <c r="BB446" s="34"/>
      <c r="BC446" s="34"/>
    </row>
    <row r="447" spans="1:55" ht="12.95" customHeight="1">
      <c r="D447" s="1617" t="s">
        <v>569</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760"/>
      <c r="AG447" s="1702">
        <v>0</v>
      </c>
      <c r="AH447" s="1702"/>
      <c r="AI447" s="1702"/>
      <c r="AJ447" s="1702"/>
      <c r="AZ447" s="3"/>
      <c r="BA447" s="3"/>
      <c r="BB447" s="3"/>
      <c r="BC447" s="3"/>
    </row>
    <row r="448" spans="1:55" ht="12.95" customHeight="1">
      <c r="D448" s="1694" t="s">
        <v>1205</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760"/>
      <c r="AG448" s="1702">
        <v>18761</v>
      </c>
      <c r="AH448" s="1702"/>
      <c r="AI448" s="1702"/>
      <c r="AJ448" s="1702"/>
      <c r="AZ448" s="3"/>
      <c r="BA448" s="3"/>
      <c r="BB448" s="3"/>
      <c r="BC448" s="3"/>
    </row>
    <row r="449" spans="1:55" ht="12.95" customHeight="1">
      <c r="D449" s="1694" t="s">
        <v>1038</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760"/>
      <c r="AG449" s="1702">
        <v>0</v>
      </c>
      <c r="AH449" s="1702"/>
      <c r="AI449" s="1702"/>
      <c r="AJ449" s="1702"/>
      <c r="BB449" s="3"/>
      <c r="BC449" s="3"/>
    </row>
    <row r="450" spans="1:55" ht="12.95" customHeight="1">
      <c r="D450" s="1765" t="s">
        <v>1039</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10">
        <f>AG442+AG446+AG448+AG449</f>
        <v>75150</v>
      </c>
      <c r="AH450" s="1810"/>
      <c r="AI450" s="1810"/>
      <c r="AJ450" s="1810"/>
      <c r="AZ450" s="3"/>
      <c r="BA450" s="3"/>
      <c r="BB450" s="3"/>
      <c r="BC450" s="3"/>
    </row>
    <row r="451" spans="1:55" ht="12.95" customHeight="1">
      <c r="D451" s="1744" t="s">
        <v>1206</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4">
        <f>IF(AG437=0,"",'Sources and Uses Budget'!B105/Application!AG437)</f>
        <v>991640.28787878784</v>
      </c>
      <c r="AD454" s="1804"/>
      <c r="AE454" s="1804"/>
      <c r="AF454" s="1804"/>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4">
        <f>IF(AG437=0,"",'Sources and Uses Budget'!C105/Application!AG437)</f>
        <v>991640.28787878784</v>
      </c>
      <c r="AD455" s="1804"/>
      <c r="AE455" s="1804"/>
      <c r="AF455" s="1804"/>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4">
        <f>IF(AG437=0,"",('Sources and Uses Budget'!$S$107+'Sources and Uses Budget'!$T$107)/Application!AG437)</f>
        <v>910296.68181818177</v>
      </c>
      <c r="AD456" s="1804"/>
      <c r="AE456" s="1804"/>
      <c r="AF456" s="1804"/>
      <c r="AG456" s="177"/>
      <c r="AH456" s="177"/>
      <c r="AI456" s="177"/>
      <c r="AJ456" s="183"/>
      <c r="AZ456" s="3"/>
      <c r="BA456" s="3"/>
      <c r="BB456" s="3"/>
      <c r="BC456" s="3"/>
    </row>
    <row r="457" spans="1:55" ht="12.95" customHeight="1">
      <c r="D457" s="177"/>
      <c r="E457" s="177"/>
      <c r="F457" s="17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1"/>
      <c r="H457" s="1741"/>
      <c r="I457" s="1741"/>
      <c r="J457" s="1741"/>
      <c r="K457" s="1741"/>
      <c r="L457" s="1741"/>
      <c r="M457" s="1741"/>
      <c r="N457" s="1741"/>
      <c r="O457" s="1741"/>
      <c r="P457" s="1741"/>
      <c r="Q457" s="1741"/>
      <c r="R457" s="1741"/>
      <c r="S457" s="1741"/>
      <c r="T457" s="1741"/>
      <c r="U457" s="1741"/>
      <c r="V457" s="1741"/>
      <c r="W457" s="1741"/>
      <c r="X457" s="1741"/>
      <c r="Y457" s="1741"/>
      <c r="Z457" s="1741"/>
      <c r="AA457" s="1741"/>
      <c r="AB457" s="1741"/>
      <c r="AC457" s="516"/>
      <c r="AD457" s="177"/>
      <c r="AE457" s="177"/>
      <c r="AF457" s="177"/>
      <c r="AG457" s="177"/>
      <c r="AH457" s="177"/>
      <c r="AI457" s="177"/>
      <c r="AJ457" s="183"/>
      <c r="AZ457" s="3"/>
      <c r="BA457" s="3"/>
      <c r="BB457" s="3"/>
      <c r="BC457" s="3"/>
    </row>
    <row r="458" spans="1:55" ht="12.95" customHeight="1">
      <c r="A458" s="2"/>
      <c r="D458" s="2"/>
      <c r="E458" s="177"/>
      <c r="F458" s="1741"/>
      <c r="G458" s="1741"/>
      <c r="H458" s="1741"/>
      <c r="I458" s="1741"/>
      <c r="J458" s="1741"/>
      <c r="K458" s="1741"/>
      <c r="L458" s="1741"/>
      <c r="M458" s="1741"/>
      <c r="N458" s="1741"/>
      <c r="O458" s="1741"/>
      <c r="P458" s="1741"/>
      <c r="Q458" s="1741"/>
      <c r="R458" s="1741"/>
      <c r="S458" s="1741"/>
      <c r="T458" s="1741"/>
      <c r="U458" s="1741"/>
      <c r="V458" s="1741"/>
      <c r="W458" s="1741"/>
      <c r="X458" s="1741"/>
      <c r="Y458" s="1741"/>
      <c r="Z458" s="1741"/>
      <c r="AA458" s="1741"/>
      <c r="AB458" s="1741"/>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12" t="s">
        <v>2101</v>
      </c>
      <c r="E465" s="1751"/>
      <c r="F465" s="1751"/>
      <c r="G465" s="1751"/>
      <c r="H465" s="1751"/>
      <c r="I465" s="1751"/>
      <c r="J465" s="1751"/>
      <c r="K465" s="1751"/>
      <c r="L465" s="1751"/>
      <c r="M465" s="1751"/>
      <c r="N465" s="1751"/>
      <c r="O465" s="1751"/>
      <c r="P465" s="1751"/>
      <c r="Q465" s="1751"/>
      <c r="R465" s="1751"/>
      <c r="S465" s="1751"/>
      <c r="T465" s="1751"/>
      <c r="U465" s="1751"/>
      <c r="V465" s="1752"/>
      <c r="W465" s="1699">
        <v>33</v>
      </c>
      <c r="X465" s="1700"/>
      <c r="Y465" s="170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0" t="s">
        <v>693</v>
      </c>
      <c r="E466" s="1751"/>
      <c r="F466" s="1751"/>
      <c r="G466" s="1751"/>
      <c r="H466" s="1751"/>
      <c r="I466" s="1751"/>
      <c r="J466" s="1751"/>
      <c r="K466" s="1751"/>
      <c r="L466" s="1751"/>
      <c r="M466" s="1751"/>
      <c r="N466" s="1751"/>
      <c r="O466" s="1751"/>
      <c r="P466" s="1751"/>
      <c r="Q466" s="1751"/>
      <c r="R466" s="1751"/>
      <c r="S466" s="1751"/>
      <c r="T466" s="1751"/>
      <c r="U466" s="1751"/>
      <c r="V466" s="1752"/>
      <c r="W466" s="1699">
        <v>0</v>
      </c>
      <c r="X466" s="1700"/>
      <c r="Y466" s="170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0" t="s">
        <v>694</v>
      </c>
      <c r="E467" s="1751"/>
      <c r="F467" s="1751"/>
      <c r="G467" s="1751"/>
      <c r="H467" s="1751"/>
      <c r="I467" s="1751"/>
      <c r="J467" s="1751"/>
      <c r="K467" s="1751"/>
      <c r="L467" s="1751"/>
      <c r="M467" s="1751"/>
      <c r="N467" s="1751"/>
      <c r="O467" s="1751"/>
      <c r="P467" s="1751"/>
      <c r="Q467" s="1751"/>
      <c r="R467" s="1751"/>
      <c r="S467" s="1751"/>
      <c r="T467" s="1751"/>
      <c r="U467" s="1751"/>
      <c r="V467" s="1752"/>
      <c r="W467" s="1699">
        <v>0</v>
      </c>
      <c r="X467" s="1700"/>
      <c r="Y467" s="170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0" t="s">
        <v>695</v>
      </c>
      <c r="E468" s="1751"/>
      <c r="F468" s="1751"/>
      <c r="G468" s="1751"/>
      <c r="H468" s="1751"/>
      <c r="I468" s="1751"/>
      <c r="J468" s="1751"/>
      <c r="K468" s="1751"/>
      <c r="L468" s="1751"/>
      <c r="M468" s="1751"/>
      <c r="N468" s="1751"/>
      <c r="O468" s="1751"/>
      <c r="P468" s="1751"/>
      <c r="Q468" s="1751"/>
      <c r="R468" s="1751"/>
      <c r="S468" s="1751"/>
      <c r="T468" s="1751"/>
      <c r="U468" s="1751"/>
      <c r="V468" s="1752"/>
      <c r="W468" s="1699">
        <v>0</v>
      </c>
      <c r="X468" s="1700"/>
      <c r="Y468" s="170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0" t="s">
        <v>881</v>
      </c>
      <c r="E469" s="1751"/>
      <c r="F469" s="1751"/>
      <c r="G469" s="1751"/>
      <c r="H469" s="1751"/>
      <c r="I469" s="1751"/>
      <c r="J469" s="1751"/>
      <c r="K469" s="1751"/>
      <c r="L469" s="1751"/>
      <c r="M469" s="1751"/>
      <c r="N469" s="1751"/>
      <c r="O469" s="1751"/>
      <c r="P469" s="1751"/>
      <c r="Q469" s="1751"/>
      <c r="R469" s="1751"/>
      <c r="S469" s="1751"/>
      <c r="T469" s="1751"/>
      <c r="U469" s="1751"/>
      <c r="V469" s="1752"/>
      <c r="W469" s="1699">
        <v>0</v>
      </c>
      <c r="X469" s="1700"/>
      <c r="Y469" s="170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0" t="s">
        <v>696</v>
      </c>
      <c r="E470" s="1751"/>
      <c r="F470" s="1751"/>
      <c r="G470" s="1751"/>
      <c r="H470" s="1751"/>
      <c r="I470" s="1751"/>
      <c r="J470" s="1751"/>
      <c r="K470" s="1751"/>
      <c r="L470" s="1751"/>
      <c r="M470" s="1751"/>
      <c r="N470" s="1751"/>
      <c r="O470" s="1751"/>
      <c r="P470" s="1751"/>
      <c r="Q470" s="1751"/>
      <c r="R470" s="1751"/>
      <c r="S470" s="1751"/>
      <c r="T470" s="1751"/>
      <c r="U470" s="1751"/>
      <c r="V470" s="1752"/>
      <c r="W470" s="1699">
        <v>28</v>
      </c>
      <c r="X470" s="1700"/>
      <c r="Y470" s="170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0" t="s">
        <v>1012</v>
      </c>
      <c r="E471" s="1751"/>
      <c r="F471" s="1751"/>
      <c r="G471" s="1751"/>
      <c r="H471" s="1751"/>
      <c r="I471" s="1751"/>
      <c r="J471" s="1751"/>
      <c r="K471" s="1751"/>
      <c r="L471" s="1751"/>
      <c r="M471" s="1751"/>
      <c r="N471" s="1751"/>
      <c r="O471" s="1751"/>
      <c r="P471" s="1751"/>
      <c r="Q471" s="1751"/>
      <c r="R471" s="1751"/>
      <c r="S471" s="1751"/>
      <c r="T471" s="1751"/>
      <c r="U471" s="1751"/>
      <c r="V471" s="1752"/>
      <c r="W471" s="1699">
        <v>0</v>
      </c>
      <c r="X471" s="1700"/>
      <c r="Y471" s="170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12" t="s">
        <v>2192</v>
      </c>
      <c r="E472" s="1846"/>
      <c r="F472" s="1846"/>
      <c r="G472" s="1846"/>
      <c r="H472" s="1846"/>
      <c r="I472" s="1846"/>
      <c r="J472" s="1846"/>
      <c r="K472" s="1846"/>
      <c r="L472" s="1846"/>
      <c r="M472" s="1846"/>
      <c r="N472" s="1846"/>
      <c r="O472" s="1846"/>
      <c r="P472" s="1846"/>
      <c r="Q472" s="1846"/>
      <c r="R472" s="1846"/>
      <c r="S472" s="1846"/>
      <c r="T472" s="1846"/>
      <c r="U472" s="1846"/>
      <c r="V472" s="1847"/>
      <c r="W472" s="1699">
        <v>7</v>
      </c>
      <c r="X472" s="1700"/>
      <c r="Y472" s="170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12" t="s">
        <v>1654</v>
      </c>
      <c r="E473" s="1751"/>
      <c r="F473" s="1751"/>
      <c r="G473" s="1751"/>
      <c r="H473" s="1751"/>
      <c r="I473" s="1751"/>
      <c r="J473" s="1751"/>
      <c r="K473" s="1751"/>
      <c r="L473" s="1751"/>
      <c r="M473" s="1751"/>
      <c r="N473" s="1751"/>
      <c r="O473" s="1751"/>
      <c r="P473" s="1751"/>
      <c r="Q473" s="1751"/>
      <c r="R473" s="1751"/>
      <c r="S473" s="1751"/>
      <c r="T473" s="1751"/>
      <c r="U473" s="1751"/>
      <c r="V473" s="1752"/>
      <c r="W473" s="1699">
        <v>0</v>
      </c>
      <c r="X473" s="1700"/>
      <c r="Y473" s="170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818"/>
      <c r="H474" s="1819"/>
      <c r="I474" s="1819"/>
      <c r="J474" s="1819"/>
      <c r="K474" s="1819"/>
      <c r="L474" s="1819"/>
      <c r="M474" s="1819"/>
      <c r="N474" s="1819"/>
      <c r="O474" s="1819"/>
      <c r="P474" s="1819"/>
      <c r="Q474" s="1819"/>
      <c r="R474" s="1819"/>
      <c r="S474" s="1819"/>
      <c r="T474" s="1819"/>
      <c r="U474" s="1819"/>
      <c r="V474" s="1820"/>
      <c r="W474" s="1699">
        <v>0</v>
      </c>
      <c r="X474" s="1700"/>
      <c r="Y474" s="170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t="s">
        <v>2689</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t="s">
        <v>2690</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51" t="s">
        <v>810</v>
      </c>
      <c r="B480" s="1451"/>
      <c r="C480" s="1451"/>
      <c r="D480" s="1451"/>
      <c r="E480" s="1451"/>
      <c r="F480" s="1451"/>
      <c r="G480" s="1451"/>
      <c r="H480" s="1451"/>
      <c r="I480" s="1451"/>
      <c r="J480" s="1451"/>
      <c r="K480" s="1451"/>
      <c r="L480" s="1451"/>
      <c r="M480" s="1451"/>
      <c r="N480" s="1451"/>
      <c r="O480" s="1451"/>
      <c r="P480" s="1451"/>
      <c r="Q480" s="1451"/>
      <c r="R480" s="1451"/>
      <c r="S480" s="1451"/>
      <c r="T480" s="1451"/>
      <c r="U480" s="1451"/>
      <c r="V480" s="1451"/>
      <c r="W480" s="1451"/>
      <c r="X480" s="1451"/>
      <c r="Y480" s="1451"/>
      <c r="Z480" s="1451"/>
      <c r="AA480" s="1451"/>
      <c r="AB480" s="1451"/>
      <c r="AC480" s="1451"/>
      <c r="AD480" s="1451"/>
      <c r="AE480" s="1451"/>
      <c r="AF480" s="1451"/>
      <c r="AG480" s="1451"/>
      <c r="AH480" s="1451"/>
      <c r="AI480" s="1451"/>
      <c r="AJ480" s="1451"/>
      <c r="AK480" s="1451"/>
      <c r="AL480" s="1451"/>
      <c r="AM480" s="1451"/>
      <c r="AN480" s="1451"/>
      <c r="AO480" s="1451"/>
      <c r="AP480" s="1451"/>
      <c r="AQ480" s="1451"/>
      <c r="AR480" s="1451"/>
      <c r="AS480" s="1451"/>
      <c r="AT480" s="1451"/>
      <c r="AU480" s="95"/>
      <c r="AV480" s="95"/>
      <c r="AW480" s="95"/>
      <c r="AX480" s="95"/>
      <c r="AY480" s="95"/>
      <c r="AZ480" s="3"/>
      <c r="BB480" s="3"/>
      <c r="BC480" s="3"/>
    </row>
    <row r="481" spans="1:55" ht="12.95" customHeight="1">
      <c r="A481" s="1451"/>
      <c r="B481" s="1451"/>
      <c r="C481" s="1451"/>
      <c r="D481" s="1451"/>
      <c r="E481" s="1451"/>
      <c r="F481" s="1451"/>
      <c r="G481" s="1451"/>
      <c r="H481" s="1451"/>
      <c r="I481" s="1451"/>
      <c r="J481" s="1451"/>
      <c r="K481" s="1451"/>
      <c r="L481" s="1451"/>
      <c r="M481" s="1451"/>
      <c r="N481" s="1451"/>
      <c r="O481" s="1451"/>
      <c r="P481" s="1451"/>
      <c r="Q481" s="1451"/>
      <c r="R481" s="1451"/>
      <c r="S481" s="1451"/>
      <c r="T481" s="1451"/>
      <c r="U481" s="1451"/>
      <c r="V481" s="1451"/>
      <c r="W481" s="1451"/>
      <c r="X481" s="1451"/>
      <c r="Y481" s="1451"/>
      <c r="Z481" s="1451"/>
      <c r="AA481" s="1451"/>
      <c r="AB481" s="1451"/>
      <c r="AC481" s="1451"/>
      <c r="AD481" s="1451"/>
      <c r="AE481" s="1451"/>
      <c r="AF481" s="1451"/>
      <c r="AG481" s="1451"/>
      <c r="AH481" s="1451"/>
      <c r="AI481" s="1451"/>
      <c r="AJ481" s="1451"/>
      <c r="AK481" s="1451"/>
      <c r="AL481" s="1451"/>
      <c r="AM481" s="1451"/>
      <c r="AN481" s="1451"/>
      <c r="AO481" s="1451"/>
      <c r="AP481" s="1451"/>
      <c r="AQ481" s="1451"/>
      <c r="AR481" s="1451"/>
      <c r="AS481" s="1451"/>
      <c r="AT481" s="1451"/>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392</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393</v>
      </c>
      <c r="C486" s="5"/>
      <c r="D486" s="5"/>
      <c r="E486" s="5"/>
      <c r="F486" s="5"/>
      <c r="G486" s="5"/>
      <c r="H486" s="5"/>
      <c r="I486" s="5"/>
      <c r="J486" s="5"/>
      <c r="K486" s="5"/>
      <c r="L486" s="5"/>
      <c r="M486" s="5"/>
      <c r="N486" s="5"/>
      <c r="O486" s="5"/>
      <c r="P486" s="5"/>
      <c r="Q486" s="1551" t="s">
        <v>2691</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552"/>
      <c r="AZ486" s="3"/>
      <c r="BB486" s="3"/>
      <c r="BC486" s="3"/>
    </row>
    <row r="487" spans="1:55" ht="12.95" customHeight="1">
      <c r="B487" s="45" t="s">
        <v>394</v>
      </c>
      <c r="C487" s="5"/>
      <c r="D487" s="5"/>
      <c r="E487" s="5"/>
      <c r="F487" s="5"/>
      <c r="G487" s="5"/>
      <c r="H487" s="5"/>
      <c r="I487" s="5"/>
      <c r="J487" s="5"/>
      <c r="K487" s="5"/>
      <c r="L487" s="5"/>
      <c r="M487" s="5"/>
      <c r="N487" s="5"/>
      <c r="O487" s="5"/>
      <c r="P487" s="5"/>
      <c r="Q487" s="1551" t="s">
        <v>2692</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552"/>
      <c r="AZ487" s="3"/>
      <c r="BB487" s="3"/>
      <c r="BC487" s="3"/>
    </row>
    <row r="488" spans="1:55" ht="12.95" customHeight="1">
      <c r="B488" s="45" t="s">
        <v>395</v>
      </c>
      <c r="C488" s="5"/>
      <c r="D488" s="5"/>
      <c r="E488" s="5"/>
      <c r="F488" s="5"/>
      <c r="G488" s="5"/>
      <c r="H488" s="5"/>
      <c r="I488" s="5"/>
      <c r="J488" s="5"/>
      <c r="K488" s="5"/>
      <c r="L488" s="5"/>
      <c r="M488" s="5"/>
      <c r="N488" s="5"/>
      <c r="O488" s="5"/>
      <c r="P488" s="5"/>
      <c r="Q488" s="1551" t="s">
        <v>2693</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552"/>
      <c r="AZ488" s="3"/>
      <c r="BA488" s="3"/>
      <c r="BB488" s="3"/>
      <c r="BC488" s="3"/>
    </row>
    <row r="489" spans="1:55" ht="12.95" customHeight="1">
      <c r="B489" s="1824" t="s">
        <v>396</v>
      </c>
      <c r="C489" s="1825"/>
      <c r="D489" s="1825"/>
      <c r="E489" s="1825"/>
      <c r="F489" s="1825"/>
      <c r="G489" s="1825"/>
      <c r="H489" s="1825"/>
      <c r="I489" s="1825"/>
      <c r="J489" s="1825"/>
      <c r="K489" s="1825"/>
      <c r="L489" s="1825"/>
      <c r="M489" s="1825"/>
      <c r="N489" s="1825"/>
      <c r="O489" s="1825"/>
      <c r="P489" s="1826"/>
      <c r="Q489" s="1830" t="s">
        <v>545</v>
      </c>
      <c r="R489" s="1831"/>
      <c r="S489" s="1813" t="s">
        <v>2694</v>
      </c>
      <c r="T489" s="1814"/>
      <c r="U489" s="1814"/>
      <c r="V489" s="1814"/>
      <c r="W489" s="1814"/>
      <c r="X489" s="1814"/>
      <c r="Y489" s="1814"/>
      <c r="Z489" s="1814"/>
      <c r="AA489" s="1814"/>
      <c r="AB489" s="1814"/>
      <c r="AC489" s="1814"/>
      <c r="AD489" s="1814"/>
      <c r="AE489" s="1814"/>
      <c r="AF489" s="1814"/>
      <c r="AG489" s="1814"/>
      <c r="AH489" s="1814"/>
      <c r="AI489" s="1814"/>
      <c r="AJ489" s="1814"/>
      <c r="AK489" s="1815"/>
      <c r="AZ489" s="3"/>
      <c r="BA489" s="3"/>
      <c r="BB489" s="3"/>
      <c r="BC489" s="3"/>
    </row>
    <row r="490" spans="1:55" ht="12.95" customHeight="1">
      <c r="B490" s="1827"/>
      <c r="C490" s="1828"/>
      <c r="D490" s="1828"/>
      <c r="E490" s="1828"/>
      <c r="F490" s="1828"/>
      <c r="G490" s="1828"/>
      <c r="H490" s="1828"/>
      <c r="I490" s="1828"/>
      <c r="J490" s="1828"/>
      <c r="K490" s="1828"/>
      <c r="L490" s="1828"/>
      <c r="M490" s="1828"/>
      <c r="N490" s="1828"/>
      <c r="O490" s="1828"/>
      <c r="P490" s="1829"/>
      <c r="Q490" s="1832"/>
      <c r="R490" s="1833"/>
      <c r="S490" s="1816"/>
      <c r="T490" s="1794"/>
      <c r="U490" s="1794"/>
      <c r="V490" s="1794"/>
      <c r="W490" s="1794"/>
      <c r="X490" s="1794"/>
      <c r="Y490" s="1794"/>
      <c r="Z490" s="1794"/>
      <c r="AA490" s="1794"/>
      <c r="AB490" s="1794"/>
      <c r="AC490" s="1794"/>
      <c r="AD490" s="1794"/>
      <c r="AE490" s="1794"/>
      <c r="AF490" s="1794"/>
      <c r="AG490" s="1794"/>
      <c r="AH490" s="1794"/>
      <c r="AI490" s="1794"/>
      <c r="AJ490" s="1794"/>
      <c r="AK490" s="1817"/>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51" t="s">
        <v>2695</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55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51" t="s">
        <v>2696</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55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51">
        <v>68</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552"/>
      <c r="AZ494" s="3"/>
      <c r="BA494" s="3"/>
      <c r="BB494" s="3"/>
      <c r="BC494" s="3"/>
    </row>
    <row r="495" spans="1:55" ht="12.95" customHeight="1">
      <c r="B495" s="121" t="s">
        <v>1669</v>
      </c>
      <c r="C495" s="5"/>
      <c r="D495" s="5"/>
      <c r="E495" s="5"/>
      <c r="F495" s="5"/>
      <c r="G495" s="5"/>
      <c r="H495" s="5"/>
      <c r="I495" s="5"/>
      <c r="J495" s="5"/>
      <c r="K495" s="5"/>
      <c r="L495" s="5"/>
      <c r="M495" s="1430">
        <v>0</v>
      </c>
      <c r="N495" s="1431"/>
      <c r="O495" s="1431"/>
      <c r="P495" s="1432"/>
      <c r="Q495" s="121" t="s">
        <v>1670</v>
      </c>
      <c r="R495" s="5"/>
      <c r="S495" s="5"/>
      <c r="T495" s="5"/>
      <c r="U495" s="5"/>
      <c r="V495" s="5"/>
      <c r="W495" s="5"/>
      <c r="X495" s="5"/>
      <c r="Y495" s="5"/>
      <c r="Z495" s="5"/>
      <c r="AA495" s="5"/>
      <c r="AB495" s="5"/>
      <c r="AC495" s="5"/>
      <c r="AD495" s="5"/>
      <c r="AE495" s="5"/>
      <c r="AF495" s="5"/>
      <c r="AG495" s="5"/>
      <c r="AH495" s="1430">
        <v>68</v>
      </c>
      <c r="AI495" s="1431"/>
      <c r="AJ495" s="1431"/>
      <c r="AK495" s="143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400</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401</v>
      </c>
      <c r="AD500" s="1763"/>
      <c r="AE500" s="1763"/>
      <c r="AF500" s="1763"/>
      <c r="AG500" s="50" t="s">
        <v>402</v>
      </c>
      <c r="AH500" s="1763" t="s">
        <v>403</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82" t="s">
        <v>404</v>
      </c>
      <c r="C501" s="1454"/>
      <c r="D501" s="1454"/>
      <c r="E501" s="1454"/>
      <c r="F501" s="1454"/>
      <c r="G501" s="1454"/>
      <c r="H501" s="1455"/>
      <c r="I501" s="42" t="s">
        <v>405</v>
      </c>
      <c r="J501" s="42"/>
      <c r="K501" s="42"/>
      <c r="L501" s="42"/>
      <c r="M501" s="42"/>
      <c r="N501" s="42"/>
      <c r="O501" s="42"/>
      <c r="P501" s="42"/>
      <c r="Q501" s="42"/>
      <c r="R501" s="42"/>
      <c r="S501" s="42"/>
      <c r="T501" s="42"/>
      <c r="U501" s="42"/>
      <c r="V501" s="42"/>
      <c r="W501" s="42"/>
      <c r="AC501" s="1706">
        <v>11</v>
      </c>
      <c r="AD501" s="1705"/>
      <c r="AE501" s="1705"/>
      <c r="AF501" s="1705"/>
      <c r="AG501" s="13" t="s">
        <v>402</v>
      </c>
      <c r="AH501" s="1391">
        <v>2021</v>
      </c>
      <c r="AI501" s="1391"/>
      <c r="AJ501" s="1391"/>
      <c r="AK501" s="1392"/>
      <c r="AZ501" s="3"/>
      <c r="BA501" s="3"/>
      <c r="BB501" s="3"/>
      <c r="BC501" s="3"/>
      <c r="BD501" s="3"/>
      <c r="BE501" s="3"/>
      <c r="BF501" s="3"/>
      <c r="BG501" s="3"/>
      <c r="BH501" s="3"/>
      <c r="BI501" s="3"/>
      <c r="BJ501" s="3"/>
      <c r="BK501" s="3"/>
      <c r="BL501" s="3"/>
      <c r="BM501" s="3"/>
      <c r="BN501" s="3"/>
    </row>
    <row r="502" spans="1:66" ht="12.95" customHeight="1">
      <c r="B502" s="1683"/>
      <c r="C502" s="1456"/>
      <c r="D502" s="1456"/>
      <c r="E502" s="1456"/>
      <c r="F502" s="1456"/>
      <c r="G502" s="1456"/>
      <c r="H502" s="1457"/>
      <c r="I502" s="48" t="s">
        <v>406</v>
      </c>
      <c r="J502" s="48"/>
      <c r="K502" s="48"/>
      <c r="L502" s="48"/>
      <c r="M502" s="48"/>
      <c r="N502" s="48"/>
      <c r="O502" s="48"/>
      <c r="P502" s="48"/>
      <c r="Q502" s="48"/>
      <c r="R502" s="48"/>
      <c r="S502" s="48"/>
      <c r="T502" s="48"/>
      <c r="U502" s="48"/>
      <c r="V502" s="48"/>
      <c r="W502" s="48"/>
      <c r="X502" s="48"/>
      <c r="Y502" s="48"/>
      <c r="Z502" s="48"/>
      <c r="AA502" s="48"/>
      <c r="AB502" s="48"/>
      <c r="AC502" s="1706">
        <v>7</v>
      </c>
      <c r="AD502" s="1705"/>
      <c r="AE502" s="1705"/>
      <c r="AF502" s="1705"/>
      <c r="AG502" s="38" t="s">
        <v>402</v>
      </c>
      <c r="AH502" s="1391">
        <v>2023</v>
      </c>
      <c r="AI502" s="1391"/>
      <c r="AJ502" s="1391"/>
      <c r="AK502" s="1392"/>
      <c r="AZ502" s="3"/>
      <c r="BA502" s="3"/>
      <c r="BB502" s="3"/>
      <c r="BC502" s="3"/>
      <c r="BD502" s="3"/>
      <c r="BE502" s="3"/>
      <c r="BF502" s="3"/>
      <c r="BG502" s="3"/>
      <c r="BH502" s="3"/>
      <c r="BI502" s="3"/>
      <c r="BJ502" s="3"/>
      <c r="BK502" s="3"/>
      <c r="BL502" s="3"/>
      <c r="BM502" s="3"/>
      <c r="BN502" s="3"/>
    </row>
    <row r="503" spans="1:66" ht="12.95" customHeight="1">
      <c r="B503" s="1682" t="s">
        <v>407</v>
      </c>
      <c r="C503" s="1454"/>
      <c r="D503" s="1454"/>
      <c r="E503" s="1454"/>
      <c r="F503" s="1454"/>
      <c r="G503" s="1454"/>
      <c r="H503" s="1455"/>
      <c r="I503" s="42" t="s">
        <v>408</v>
      </c>
      <c r="J503" s="42"/>
      <c r="K503" s="42"/>
      <c r="L503" s="42"/>
      <c r="M503" s="42"/>
      <c r="N503" s="42"/>
      <c r="O503" s="42"/>
      <c r="P503" s="42"/>
      <c r="Q503" s="42"/>
      <c r="R503" s="42"/>
      <c r="S503" s="42"/>
      <c r="T503" s="42"/>
      <c r="U503" s="42"/>
      <c r="V503" s="42"/>
      <c r="W503" s="42"/>
      <c r="AC503" s="1706">
        <v>11</v>
      </c>
      <c r="AD503" s="1705"/>
      <c r="AE503" s="1705"/>
      <c r="AF503" s="1705"/>
      <c r="AG503" s="13" t="s">
        <v>402</v>
      </c>
      <c r="AH503" s="1391">
        <v>2021</v>
      </c>
      <c r="AI503" s="1391"/>
      <c r="AJ503" s="1391"/>
      <c r="AK503" s="1392"/>
      <c r="AZ503" s="3"/>
      <c r="BA503" s="3"/>
      <c r="BB503" s="3"/>
      <c r="BC503" s="3"/>
      <c r="BD503" s="3"/>
      <c r="BE503" s="3"/>
      <c r="BF503" s="3"/>
      <c r="BG503" s="3"/>
      <c r="BH503" s="3"/>
      <c r="BI503" s="3"/>
      <c r="BJ503" s="3"/>
      <c r="BK503" s="3"/>
      <c r="BL503" s="3"/>
      <c r="BM503" s="3"/>
      <c r="BN503" s="3"/>
    </row>
    <row r="504" spans="1:66" ht="12.95" customHeight="1">
      <c r="B504" s="1683"/>
      <c r="C504" s="1456"/>
      <c r="D504" s="1456"/>
      <c r="E504" s="1456"/>
      <c r="F504" s="1456"/>
      <c r="G504" s="1456"/>
      <c r="H504" s="1457"/>
      <c r="I504" t="s">
        <v>409</v>
      </c>
      <c r="AC504" s="1706" t="s">
        <v>591</v>
      </c>
      <c r="AD504" s="1705"/>
      <c r="AE504" s="1705"/>
      <c r="AF504" s="1705"/>
      <c r="AG504" s="13" t="s">
        <v>402</v>
      </c>
      <c r="AH504" s="1391"/>
      <c r="AI504" s="1391"/>
      <c r="AJ504" s="1391"/>
      <c r="AK504" s="1392"/>
      <c r="AZ504" s="3"/>
      <c r="BA504" s="3"/>
      <c r="BB504" s="3"/>
      <c r="BC504" s="3"/>
      <c r="BD504" s="3"/>
      <c r="BE504" s="3"/>
      <c r="BF504" s="3"/>
      <c r="BG504" s="3"/>
      <c r="BH504" s="3"/>
      <c r="BI504" s="3"/>
      <c r="BJ504" s="3"/>
      <c r="BK504" s="3"/>
      <c r="BL504" s="3"/>
      <c r="BM504" s="3"/>
      <c r="BN504" s="3"/>
    </row>
    <row r="505" spans="1:66" ht="12.95" customHeight="1">
      <c r="B505" s="1683"/>
      <c r="C505" s="1456"/>
      <c r="D505" s="1456"/>
      <c r="E505" s="1456"/>
      <c r="F505" s="1456"/>
      <c r="G505" s="1456"/>
      <c r="H505" s="1457"/>
      <c r="I505" t="s">
        <v>410</v>
      </c>
      <c r="AC505" s="1706">
        <v>8</v>
      </c>
      <c r="AD505" s="1705"/>
      <c r="AE505" s="1705"/>
      <c r="AF505" s="1705"/>
      <c r="AG505" s="13" t="s">
        <v>402</v>
      </c>
      <c r="AH505" s="1391">
        <v>2024</v>
      </c>
      <c r="AI505" s="1391"/>
      <c r="AJ505" s="1391"/>
      <c r="AK505" s="1392"/>
      <c r="AZ505" s="3"/>
      <c r="BA505" s="3"/>
      <c r="BB505" s="3"/>
      <c r="BC505" s="3"/>
      <c r="BD505" s="3"/>
      <c r="BE505" s="3"/>
      <c r="BF505" s="3"/>
      <c r="BG505" s="3"/>
      <c r="BH505" s="3"/>
      <c r="BI505" s="3"/>
      <c r="BJ505" s="3"/>
      <c r="BK505" s="3"/>
      <c r="BL505" s="3"/>
      <c r="BM505" s="3"/>
      <c r="BN505" s="3"/>
    </row>
    <row r="506" spans="1:66" ht="12.95" customHeight="1">
      <c r="B506" s="1683"/>
      <c r="C506" s="1456"/>
      <c r="D506" s="1456"/>
      <c r="E506" s="1456"/>
      <c r="F506" s="1456"/>
      <c r="G506" s="1456"/>
      <c r="H506" s="1457"/>
      <c r="I506" t="s">
        <v>411</v>
      </c>
      <c r="AC506" s="1706">
        <v>4</v>
      </c>
      <c r="AD506" s="1705"/>
      <c r="AE506" s="1705"/>
      <c r="AF506" s="1705"/>
      <c r="AG506" s="13" t="s">
        <v>402</v>
      </c>
      <c r="AH506" s="1391">
        <v>2025</v>
      </c>
      <c r="AI506" s="1391"/>
      <c r="AJ506" s="1391"/>
      <c r="AK506" s="1392"/>
      <c r="AZ506" s="3"/>
      <c r="BA506" s="3"/>
      <c r="BB506" s="3"/>
      <c r="BC506" s="3"/>
      <c r="BD506" s="3"/>
      <c r="BE506" s="3"/>
      <c r="BF506" s="3"/>
      <c r="BG506" s="3"/>
      <c r="BH506" s="3"/>
      <c r="BI506" s="3"/>
      <c r="BJ506" s="3"/>
      <c r="BK506" s="3"/>
      <c r="BL506" s="3"/>
      <c r="BM506" s="3"/>
      <c r="BN506" s="3"/>
    </row>
    <row r="507" spans="1:66" ht="12.95" customHeight="1">
      <c r="B507" s="1683"/>
      <c r="C507" s="1456"/>
      <c r="D507" s="1456"/>
      <c r="E507" s="1456"/>
      <c r="F507" s="1456"/>
      <c r="G507" s="1456"/>
      <c r="H507" s="1457"/>
      <c r="I507" s="3" t="s">
        <v>412</v>
      </c>
      <c r="AC507" s="1342">
        <v>4</v>
      </c>
      <c r="AD507" s="1343"/>
      <c r="AE507" s="1343"/>
      <c r="AF507" s="1343"/>
      <c r="AG507" s="13" t="s">
        <v>402</v>
      </c>
      <c r="AH507" s="1391">
        <v>2025</v>
      </c>
      <c r="AI507" s="1391"/>
      <c r="AJ507" s="1391"/>
      <c r="AK507" s="1392"/>
      <c r="AZ507" s="3"/>
      <c r="BA507" s="3"/>
      <c r="BB507" s="3"/>
      <c r="BC507" s="3"/>
      <c r="BD507" s="3"/>
      <c r="BE507" s="3"/>
      <c r="BF507" s="3"/>
      <c r="BG507" s="3"/>
      <c r="BH507" s="3"/>
      <c r="BI507" s="3"/>
      <c r="BJ507" s="3"/>
      <c r="BK507" s="3"/>
      <c r="BL507" s="3"/>
      <c r="BM507" s="3"/>
      <c r="BN507" s="3"/>
    </row>
    <row r="508" spans="1:66" ht="12.95" customHeight="1">
      <c r="B508" s="1683"/>
      <c r="C508" s="1456"/>
      <c r="D508" s="1456"/>
      <c r="E508" s="1456"/>
      <c r="F508" s="1456"/>
      <c r="G508" s="1456"/>
      <c r="H508" s="1457"/>
      <c r="I508" s="897" t="s">
        <v>169</v>
      </c>
      <c r="J508" s="48"/>
      <c r="K508" s="48"/>
      <c r="L508" s="1748" t="s">
        <v>333</v>
      </c>
      <c r="M508" s="1749"/>
      <c r="N508" s="1749"/>
      <c r="O508" s="1749"/>
      <c r="P508" s="1749"/>
      <c r="Q508" s="1749"/>
      <c r="R508" s="1749"/>
      <c r="S508" s="1749"/>
      <c r="T508" s="1749"/>
      <c r="U508" s="1749"/>
      <c r="V508" s="1749"/>
      <c r="W508" s="1749"/>
      <c r="X508" s="1749"/>
      <c r="Y508" s="1749"/>
      <c r="Z508" s="1749"/>
      <c r="AA508" s="1749"/>
      <c r="AB508" s="1835"/>
      <c r="AC508" s="1706" t="s">
        <v>591</v>
      </c>
      <c r="AD508" s="1705"/>
      <c r="AE508" s="1705"/>
      <c r="AF508" s="1705"/>
      <c r="AG508" s="38" t="s">
        <v>402</v>
      </c>
      <c r="AH508" s="1391"/>
      <c r="AI508" s="1391"/>
      <c r="AJ508" s="1391"/>
      <c r="AK508" s="139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823" t="s">
        <v>545</v>
      </c>
      <c r="AD509" s="1823"/>
      <c r="AE509" s="1823"/>
      <c r="AF509" s="1823"/>
      <c r="AG509" s="13"/>
      <c r="AH509" s="1337"/>
      <c r="AI509" s="1337"/>
      <c r="AJ509" s="1337"/>
      <c r="AK509" s="1707"/>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42" t="s">
        <v>2422</v>
      </c>
      <c r="AD510" s="1343"/>
      <c r="AE510" s="1343"/>
      <c r="AF510" s="1344"/>
      <c r="AG510" s="13"/>
      <c r="AH510" s="1337"/>
      <c r="AI510" s="1337"/>
      <c r="AJ510" s="1337"/>
      <c r="AK510" s="1707"/>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05">
        <v>0.6</v>
      </c>
      <c r="AD512" s="1806"/>
      <c r="AE512" s="1806"/>
      <c r="AF512" s="1807"/>
      <c r="AG512" s="38"/>
      <c r="AH512" s="1746"/>
      <c r="AI512" s="1746"/>
      <c r="AJ512" s="1746"/>
      <c r="AK512" s="1747"/>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761" t="s">
        <v>401</v>
      </c>
      <c r="AD513" s="1627"/>
      <c r="AE513" s="1627"/>
      <c r="AF513" s="1627"/>
      <c r="AG513" s="38" t="s">
        <v>402</v>
      </c>
      <c r="AH513" s="1627" t="s">
        <v>403</v>
      </c>
      <c r="AI513" s="1627"/>
      <c r="AJ513" s="1627"/>
      <c r="AK513" s="1834"/>
      <c r="AZ513" s="3"/>
      <c r="BA513" s="3"/>
      <c r="BB513" s="3"/>
      <c r="BC513" s="3"/>
      <c r="BD513" s="3"/>
      <c r="BE513" s="3"/>
      <c r="BF513" s="3"/>
      <c r="BG513" s="3"/>
      <c r="BH513" s="3"/>
      <c r="BI513" s="3"/>
      <c r="BJ513" s="3"/>
      <c r="BK513" s="3"/>
      <c r="BL513" s="3"/>
      <c r="BM513" s="3"/>
      <c r="BN513" s="3" t="s">
        <v>2106</v>
      </c>
    </row>
    <row r="514" spans="2:66" ht="12.95" customHeight="1">
      <c r="B514" s="1682" t="s">
        <v>413</v>
      </c>
      <c r="C514" s="1454"/>
      <c r="D514" s="1454"/>
      <c r="E514" s="1454"/>
      <c r="F514" s="1454"/>
      <c r="G514" s="1454"/>
      <c r="H514" s="1455"/>
      <c r="I514" s="42" t="s">
        <v>414</v>
      </c>
      <c r="J514" s="42"/>
      <c r="K514" s="42"/>
      <c r="L514" s="42"/>
      <c r="M514" s="42"/>
      <c r="N514" s="42"/>
      <c r="O514" s="42"/>
      <c r="P514" s="42"/>
      <c r="Q514" s="42"/>
      <c r="R514" s="42"/>
      <c r="S514" s="42"/>
      <c r="T514" s="42"/>
      <c r="U514" s="42"/>
      <c r="V514" s="42"/>
      <c r="W514" s="42"/>
      <c r="AC514" s="1706">
        <v>1</v>
      </c>
      <c r="AD514" s="1705"/>
      <c r="AE514" s="1705"/>
      <c r="AF514" s="1705"/>
      <c r="AG514" s="13" t="s">
        <v>402</v>
      </c>
      <c r="AH514" s="1391">
        <v>2025</v>
      </c>
      <c r="AI514" s="1391"/>
      <c r="AJ514" s="1391"/>
      <c r="AK514" s="1392"/>
      <c r="AZ514" s="3"/>
      <c r="BA514" s="3"/>
      <c r="BB514" s="3"/>
      <c r="BC514" s="3"/>
      <c r="BD514" s="3"/>
      <c r="BE514" s="3"/>
      <c r="BF514" s="3"/>
      <c r="BG514" s="3"/>
      <c r="BH514" s="3"/>
      <c r="BI514" s="3"/>
      <c r="BJ514" s="3"/>
      <c r="BK514" s="3"/>
      <c r="BL514" s="3"/>
      <c r="BM514" s="3"/>
      <c r="BN514" s="3" t="s">
        <v>2107</v>
      </c>
    </row>
    <row r="515" spans="2:66" ht="12.95" customHeight="1">
      <c r="B515" s="1683"/>
      <c r="C515" s="1456"/>
      <c r="D515" s="1456"/>
      <c r="E515" s="1456"/>
      <c r="F515" s="1456"/>
      <c r="G515" s="1456"/>
      <c r="H515" s="1457"/>
      <c r="I515" t="s">
        <v>415</v>
      </c>
      <c r="AC515" s="1706">
        <v>1</v>
      </c>
      <c r="AD515" s="1705"/>
      <c r="AE515" s="1705"/>
      <c r="AF515" s="1705"/>
      <c r="AG515" s="13" t="s">
        <v>402</v>
      </c>
      <c r="AH515" s="1391">
        <v>2025</v>
      </c>
      <c r="AI515" s="1391"/>
      <c r="AJ515" s="1391"/>
      <c r="AK515" s="1392"/>
      <c r="AZ515" s="3"/>
      <c r="BA515" s="3"/>
      <c r="BB515" s="3"/>
      <c r="BC515" s="3"/>
      <c r="BD515" s="3"/>
      <c r="BE515" s="3"/>
      <c r="BF515" s="3"/>
      <c r="BG515" s="3"/>
      <c r="BH515" s="3"/>
      <c r="BI515" s="3"/>
      <c r="BJ515" s="3"/>
      <c r="BK515" s="3"/>
      <c r="BL515" s="3"/>
      <c r="BM515" s="3"/>
      <c r="BN515" s="3" t="s">
        <v>2108</v>
      </c>
    </row>
    <row r="516" spans="2:66" ht="12.95" customHeight="1">
      <c r="B516" s="1683"/>
      <c r="C516" s="1456"/>
      <c r="D516" s="1456"/>
      <c r="E516" s="1456"/>
      <c r="F516" s="1456"/>
      <c r="G516" s="1456"/>
      <c r="H516" s="1457"/>
      <c r="I516" s="48" t="s">
        <v>416</v>
      </c>
      <c r="J516" s="48"/>
      <c r="K516" s="48"/>
      <c r="L516" s="48"/>
      <c r="M516" s="48"/>
      <c r="N516" s="48"/>
      <c r="O516" s="48"/>
      <c r="P516" s="48"/>
      <c r="Q516" s="48"/>
      <c r="R516" s="48"/>
      <c r="S516" s="48"/>
      <c r="T516" s="48"/>
      <c r="U516" s="48"/>
      <c r="V516" s="48"/>
      <c r="W516" s="48"/>
      <c r="X516" s="48"/>
      <c r="Y516" s="48"/>
      <c r="Z516" s="48"/>
      <c r="AA516" s="48"/>
      <c r="AB516" s="48"/>
      <c r="AC516" s="1706">
        <v>10</v>
      </c>
      <c r="AD516" s="1705"/>
      <c r="AE516" s="1705"/>
      <c r="AF516" s="1705"/>
      <c r="AG516" s="38" t="s">
        <v>402</v>
      </c>
      <c r="AH516" s="1391">
        <v>2025</v>
      </c>
      <c r="AI516" s="1391"/>
      <c r="AJ516" s="1391"/>
      <c r="AK516" s="1392"/>
      <c r="AZ516" s="3"/>
      <c r="BA516" s="3"/>
      <c r="BB516" s="3"/>
      <c r="BC516" s="3"/>
      <c r="BD516" s="3"/>
      <c r="BE516" s="3"/>
      <c r="BF516" s="3"/>
      <c r="BG516" s="3"/>
      <c r="BH516" s="3"/>
      <c r="BI516" s="3"/>
      <c r="BJ516" s="3"/>
      <c r="BK516" s="3"/>
      <c r="BL516" s="3"/>
      <c r="BM516" s="3"/>
      <c r="BN516" s="3" t="s">
        <v>2109</v>
      </c>
    </row>
    <row r="517" spans="2:66" ht="12.95" customHeight="1">
      <c r="B517" s="1682" t="s">
        <v>417</v>
      </c>
      <c r="C517" s="1454"/>
      <c r="D517" s="1454"/>
      <c r="E517" s="1454"/>
      <c r="F517" s="1454"/>
      <c r="G517" s="1454"/>
      <c r="H517" s="1455"/>
      <c r="I517" s="42" t="s">
        <v>414</v>
      </c>
      <c r="J517" s="42"/>
      <c r="K517" s="42"/>
      <c r="L517" s="42"/>
      <c r="M517" s="42"/>
      <c r="N517" s="42"/>
      <c r="O517" s="42"/>
      <c r="P517" s="42"/>
      <c r="Q517" s="42"/>
      <c r="R517" s="42"/>
      <c r="S517" s="42"/>
      <c r="T517" s="42"/>
      <c r="U517" s="42"/>
      <c r="V517" s="42"/>
      <c r="W517" s="42"/>
      <c r="X517" s="42"/>
      <c r="Y517" s="42"/>
      <c r="Z517" s="42"/>
      <c r="AA517" s="42"/>
      <c r="AB517" s="42"/>
      <c r="AC517" s="1342">
        <v>1</v>
      </c>
      <c r="AD517" s="1343"/>
      <c r="AE517" s="1343"/>
      <c r="AF517" s="1343"/>
      <c r="AG517" s="129" t="s">
        <v>402</v>
      </c>
      <c r="AH517" s="1391">
        <v>2025</v>
      </c>
      <c r="AI517" s="1391"/>
      <c r="AJ517" s="1391"/>
      <c r="AK517" s="1392"/>
      <c r="AZ517" s="3"/>
      <c r="BB517" s="3"/>
      <c r="BC517" s="3"/>
      <c r="BD517" s="3"/>
      <c r="BE517" s="3"/>
      <c r="BF517" s="3"/>
      <c r="BG517" s="3"/>
      <c r="BH517" s="3"/>
      <c r="BI517" s="3"/>
      <c r="BJ517" s="3"/>
      <c r="BK517" s="3"/>
      <c r="BL517" s="3"/>
      <c r="BM517" s="3"/>
      <c r="BN517" s="3" t="s">
        <v>2110</v>
      </c>
    </row>
    <row r="518" spans="2:66" ht="12.95" customHeight="1">
      <c r="B518" s="1683"/>
      <c r="C518" s="1456"/>
      <c r="D518" s="1456"/>
      <c r="E518" s="1456"/>
      <c r="F518" s="1456"/>
      <c r="G518" s="1456"/>
      <c r="H518" s="1457"/>
      <c r="I518" t="s">
        <v>415</v>
      </c>
      <c r="AC518" s="1706">
        <v>1</v>
      </c>
      <c r="AD518" s="1705"/>
      <c r="AE518" s="1705"/>
      <c r="AF518" s="1705"/>
      <c r="AG518" s="13" t="s">
        <v>402</v>
      </c>
      <c r="AH518" s="1391">
        <v>2025</v>
      </c>
      <c r="AI518" s="1391"/>
      <c r="AJ518" s="1391"/>
      <c r="AK518" s="1392"/>
      <c r="BB518" s="3"/>
      <c r="BC518" s="3"/>
      <c r="BD518" s="3"/>
      <c r="BE518" s="3"/>
      <c r="BF518" s="3"/>
      <c r="BG518" s="3"/>
      <c r="BH518" s="3"/>
      <c r="BI518" s="3"/>
      <c r="BJ518" s="3"/>
      <c r="BK518" s="3"/>
      <c r="BL518" s="3"/>
      <c r="BM518" s="3"/>
      <c r="BN518" s="3" t="s">
        <v>2111</v>
      </c>
    </row>
    <row r="519" spans="2:66" ht="12.95" customHeight="1">
      <c r="B519" s="1684"/>
      <c r="C519" s="1458"/>
      <c r="D519" s="1458"/>
      <c r="E519" s="1458"/>
      <c r="F519" s="1458"/>
      <c r="G519" s="1458"/>
      <c r="H519" s="1459"/>
      <c r="I519" s="48" t="s">
        <v>416</v>
      </c>
      <c r="J519" s="48"/>
      <c r="K519" s="48"/>
      <c r="L519" s="48"/>
      <c r="M519" s="48"/>
      <c r="N519" s="48"/>
      <c r="O519" s="48"/>
      <c r="P519" s="48"/>
      <c r="Q519" s="48"/>
      <c r="R519" s="48"/>
      <c r="S519" s="48"/>
      <c r="T519" s="48"/>
      <c r="U519" s="48"/>
      <c r="V519" s="48"/>
      <c r="W519" s="48"/>
      <c r="X519" s="48"/>
      <c r="Y519" s="48"/>
      <c r="Z519" s="48"/>
      <c r="AA519" s="48"/>
      <c r="AB519" s="48"/>
      <c r="AC519" s="1706">
        <v>3</v>
      </c>
      <c r="AD519" s="1705"/>
      <c r="AE519" s="1705"/>
      <c r="AF519" s="1705"/>
      <c r="AG519" s="38" t="s">
        <v>402</v>
      </c>
      <c r="AH519" s="1391">
        <v>2028</v>
      </c>
      <c r="AI519" s="1391"/>
      <c r="AJ519" s="1391"/>
      <c r="AK519" s="1392"/>
      <c r="BB519" s="3"/>
      <c r="BC519" s="3"/>
      <c r="BD519" s="3"/>
      <c r="BE519" s="3"/>
      <c r="BF519" s="3"/>
      <c r="BG519" s="3"/>
      <c r="BH519" s="3"/>
      <c r="BI519" s="3"/>
      <c r="BJ519" s="3"/>
      <c r="BK519" s="3"/>
      <c r="BL519" s="3"/>
      <c r="BM519" s="3"/>
      <c r="BN519" s="3" t="s">
        <v>2112</v>
      </c>
    </row>
    <row r="520" spans="2:66" ht="12.95" customHeight="1">
      <c r="B520" s="1682" t="s">
        <v>418</v>
      </c>
      <c r="C520" s="1454"/>
      <c r="D520" s="1454"/>
      <c r="E520" s="1454"/>
      <c r="F520" s="1454"/>
      <c r="G520" s="1454"/>
      <c r="H520" s="1455"/>
      <c r="I520" s="41" t="s">
        <v>419</v>
      </c>
      <c r="J520" s="42"/>
      <c r="K520" s="42"/>
      <c r="L520" s="42"/>
      <c r="M520" s="42"/>
      <c r="N520" s="42"/>
      <c r="O520" s="1748" t="s">
        <v>2697</v>
      </c>
      <c r="P520" s="1749"/>
      <c r="Q520" s="1749"/>
      <c r="R520" s="1749"/>
      <c r="S520" s="1749"/>
      <c r="T520" s="1749"/>
      <c r="U520" s="1749"/>
      <c r="V520" s="1749"/>
      <c r="W520" s="1749"/>
      <c r="X520" s="1749"/>
      <c r="Y520" s="1749"/>
      <c r="Z520" s="1749"/>
      <c r="AA520" s="1749"/>
      <c r="AB520" s="58"/>
      <c r="AC520" s="1342" t="s">
        <v>591</v>
      </c>
      <c r="AD520" s="1343"/>
      <c r="AE520" s="1343"/>
      <c r="AF520" s="1343"/>
      <c r="AG520" s="129" t="s">
        <v>402</v>
      </c>
      <c r="AH520" s="1391"/>
      <c r="AI520" s="1391"/>
      <c r="AJ520" s="1391"/>
      <c r="AK520" s="1392"/>
      <c r="AZ520" s="3"/>
      <c r="BB520" s="3"/>
      <c r="BC520" s="3"/>
      <c r="BD520" s="3"/>
      <c r="BE520" s="3"/>
      <c r="BF520" s="3"/>
      <c r="BG520" s="3"/>
      <c r="BH520" s="3"/>
      <c r="BI520" s="3"/>
      <c r="BJ520" s="3"/>
      <c r="BK520" s="3"/>
      <c r="BL520" s="3"/>
      <c r="BM520" s="3"/>
      <c r="BN520" s="3" t="s">
        <v>2113</v>
      </c>
    </row>
    <row r="521" spans="2:66" ht="12.95" customHeight="1">
      <c r="B521" s="1683"/>
      <c r="C521" s="1456"/>
      <c r="D521" s="1456"/>
      <c r="E521" s="1456"/>
      <c r="F521" s="1456"/>
      <c r="G521" s="1456"/>
      <c r="H521" s="1457"/>
      <c r="I521" s="114" t="s">
        <v>420</v>
      </c>
      <c r="AB521" s="65"/>
      <c r="AC521" s="1706">
        <v>9</v>
      </c>
      <c r="AD521" s="1705"/>
      <c r="AE521" s="1705"/>
      <c r="AF521" s="1705"/>
      <c r="AG521" s="13" t="s">
        <v>402</v>
      </c>
      <c r="AH521" s="1391">
        <v>2023</v>
      </c>
      <c r="AI521" s="1391"/>
      <c r="AJ521" s="1391"/>
      <c r="AK521" s="1392"/>
      <c r="AZ521" s="3"/>
      <c r="BB521" s="3"/>
      <c r="BC521" s="3"/>
      <c r="BD521" s="3"/>
      <c r="BE521" s="3"/>
      <c r="BF521" s="3"/>
      <c r="BG521" s="3"/>
      <c r="BH521" s="3"/>
      <c r="BI521" s="3"/>
      <c r="BJ521" s="3"/>
      <c r="BK521" s="3"/>
      <c r="BL521" s="3"/>
      <c r="BM521" s="3"/>
      <c r="BN521" s="3" t="s">
        <v>2114</v>
      </c>
    </row>
    <row r="522" spans="2:66" ht="12.95" customHeight="1">
      <c r="B522" s="1683"/>
      <c r="C522" s="1456"/>
      <c r="D522" s="1456"/>
      <c r="E522" s="1456"/>
      <c r="F522" s="1456"/>
      <c r="G522" s="1456"/>
      <c r="H522" s="1457"/>
      <c r="I522" s="47" t="s">
        <v>421</v>
      </c>
      <c r="J522" s="48"/>
      <c r="K522" s="48"/>
      <c r="L522" s="48"/>
      <c r="M522" s="48"/>
      <c r="N522" s="48"/>
      <c r="O522" s="48"/>
      <c r="P522" s="48"/>
      <c r="Q522" s="48"/>
      <c r="R522" s="48"/>
      <c r="S522" s="48"/>
      <c r="T522" s="48"/>
      <c r="U522" s="48"/>
      <c r="V522" s="48"/>
      <c r="W522" s="48"/>
      <c r="X522" s="48"/>
      <c r="Y522" s="48"/>
      <c r="Z522" s="48"/>
      <c r="AA522" s="48"/>
      <c r="AB522" s="49"/>
      <c r="AC522" s="1706">
        <v>10</v>
      </c>
      <c r="AD522" s="1705"/>
      <c r="AE522" s="1705"/>
      <c r="AF522" s="1705"/>
      <c r="AG522" s="38" t="s">
        <v>402</v>
      </c>
      <c r="AH522" s="1391">
        <v>2025</v>
      </c>
      <c r="AI522" s="1391"/>
      <c r="AJ522" s="1391"/>
      <c r="AK522" s="1392"/>
      <c r="AZ522" s="3"/>
      <c r="BA522" s="3"/>
      <c r="BB522" s="3"/>
      <c r="BC522" s="3"/>
      <c r="BD522" s="3"/>
      <c r="BE522" s="3"/>
      <c r="BF522" s="3"/>
      <c r="BG522" s="3"/>
      <c r="BH522" s="3"/>
      <c r="BI522" s="3"/>
      <c r="BJ522" s="3"/>
      <c r="BK522" s="3"/>
      <c r="BL522" s="3"/>
      <c r="BM522" s="3"/>
      <c r="BN522" s="3" t="s">
        <v>2115</v>
      </c>
    </row>
    <row r="523" spans="2:66" ht="12.95" customHeight="1">
      <c r="B523" s="1683"/>
      <c r="C523" s="1456"/>
      <c r="D523" s="1456"/>
      <c r="E523" s="1456"/>
      <c r="F523" s="1456"/>
      <c r="G523" s="1456"/>
      <c r="H523" s="1457"/>
      <c r="I523" s="42" t="s">
        <v>422</v>
      </c>
      <c r="J523" s="42"/>
      <c r="K523" s="42"/>
      <c r="L523" s="42"/>
      <c r="M523" s="42"/>
      <c r="N523" s="42"/>
      <c r="O523" s="1748" t="s">
        <v>2686</v>
      </c>
      <c r="P523" s="1749"/>
      <c r="Q523" s="1749"/>
      <c r="R523" s="1749"/>
      <c r="S523" s="1749"/>
      <c r="T523" s="1749"/>
      <c r="U523" s="1749"/>
      <c r="V523" s="1749"/>
      <c r="W523" s="1749"/>
      <c r="X523" s="1749"/>
      <c r="Y523" s="1749"/>
      <c r="Z523" s="1749"/>
      <c r="AA523" s="1749"/>
      <c r="AC523" s="1706" t="s">
        <v>591</v>
      </c>
      <c r="AD523" s="1705"/>
      <c r="AE523" s="1705"/>
      <c r="AF523" s="1705"/>
      <c r="AG523" s="13" t="s">
        <v>402</v>
      </c>
      <c r="AH523" s="1391"/>
      <c r="AI523" s="1391"/>
      <c r="AJ523" s="1391"/>
      <c r="AK523" s="1392"/>
      <c r="AZ523" s="3"/>
      <c r="BA523" s="3"/>
      <c r="BB523" s="3"/>
      <c r="BC523" s="3"/>
      <c r="BD523" s="3"/>
      <c r="BE523" s="3"/>
      <c r="BF523" s="3"/>
      <c r="BG523" s="3"/>
      <c r="BH523" s="3"/>
      <c r="BI523" s="3"/>
      <c r="BJ523" s="3"/>
      <c r="BK523" s="3"/>
      <c r="BL523" s="3"/>
      <c r="BM523" s="3"/>
      <c r="BN523" s="3" t="s">
        <v>2116</v>
      </c>
    </row>
    <row r="524" spans="2:66" ht="12.95" customHeight="1">
      <c r="B524" s="1683"/>
      <c r="C524" s="1456"/>
      <c r="D524" s="1456"/>
      <c r="E524" s="1456"/>
      <c r="F524" s="1456"/>
      <c r="G524" s="1456"/>
      <c r="H524" s="1457"/>
      <c r="I524" t="s">
        <v>420</v>
      </c>
      <c r="AC524" s="1706">
        <v>5</v>
      </c>
      <c r="AD524" s="1705"/>
      <c r="AE524" s="1705"/>
      <c r="AF524" s="1705"/>
      <c r="AG524" s="13" t="s">
        <v>402</v>
      </c>
      <c r="AH524" s="1391">
        <v>2022</v>
      </c>
      <c r="AI524" s="1391"/>
      <c r="AJ524" s="1391"/>
      <c r="AK524" s="1392"/>
      <c r="AZ524" s="3"/>
      <c r="BA524" s="3"/>
      <c r="BB524" s="3"/>
      <c r="BC524" s="3"/>
      <c r="BD524" s="3"/>
      <c r="BE524" s="3"/>
      <c r="BF524" s="3"/>
      <c r="BG524" s="3"/>
      <c r="BH524" s="3"/>
      <c r="BI524" s="3"/>
      <c r="BJ524" s="3"/>
      <c r="BK524" s="3"/>
      <c r="BL524" s="3"/>
      <c r="BM524" s="3"/>
      <c r="BN524" s="3" t="s">
        <v>2117</v>
      </c>
    </row>
    <row r="525" spans="2:66" ht="12.95" customHeight="1">
      <c r="B525" s="1683"/>
      <c r="C525" s="1456"/>
      <c r="D525" s="1456"/>
      <c r="E525" s="1456"/>
      <c r="F525" s="1456"/>
      <c r="G525" s="1456"/>
      <c r="H525" s="1457"/>
      <c r="I525" s="48" t="s">
        <v>421</v>
      </c>
      <c r="J525" s="48"/>
      <c r="K525" s="48"/>
      <c r="L525" s="48"/>
      <c r="M525" s="48"/>
      <c r="N525" s="48"/>
      <c r="O525" s="48"/>
      <c r="P525" s="48"/>
      <c r="Q525" s="48"/>
      <c r="R525" s="48"/>
      <c r="S525" s="48"/>
      <c r="T525" s="48"/>
      <c r="U525" s="48"/>
      <c r="V525" s="48"/>
      <c r="W525" s="48"/>
      <c r="X525" s="48"/>
      <c r="Y525" s="48"/>
      <c r="Z525" s="48"/>
      <c r="AA525" s="48"/>
      <c r="AB525" s="48"/>
      <c r="AC525" s="1706">
        <v>10</v>
      </c>
      <c r="AD525" s="1705"/>
      <c r="AE525" s="1705"/>
      <c r="AF525" s="1705"/>
      <c r="AG525" s="38" t="s">
        <v>402</v>
      </c>
      <c r="AH525" s="1391">
        <v>2025</v>
      </c>
      <c r="AI525" s="1391"/>
      <c r="AJ525" s="1391"/>
      <c r="AK525" s="1392"/>
      <c r="AZ525" s="3"/>
      <c r="BA525" s="3"/>
      <c r="BB525" s="3"/>
      <c r="BC525" s="3"/>
      <c r="BD525" s="3"/>
      <c r="BE525" s="3"/>
      <c r="BF525" s="3"/>
      <c r="BG525" s="3"/>
      <c r="BH525" s="3"/>
      <c r="BI525" s="3"/>
      <c r="BJ525" s="3"/>
      <c r="BK525" s="3"/>
      <c r="BL525" s="3"/>
      <c r="BM525" s="3"/>
      <c r="BN525" s="3" t="s">
        <v>2118</v>
      </c>
    </row>
    <row r="526" spans="2:66" ht="12.95" customHeight="1">
      <c r="B526" s="1683"/>
      <c r="C526" s="1456"/>
      <c r="D526" s="1456"/>
      <c r="E526" s="1456"/>
      <c r="F526" s="1456"/>
      <c r="G526" s="1456"/>
      <c r="H526" s="1457"/>
      <c r="I526" s="42" t="s">
        <v>422</v>
      </c>
      <c r="J526" s="42"/>
      <c r="K526" s="42"/>
      <c r="L526" s="42"/>
      <c r="M526" s="42"/>
      <c r="N526" s="42"/>
      <c r="O526" s="1748" t="s">
        <v>333</v>
      </c>
      <c r="P526" s="1749"/>
      <c r="Q526" s="1749"/>
      <c r="R526" s="1749"/>
      <c r="S526" s="1749"/>
      <c r="T526" s="1749"/>
      <c r="U526" s="1749"/>
      <c r="V526" s="1749"/>
      <c r="W526" s="1749"/>
      <c r="X526" s="1749"/>
      <c r="Y526" s="1749"/>
      <c r="Z526" s="1749"/>
      <c r="AA526" s="1749"/>
      <c r="AC526" s="1706" t="s">
        <v>591</v>
      </c>
      <c r="AD526" s="1705"/>
      <c r="AE526" s="1705"/>
      <c r="AF526" s="1705"/>
      <c r="AG526" s="13" t="s">
        <v>402</v>
      </c>
      <c r="AH526" s="1391"/>
      <c r="AI526" s="1391"/>
      <c r="AJ526" s="1391"/>
      <c r="AK526" s="1392"/>
      <c r="AZ526" s="3"/>
      <c r="BA526" s="3"/>
      <c r="BB526" s="3"/>
      <c r="BC526" s="3"/>
      <c r="BD526" s="3"/>
      <c r="BE526" s="3"/>
      <c r="BF526" s="3"/>
      <c r="BG526" s="3"/>
      <c r="BH526" s="3"/>
      <c r="BI526" s="3"/>
      <c r="BJ526" s="3"/>
      <c r="BK526" s="3"/>
      <c r="BL526" s="3"/>
      <c r="BM526" s="3"/>
      <c r="BN526" s="3" t="s">
        <v>2119</v>
      </c>
    </row>
    <row r="527" spans="2:66" ht="12.95" customHeight="1">
      <c r="B527" s="1683"/>
      <c r="C527" s="1456"/>
      <c r="D527" s="1456"/>
      <c r="E527" s="1456"/>
      <c r="F527" s="1456"/>
      <c r="G527" s="1456"/>
      <c r="H527" s="1457"/>
      <c r="I527" t="s">
        <v>420</v>
      </c>
      <c r="AC527" s="1706" t="s">
        <v>591</v>
      </c>
      <c r="AD527" s="1705"/>
      <c r="AE527" s="1705"/>
      <c r="AF527" s="1705"/>
      <c r="AG527" s="13" t="s">
        <v>402</v>
      </c>
      <c r="AH527" s="1391"/>
      <c r="AI527" s="1391"/>
      <c r="AJ527" s="1391"/>
      <c r="AK527" s="1392"/>
      <c r="AZ527" s="3"/>
      <c r="BA527" s="3"/>
      <c r="BB527" s="3"/>
      <c r="BC527" s="3"/>
      <c r="BD527" s="3"/>
      <c r="BE527" s="3"/>
      <c r="BF527" s="3"/>
      <c r="BG527" s="3"/>
      <c r="BH527" s="3"/>
      <c r="BI527" s="3"/>
      <c r="BJ527" s="3"/>
      <c r="BK527" s="3"/>
      <c r="BL527" s="3"/>
      <c r="BM527" s="3"/>
      <c r="BN527" s="3" t="s">
        <v>2120</v>
      </c>
    </row>
    <row r="528" spans="2:66" ht="12.95" customHeight="1">
      <c r="B528" s="1683"/>
      <c r="C528" s="1456"/>
      <c r="D528" s="1456"/>
      <c r="E528" s="1456"/>
      <c r="F528" s="1456"/>
      <c r="G528" s="1456"/>
      <c r="H528" s="1457"/>
      <c r="I528" s="48" t="s">
        <v>421</v>
      </c>
      <c r="J528" s="48"/>
      <c r="K528" s="48"/>
      <c r="L528" s="48"/>
      <c r="M528" s="48"/>
      <c r="N528" s="48"/>
      <c r="O528" s="48"/>
      <c r="P528" s="48"/>
      <c r="Q528" s="48"/>
      <c r="R528" s="48"/>
      <c r="S528" s="48"/>
      <c r="T528" s="48"/>
      <c r="U528" s="48"/>
      <c r="V528" s="48"/>
      <c r="W528" s="48"/>
      <c r="X528" s="48"/>
      <c r="Y528" s="48"/>
      <c r="Z528" s="48"/>
      <c r="AA528" s="48"/>
      <c r="AB528" s="48"/>
      <c r="AC528" s="1706" t="s">
        <v>591</v>
      </c>
      <c r="AD528" s="1705"/>
      <c r="AE528" s="1705"/>
      <c r="AF528" s="1705"/>
      <c r="AG528" s="38" t="s">
        <v>402</v>
      </c>
      <c r="AH528" s="1391"/>
      <c r="AI528" s="1391"/>
      <c r="AJ528" s="1391"/>
      <c r="AK528" s="1392"/>
      <c r="AZ528" s="3"/>
      <c r="BA528" s="3"/>
      <c r="BB528" s="3"/>
      <c r="BC528" s="3"/>
      <c r="BD528" s="3"/>
      <c r="BE528" s="3"/>
      <c r="BF528" s="3"/>
      <c r="BG528" s="3"/>
      <c r="BH528" s="3"/>
      <c r="BI528" s="3"/>
      <c r="BJ528" s="3"/>
      <c r="BK528" s="3"/>
      <c r="BL528" s="3"/>
      <c r="BM528" s="3"/>
      <c r="BN528" s="3" t="s">
        <v>2121</v>
      </c>
    </row>
    <row r="529" spans="1:66" ht="12.95" customHeight="1">
      <c r="B529" s="1683"/>
      <c r="C529" s="1456"/>
      <c r="D529" s="1456"/>
      <c r="E529" s="1456"/>
      <c r="F529" s="1456"/>
      <c r="G529" s="1456"/>
      <c r="H529" s="1457"/>
      <c r="I529" s="42" t="s">
        <v>422</v>
      </c>
      <c r="J529" s="42"/>
      <c r="K529" s="42"/>
      <c r="L529" s="42"/>
      <c r="M529" s="42"/>
      <c r="N529" s="42"/>
      <c r="O529" s="1748" t="s">
        <v>333</v>
      </c>
      <c r="P529" s="1749"/>
      <c r="Q529" s="1749"/>
      <c r="R529" s="1749"/>
      <c r="S529" s="1749"/>
      <c r="T529" s="1749"/>
      <c r="U529" s="1749"/>
      <c r="V529" s="1749"/>
      <c r="W529" s="1749"/>
      <c r="X529" s="1749"/>
      <c r="Y529" s="1749"/>
      <c r="Z529" s="1749"/>
      <c r="AA529" s="1749"/>
      <c r="AC529" s="1706" t="s">
        <v>591</v>
      </c>
      <c r="AD529" s="1705"/>
      <c r="AE529" s="1705"/>
      <c r="AF529" s="1705"/>
      <c r="AG529" s="13" t="s">
        <v>402</v>
      </c>
      <c r="AH529" s="1391"/>
      <c r="AI529" s="1391"/>
      <c r="AJ529" s="1391"/>
      <c r="AK529" s="1392"/>
      <c r="AZ529" s="3"/>
      <c r="BA529" s="3"/>
      <c r="BB529" s="3"/>
      <c r="BC529" s="3"/>
      <c r="BD529" s="3"/>
      <c r="BE529" s="3"/>
      <c r="BF529" s="3"/>
      <c r="BG529" s="3"/>
      <c r="BH529" s="3"/>
      <c r="BI529" s="3"/>
      <c r="BJ529" s="3"/>
      <c r="BK529" s="3"/>
      <c r="BL529" s="3"/>
      <c r="BM529" s="3"/>
      <c r="BN529" s="3" t="s">
        <v>2122</v>
      </c>
    </row>
    <row r="530" spans="1:66" ht="12.95" customHeight="1">
      <c r="B530" s="1683"/>
      <c r="C530" s="1456"/>
      <c r="D530" s="1456"/>
      <c r="E530" s="1456"/>
      <c r="F530" s="1456"/>
      <c r="G530" s="1456"/>
      <c r="H530" s="1457"/>
      <c r="I530" t="s">
        <v>420</v>
      </c>
      <c r="AC530" s="1706" t="s">
        <v>591</v>
      </c>
      <c r="AD530" s="1705"/>
      <c r="AE530" s="1705"/>
      <c r="AF530" s="1705"/>
      <c r="AG530" s="13" t="s">
        <v>402</v>
      </c>
      <c r="AH530" s="1391"/>
      <c r="AI530" s="1391"/>
      <c r="AJ530" s="1391"/>
      <c r="AK530" s="1392"/>
      <c r="AZ530" s="3"/>
      <c r="BA530" s="3"/>
      <c r="BB530" s="3"/>
      <c r="BC530" s="3"/>
      <c r="BD530" s="3"/>
      <c r="BE530" s="3"/>
      <c r="BF530" s="3"/>
      <c r="BG530" s="3"/>
      <c r="BH530" s="3"/>
      <c r="BI530" s="3"/>
      <c r="BJ530" s="3"/>
      <c r="BK530" s="3"/>
      <c r="BL530" s="3"/>
      <c r="BM530" s="3"/>
      <c r="BN530" s="3" t="s">
        <v>2123</v>
      </c>
    </row>
    <row r="531" spans="1:66" ht="12.95" customHeight="1">
      <c r="B531" s="1683"/>
      <c r="C531" s="1456"/>
      <c r="D531" s="1456"/>
      <c r="E531" s="1456"/>
      <c r="F531" s="1456"/>
      <c r="G531" s="1456"/>
      <c r="H531" s="1457"/>
      <c r="I531" s="48" t="s">
        <v>421</v>
      </c>
      <c r="J531" s="48"/>
      <c r="K531" s="48"/>
      <c r="L531" s="48"/>
      <c r="M531" s="48"/>
      <c r="N531" s="48"/>
      <c r="O531" s="48"/>
      <c r="P531" s="48"/>
      <c r="Q531" s="48"/>
      <c r="R531" s="48"/>
      <c r="S531" s="48"/>
      <c r="T531" s="48"/>
      <c r="U531" s="48"/>
      <c r="V531" s="48"/>
      <c r="W531" s="48"/>
      <c r="X531" s="48"/>
      <c r="Y531" s="48"/>
      <c r="Z531" s="48"/>
      <c r="AA531" s="48"/>
      <c r="AB531" s="48"/>
      <c r="AC531" s="1706" t="s">
        <v>591</v>
      </c>
      <c r="AD531" s="1705"/>
      <c r="AE531" s="1705"/>
      <c r="AF531" s="1705"/>
      <c r="AG531" s="38" t="s">
        <v>402</v>
      </c>
      <c r="AH531" s="1391"/>
      <c r="AI531" s="1391"/>
      <c r="AJ531" s="1391"/>
      <c r="AK531" s="1392"/>
      <c r="AZ531" s="3"/>
      <c r="BA531" s="3"/>
      <c r="BB531" s="3"/>
      <c r="BC531" s="3"/>
      <c r="BD531" s="3"/>
      <c r="BE531" s="3"/>
      <c r="BF531" s="3"/>
      <c r="BG531" s="3"/>
      <c r="BH531" s="3"/>
      <c r="BI531" s="3"/>
      <c r="BJ531" s="3"/>
      <c r="BK531" s="3"/>
      <c r="BL531" s="3"/>
      <c r="BM531" s="3"/>
      <c r="BN531" s="3" t="s">
        <v>2124</v>
      </c>
    </row>
    <row r="532" spans="1:66" ht="12.95" customHeight="1">
      <c r="B532" s="1683"/>
      <c r="C532" s="1456"/>
      <c r="D532" s="1456"/>
      <c r="E532" s="1456"/>
      <c r="F532" s="1456"/>
      <c r="G532" s="1456"/>
      <c r="H532" s="1457"/>
      <c r="I532" s="42" t="s">
        <v>422</v>
      </c>
      <c r="J532" s="42"/>
      <c r="K532" s="42"/>
      <c r="L532" s="42"/>
      <c r="M532" s="42"/>
      <c r="N532" s="42"/>
      <c r="O532" s="1748" t="s">
        <v>333</v>
      </c>
      <c r="P532" s="1749"/>
      <c r="Q532" s="1749"/>
      <c r="R532" s="1749"/>
      <c r="S532" s="1749"/>
      <c r="T532" s="1749"/>
      <c r="U532" s="1749"/>
      <c r="V532" s="1749"/>
      <c r="W532" s="1749"/>
      <c r="X532" s="1749"/>
      <c r="Y532" s="1749"/>
      <c r="Z532" s="1749"/>
      <c r="AA532" s="1749"/>
      <c r="AC532" s="1706" t="s">
        <v>591</v>
      </c>
      <c r="AD532" s="1705"/>
      <c r="AE532" s="1705"/>
      <c r="AF532" s="1705"/>
      <c r="AG532" s="13" t="s">
        <v>402</v>
      </c>
      <c r="AH532" s="1391"/>
      <c r="AI532" s="1391"/>
      <c r="AJ532" s="1391"/>
      <c r="AK532" s="1392"/>
      <c r="AZ532" s="3"/>
      <c r="BA532" s="3"/>
      <c r="BB532" s="3"/>
      <c r="BC532" s="3"/>
      <c r="BD532" s="3"/>
      <c r="BE532" s="3"/>
      <c r="BF532" s="3"/>
      <c r="BG532" s="3"/>
      <c r="BH532" s="3"/>
      <c r="BI532" s="3"/>
      <c r="BJ532" s="3"/>
      <c r="BK532" s="3"/>
      <c r="BL532" s="3"/>
      <c r="BM532" s="3"/>
      <c r="BN532" s="3" t="s">
        <v>2125</v>
      </c>
    </row>
    <row r="533" spans="1:66" ht="12.95" customHeight="1">
      <c r="B533" s="1683"/>
      <c r="C533" s="1456"/>
      <c r="D533" s="1456"/>
      <c r="E533" s="1456"/>
      <c r="F533" s="1456"/>
      <c r="G533" s="1456"/>
      <c r="H533" s="1457"/>
      <c r="I533" t="s">
        <v>420</v>
      </c>
      <c r="AC533" s="1706" t="s">
        <v>591</v>
      </c>
      <c r="AD533" s="1705"/>
      <c r="AE533" s="1705"/>
      <c r="AF533" s="1705"/>
      <c r="AG533" s="38" t="s">
        <v>402</v>
      </c>
      <c r="AH533" s="1391"/>
      <c r="AI533" s="1391"/>
      <c r="AJ533" s="1391"/>
      <c r="AK533" s="1392"/>
      <c r="AZ533" s="3"/>
      <c r="BA533" s="3"/>
      <c r="BB533" s="3"/>
      <c r="BC533" s="3"/>
      <c r="BD533" s="3"/>
      <c r="BE533" s="3"/>
      <c r="BF533" s="3"/>
      <c r="BG533" s="3"/>
      <c r="BH533" s="3"/>
      <c r="BI533" s="3"/>
      <c r="BJ533" s="3"/>
      <c r="BK533" s="3"/>
      <c r="BL533" s="3"/>
      <c r="BM533" s="3"/>
      <c r="BN533" s="3" t="s">
        <v>2126</v>
      </c>
    </row>
    <row r="534" spans="1:66" ht="12.95" customHeight="1">
      <c r="B534" s="1683"/>
      <c r="C534" s="1456"/>
      <c r="D534" s="1456"/>
      <c r="E534" s="1456"/>
      <c r="F534" s="1456"/>
      <c r="G534" s="1456"/>
      <c r="H534" s="1457"/>
      <c r="I534" s="48" t="s">
        <v>421</v>
      </c>
      <c r="J534" s="48"/>
      <c r="K534" s="48"/>
      <c r="L534" s="48"/>
      <c r="M534" s="48"/>
      <c r="N534" s="48"/>
      <c r="O534" s="48"/>
      <c r="P534" s="48"/>
      <c r="Q534" s="48"/>
      <c r="R534" s="48"/>
      <c r="S534" s="48"/>
      <c r="T534" s="48"/>
      <c r="U534" s="48"/>
      <c r="V534" s="48"/>
      <c r="W534" s="48"/>
      <c r="X534" s="48"/>
      <c r="Y534" s="48"/>
      <c r="Z534" s="48"/>
      <c r="AA534" s="48"/>
      <c r="AB534" s="48"/>
      <c r="AC534" s="1706" t="s">
        <v>591</v>
      </c>
      <c r="AD534" s="1705"/>
      <c r="AE534" s="1705"/>
      <c r="AF534" s="1705"/>
      <c r="AG534" s="13" t="s">
        <v>402</v>
      </c>
      <c r="AH534" s="1391"/>
      <c r="AI534" s="1391"/>
      <c r="AJ534" s="1391"/>
      <c r="AK534" s="1392"/>
      <c r="AZ534" s="3"/>
      <c r="BA534" s="3"/>
      <c r="BB534" s="3"/>
      <c r="BC534" s="3"/>
      <c r="BD534" s="3"/>
      <c r="BE534" s="3"/>
      <c r="BF534" s="3"/>
      <c r="BG534" s="3"/>
      <c r="BH534" s="3"/>
      <c r="BI534" s="3"/>
      <c r="BJ534" s="3"/>
      <c r="BK534" s="3"/>
      <c r="BL534" s="3"/>
      <c r="BM534" s="3"/>
      <c r="BN534" s="3" t="s">
        <v>2127</v>
      </c>
    </row>
    <row r="535" spans="1:66" ht="12.95" customHeight="1">
      <c r="B535" s="1683"/>
      <c r="C535" s="1456"/>
      <c r="D535" s="1456"/>
      <c r="E535" s="1456"/>
      <c r="F535" s="1456"/>
      <c r="G535" s="1456"/>
      <c r="H535" s="1457"/>
      <c r="I535" s="42" t="s">
        <v>422</v>
      </c>
      <c r="J535" s="42"/>
      <c r="K535" s="42"/>
      <c r="L535" s="42"/>
      <c r="M535" s="42"/>
      <c r="N535" s="42"/>
      <c r="O535" s="1748" t="s">
        <v>333</v>
      </c>
      <c r="P535" s="1749"/>
      <c r="Q535" s="1749"/>
      <c r="R535" s="1749"/>
      <c r="S535" s="1749"/>
      <c r="T535" s="1749"/>
      <c r="U535" s="1749"/>
      <c r="V535" s="1749"/>
      <c r="W535" s="1749"/>
      <c r="X535" s="1749"/>
      <c r="Y535" s="1749"/>
      <c r="Z535" s="1749"/>
      <c r="AA535" s="1749"/>
      <c r="AC535" s="1706" t="s">
        <v>591</v>
      </c>
      <c r="AD535" s="1705"/>
      <c r="AE535" s="1705"/>
      <c r="AF535" s="1705"/>
      <c r="AG535" s="38" t="s">
        <v>402</v>
      </c>
      <c r="AH535" s="1391"/>
      <c r="AI535" s="1391"/>
      <c r="AJ535" s="1391"/>
      <c r="AK535" s="1392"/>
      <c r="AZ535" s="3"/>
      <c r="BA535" s="3"/>
      <c r="BB535" s="3"/>
      <c r="BC535" s="3"/>
      <c r="BD535" s="3"/>
      <c r="BE535" s="3"/>
      <c r="BF535" s="3"/>
      <c r="BG535" s="3"/>
      <c r="BH535" s="3"/>
      <c r="BI535" s="3"/>
      <c r="BJ535" s="3"/>
      <c r="BK535" s="3"/>
      <c r="BL535" s="3"/>
      <c r="BM535" s="3"/>
      <c r="BN535" s="3" t="s">
        <v>2128</v>
      </c>
    </row>
    <row r="536" spans="1:66" ht="12.95" customHeight="1">
      <c r="B536" s="1683"/>
      <c r="C536" s="1456"/>
      <c r="D536" s="1456"/>
      <c r="E536" s="1456"/>
      <c r="F536" s="1456"/>
      <c r="G536" s="1456"/>
      <c r="H536" s="1457"/>
      <c r="I536" t="s">
        <v>420</v>
      </c>
      <c r="AC536" s="1706" t="s">
        <v>591</v>
      </c>
      <c r="AD536" s="1705"/>
      <c r="AE536" s="1705"/>
      <c r="AF536" s="1705"/>
      <c r="AG536" s="13" t="s">
        <v>402</v>
      </c>
      <c r="AH536" s="1391"/>
      <c r="AI536" s="1391"/>
      <c r="AJ536" s="1391"/>
      <c r="AK536" s="1392"/>
      <c r="AZ536" s="3"/>
      <c r="BA536" s="3"/>
      <c r="BB536" s="3"/>
      <c r="BC536" s="3"/>
      <c r="BD536" s="3"/>
      <c r="BE536" s="3"/>
      <c r="BF536" s="3"/>
      <c r="BG536" s="3"/>
      <c r="BH536" s="3"/>
      <c r="BI536" s="3"/>
      <c r="BJ536" s="3"/>
      <c r="BK536" s="3"/>
      <c r="BL536" s="3"/>
      <c r="BM536" s="3"/>
      <c r="BN536" s="3" t="s">
        <v>2129</v>
      </c>
    </row>
    <row r="537" spans="1:66" ht="12.95" customHeight="1">
      <c r="B537" s="1683"/>
      <c r="C537" s="1456"/>
      <c r="D537" s="1456"/>
      <c r="E537" s="1456"/>
      <c r="F537" s="1456"/>
      <c r="G537" s="1456"/>
      <c r="H537" s="1457"/>
      <c r="I537" s="48" t="s">
        <v>421</v>
      </c>
      <c r="J537" s="48"/>
      <c r="K537" s="48"/>
      <c r="L537" s="48"/>
      <c r="M537" s="48"/>
      <c r="N537" s="48"/>
      <c r="O537" s="48"/>
      <c r="P537" s="48"/>
      <c r="Q537" s="48"/>
      <c r="R537" s="48"/>
      <c r="S537" s="48"/>
      <c r="T537" s="48"/>
      <c r="U537" s="48"/>
      <c r="V537" s="48"/>
      <c r="W537" s="48"/>
      <c r="X537" s="48"/>
      <c r="Y537" s="48"/>
      <c r="Z537" s="48"/>
      <c r="AA537" s="48"/>
      <c r="AB537" s="48"/>
      <c r="AC537" s="1706" t="s">
        <v>591</v>
      </c>
      <c r="AD537" s="1705"/>
      <c r="AE537" s="1705"/>
      <c r="AF537" s="1705"/>
      <c r="AG537" s="38" t="s">
        <v>402</v>
      </c>
      <c r="AH537" s="1391"/>
      <c r="AI537" s="1391"/>
      <c r="AJ537" s="1391"/>
      <c r="AK537" s="1392"/>
      <c r="AZ537" s="3"/>
      <c r="BA537" s="3"/>
      <c r="BB537" s="3"/>
      <c r="BC537" s="3"/>
      <c r="BD537" s="3"/>
      <c r="BE537" s="3"/>
      <c r="BF537" s="3"/>
      <c r="BG537" s="3"/>
      <c r="BH537" s="3"/>
      <c r="BI537" s="3"/>
      <c r="BJ537" s="3"/>
      <c r="BK537" s="3"/>
      <c r="BL537" s="3"/>
      <c r="BM537" s="3"/>
      <c r="BN537" s="3" t="s">
        <v>2130</v>
      </c>
    </row>
    <row r="538" spans="1:66" ht="12.95" customHeight="1">
      <c r="B538" s="1683"/>
      <c r="C538" s="1456"/>
      <c r="D538" s="1456"/>
      <c r="E538" s="1456"/>
      <c r="F538" s="1456"/>
      <c r="G538" s="1456"/>
      <c r="H538" s="1457"/>
      <c r="I538" s="42" t="s">
        <v>562</v>
      </c>
      <c r="J538" s="42"/>
      <c r="K538" s="42"/>
      <c r="L538" s="42"/>
      <c r="M538" s="42"/>
      <c r="N538" s="42"/>
      <c r="O538" s="42"/>
      <c r="P538" s="42"/>
      <c r="Q538" s="42"/>
      <c r="R538" s="42"/>
      <c r="S538" s="42"/>
      <c r="T538" s="42"/>
      <c r="U538" s="42"/>
      <c r="V538" s="42"/>
      <c r="W538" s="42"/>
      <c r="AC538" s="1706">
        <v>12</v>
      </c>
      <c r="AD538" s="1705"/>
      <c r="AE538" s="1705"/>
      <c r="AF538" s="1705"/>
      <c r="AG538" s="38" t="s">
        <v>402</v>
      </c>
      <c r="AH538" s="1391">
        <v>2025</v>
      </c>
      <c r="AI538" s="1391"/>
      <c r="AJ538" s="1391"/>
      <c r="AK538" s="1392"/>
      <c r="AZ538" s="3"/>
      <c r="BA538" s="3"/>
      <c r="BB538" s="3"/>
      <c r="BC538" s="3"/>
      <c r="BD538" s="3"/>
      <c r="BE538" s="3"/>
      <c r="BF538" s="3"/>
      <c r="BG538" s="3"/>
      <c r="BH538" s="3"/>
      <c r="BI538" s="3"/>
      <c r="BJ538" s="3"/>
      <c r="BK538" s="3"/>
      <c r="BL538" s="3"/>
      <c r="BM538" s="3"/>
      <c r="BN538" s="3"/>
    </row>
    <row r="539" spans="1:66" ht="12.95" customHeight="1">
      <c r="B539" s="1683"/>
      <c r="C539" s="1456"/>
      <c r="D539" s="1456"/>
      <c r="E539" s="1456"/>
      <c r="F539" s="1456"/>
      <c r="G539" s="1456"/>
      <c r="H539" s="1457"/>
      <c r="I539" t="s">
        <v>563</v>
      </c>
      <c r="AC539" s="1706">
        <v>10</v>
      </c>
      <c r="AD539" s="1705"/>
      <c r="AE539" s="1705"/>
      <c r="AF539" s="1705"/>
      <c r="AG539" s="13" t="s">
        <v>402</v>
      </c>
      <c r="AH539" s="1391">
        <v>2025</v>
      </c>
      <c r="AI539" s="1391"/>
      <c r="AJ539" s="1391"/>
      <c r="AK539" s="1392"/>
      <c r="AZ539" s="3"/>
      <c r="BA539" s="3"/>
      <c r="BB539" s="3"/>
      <c r="BC539" s="3"/>
      <c r="BD539" s="3"/>
      <c r="BE539" s="3"/>
      <c r="BF539" s="3"/>
      <c r="BG539" s="3"/>
      <c r="BH539" s="3"/>
      <c r="BI539" s="3"/>
      <c r="BJ539" s="3"/>
      <c r="BK539" s="3"/>
      <c r="BL539" s="3"/>
      <c r="BM539" s="3"/>
      <c r="BN539" s="3"/>
    </row>
    <row r="540" spans="1:66" ht="12.95" customHeight="1">
      <c r="B540" s="1683"/>
      <c r="C540" s="1456"/>
      <c r="D540" s="1456"/>
      <c r="E540" s="1456"/>
      <c r="F540" s="1456"/>
      <c r="G540" s="1456"/>
      <c r="H540" s="1457"/>
      <c r="I540" t="s">
        <v>564</v>
      </c>
      <c r="AC540" s="1706">
        <v>3</v>
      </c>
      <c r="AD540" s="1705"/>
      <c r="AE540" s="1705"/>
      <c r="AF540" s="1705"/>
      <c r="AG540" s="38" t="s">
        <v>402</v>
      </c>
      <c r="AH540" s="1391">
        <v>2027</v>
      </c>
      <c r="AI540" s="1391"/>
      <c r="AJ540" s="1391"/>
      <c r="AK540" s="1392"/>
      <c r="AZ540" s="3"/>
      <c r="BA540" s="3"/>
      <c r="BB540" s="3"/>
      <c r="BC540" s="3"/>
      <c r="BD540" s="3"/>
      <c r="BE540" s="3"/>
      <c r="BF540" s="3"/>
      <c r="BG540" s="3"/>
      <c r="BH540" s="3"/>
      <c r="BI540" s="3"/>
      <c r="BJ540" s="3"/>
      <c r="BK540" s="3"/>
      <c r="BL540" s="3"/>
      <c r="BM540" s="3"/>
      <c r="BN540" s="3"/>
    </row>
    <row r="541" spans="1:66" ht="12.95" customHeight="1">
      <c r="B541" s="1683"/>
      <c r="C541" s="1456"/>
      <c r="D541" s="1456"/>
      <c r="E541" s="1456"/>
      <c r="F541" s="1456"/>
      <c r="G541" s="1456"/>
      <c r="H541" s="1457"/>
      <c r="I541" t="s">
        <v>565</v>
      </c>
      <c r="AC541" s="1706">
        <v>3</v>
      </c>
      <c r="AD541" s="1705"/>
      <c r="AE541" s="1705"/>
      <c r="AF541" s="1705"/>
      <c r="AG541" s="38" t="s">
        <v>402</v>
      </c>
      <c r="AH541" s="1391">
        <v>2027</v>
      </c>
      <c r="AI541" s="1391"/>
      <c r="AJ541" s="1391"/>
      <c r="AK541" s="1392"/>
      <c r="AZ541" s="3"/>
      <c r="BA541" s="3"/>
      <c r="BB541" s="3"/>
      <c r="BC541" s="3"/>
      <c r="BD541" s="3"/>
      <c r="BE541" s="3"/>
      <c r="BF541" s="3"/>
      <c r="BG541" s="3"/>
      <c r="BH541" s="3"/>
      <c r="BI541" s="3"/>
      <c r="BJ541" s="3"/>
      <c r="BK541" s="3"/>
      <c r="BL541" s="3"/>
      <c r="BM541" s="3"/>
      <c r="BN541" s="3"/>
    </row>
    <row r="542" spans="1:66" ht="12.95" customHeight="1">
      <c r="B542" s="1684"/>
      <c r="C542" s="1458"/>
      <c r="D542" s="1458"/>
      <c r="E542" s="1458"/>
      <c r="F542" s="1458"/>
      <c r="G542" s="1458"/>
      <c r="H542" s="1459"/>
      <c r="I542" s="48" t="s">
        <v>451</v>
      </c>
      <c r="J542" s="48"/>
      <c r="K542" s="48"/>
      <c r="L542" s="48"/>
      <c r="M542" s="48"/>
      <c r="N542" s="48"/>
      <c r="O542" s="48"/>
      <c r="P542" s="48"/>
      <c r="Q542" s="48"/>
      <c r="R542" s="48"/>
      <c r="S542" s="48"/>
      <c r="T542" s="48"/>
      <c r="U542" s="48"/>
      <c r="V542" s="48"/>
      <c r="W542" s="48"/>
      <c r="X542" s="48"/>
      <c r="Y542" s="48"/>
      <c r="Z542" s="48"/>
      <c r="AA542" s="48"/>
      <c r="AB542" s="48"/>
      <c r="AC542" s="1706">
        <v>9</v>
      </c>
      <c r="AD542" s="1705"/>
      <c r="AE542" s="1705"/>
      <c r="AF542" s="1705"/>
      <c r="AG542" s="38" t="s">
        <v>402</v>
      </c>
      <c r="AH542" s="1391">
        <v>2027</v>
      </c>
      <c r="AI542" s="1391"/>
      <c r="AJ542" s="1391"/>
      <c r="AK542" s="1392"/>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82" t="s">
        <v>2104</v>
      </c>
      <c r="C551" s="1454"/>
      <c r="D551" s="1454"/>
      <c r="E551" s="1454"/>
      <c r="F551" s="1454"/>
      <c r="G551" s="1454"/>
      <c r="H551" s="1454"/>
      <c r="I551" s="1454"/>
      <c r="J551" s="1454"/>
      <c r="K551" s="1454"/>
      <c r="L551" s="1455"/>
      <c r="M551" s="1682" t="s">
        <v>2105</v>
      </c>
      <c r="N551" s="1454"/>
      <c r="O551" s="1454"/>
      <c r="P551" s="1455"/>
      <c r="Q551" s="1682" t="s">
        <v>2131</v>
      </c>
      <c r="R551" s="1454"/>
      <c r="S551" s="1455"/>
      <c r="T551" s="1682" t="s">
        <v>2132</v>
      </c>
      <c r="U551" s="1454"/>
      <c r="V551" s="1455"/>
      <c r="W551" s="1682" t="s">
        <v>453</v>
      </c>
      <c r="X551" s="1454"/>
      <c r="Y551" s="1455"/>
      <c r="Z551" s="1682" t="s">
        <v>1852</v>
      </c>
      <c r="AA551" s="1454"/>
      <c r="AB551" s="1454"/>
      <c r="AC551" s="1454"/>
      <c r="AD551" s="1455"/>
      <c r="AE551" s="1682" t="s">
        <v>1676</v>
      </c>
      <c r="AF551" s="1454"/>
      <c r="AG551" s="1454"/>
      <c r="AH551" s="1455"/>
      <c r="AI551" s="1682" t="s">
        <v>1677</v>
      </c>
      <c r="AJ551" s="1454"/>
      <c r="AK551" s="1454"/>
      <c r="AL551" s="1455"/>
      <c r="AM551" s="1682" t="s">
        <v>454</v>
      </c>
      <c r="AN551" s="1454"/>
      <c r="AO551" s="1454"/>
      <c r="AP551" s="1454"/>
      <c r="AQ551" s="1454"/>
      <c r="AR551" s="1454"/>
      <c r="AS551" s="1455"/>
      <c r="BB551" s="3"/>
      <c r="BC551" s="3"/>
      <c r="BD551" s="3"/>
      <c r="BE551" s="3"/>
      <c r="BF551" s="3"/>
      <c r="BG551" s="3"/>
      <c r="BH551" s="3" t="s">
        <v>581</v>
      </c>
      <c r="BI551" s="3" t="str">
        <f>AG657</f>
        <v>Yes</v>
      </c>
    </row>
    <row r="552" spans="1:61" ht="12.95" customHeight="1">
      <c r="B552" s="1683"/>
      <c r="C552" s="1456"/>
      <c r="D552" s="1456"/>
      <c r="E552" s="1456"/>
      <c r="F552" s="1456"/>
      <c r="G552" s="1456"/>
      <c r="H552" s="1456"/>
      <c r="I552" s="1456"/>
      <c r="J552" s="1456"/>
      <c r="K552" s="1456"/>
      <c r="L552" s="1457"/>
      <c r="M552" s="1683"/>
      <c r="N552" s="1456"/>
      <c r="O552" s="1456"/>
      <c r="P552" s="1457"/>
      <c r="Q552" s="1683"/>
      <c r="R552" s="1456"/>
      <c r="S552" s="1457"/>
      <c r="T552" s="1683"/>
      <c r="U552" s="1456"/>
      <c r="V552" s="1457"/>
      <c r="W552" s="1683"/>
      <c r="X552" s="1456"/>
      <c r="Y552" s="1457"/>
      <c r="Z552" s="1683"/>
      <c r="AA552" s="1456"/>
      <c r="AB552" s="1456"/>
      <c r="AC552" s="1456"/>
      <c r="AD552" s="1457"/>
      <c r="AE552" s="1683"/>
      <c r="AF552" s="1456"/>
      <c r="AG552" s="1456"/>
      <c r="AH552" s="1457"/>
      <c r="AI552" s="1683"/>
      <c r="AJ552" s="1456"/>
      <c r="AK552" s="1456"/>
      <c r="AL552" s="1457"/>
      <c r="AM552" s="1683"/>
      <c r="AN552" s="1456"/>
      <c r="AO552" s="1456"/>
      <c r="AP552" s="1456"/>
      <c r="AQ552" s="1456"/>
      <c r="AR552" s="1456"/>
      <c r="AS552" s="1457"/>
      <c r="AU552" s="1149"/>
      <c r="BB552" s="3"/>
      <c r="BC552" s="3"/>
      <c r="BD552" s="3"/>
      <c r="BE552" s="3"/>
      <c r="BF552" s="3"/>
      <c r="BG552" s="3"/>
      <c r="BH552" s="3"/>
      <c r="BI552" s="3"/>
    </row>
    <row r="553" spans="1:61" ht="12.95" customHeight="1">
      <c r="B553" s="1684"/>
      <c r="C553" s="1458"/>
      <c r="D553" s="1458"/>
      <c r="E553" s="1458"/>
      <c r="F553" s="1458"/>
      <c r="G553" s="1458"/>
      <c r="H553" s="1458"/>
      <c r="I553" s="1458"/>
      <c r="J553" s="1458"/>
      <c r="K553" s="1458"/>
      <c r="L553" s="1459"/>
      <c r="M553" s="1684"/>
      <c r="N553" s="1458"/>
      <c r="O553" s="1458"/>
      <c r="P553" s="1459"/>
      <c r="Q553" s="1684"/>
      <c r="R553" s="1458"/>
      <c r="S553" s="1459"/>
      <c r="T553" s="1684"/>
      <c r="U553" s="1458"/>
      <c r="V553" s="1459"/>
      <c r="W553" s="1684"/>
      <c r="X553" s="1458"/>
      <c r="Y553" s="1459"/>
      <c r="Z553" s="1684"/>
      <c r="AA553" s="1458"/>
      <c r="AB553" s="1458"/>
      <c r="AC553" s="1458"/>
      <c r="AD553" s="1459"/>
      <c r="AE553" s="1684"/>
      <c r="AF553" s="1458"/>
      <c r="AG553" s="1458"/>
      <c r="AH553" s="1459"/>
      <c r="AI553" s="1684"/>
      <c r="AJ553" s="1458"/>
      <c r="AK553" s="1458"/>
      <c r="AL553" s="1459"/>
      <c r="AM553" s="1684"/>
      <c r="AN553" s="1458"/>
      <c r="AO553" s="1458"/>
      <c r="AP553" s="1458"/>
      <c r="AQ553" s="1458"/>
      <c r="AR553" s="1458"/>
      <c r="AS553" s="1459"/>
      <c r="AU553" s="1149"/>
      <c r="BB553" s="3"/>
      <c r="BC553" s="3"/>
      <c r="BD553" s="3"/>
      <c r="BE553" s="3"/>
      <c r="BF553" s="3"/>
      <c r="BG553" s="3"/>
      <c r="BH553" s="3"/>
      <c r="BI553" s="3"/>
    </row>
    <row r="554" spans="1:61" ht="12.95" customHeight="1">
      <c r="B554" s="51" t="s">
        <v>112</v>
      </c>
      <c r="C554" s="1443" t="s">
        <v>2705</v>
      </c>
      <c r="D554" s="1443"/>
      <c r="E554" s="1443"/>
      <c r="F554" s="1443"/>
      <c r="G554" s="1443"/>
      <c r="H554" s="1443"/>
      <c r="I554" s="1443"/>
      <c r="J554" s="1443"/>
      <c r="K554" s="1443"/>
      <c r="L554" s="1443"/>
      <c r="M554" s="1443" t="s">
        <v>2121</v>
      </c>
      <c r="N554" s="1443"/>
      <c r="O554" s="1443"/>
      <c r="P554" s="1443"/>
      <c r="Q554" s="1445">
        <v>29</v>
      </c>
      <c r="R554" s="1445"/>
      <c r="S554" s="1446"/>
      <c r="T554" s="1444"/>
      <c r="U554" s="1445"/>
      <c r="V554" s="1446"/>
      <c r="W554" s="1665">
        <v>6.8500000000000005E-2</v>
      </c>
      <c r="X554" s="1666"/>
      <c r="Y554" s="1667"/>
      <c r="Z554" s="1447" t="s">
        <v>2706</v>
      </c>
      <c r="AA554" s="1447"/>
      <c r="AB554" s="1447"/>
      <c r="AC554" s="1447"/>
      <c r="AD554" s="1447"/>
      <c r="AE554" s="1468">
        <v>1</v>
      </c>
      <c r="AF554" s="1469"/>
      <c r="AG554" s="1469"/>
      <c r="AH554" s="1470"/>
      <c r="AI554" s="1417"/>
      <c r="AJ554" s="1418"/>
      <c r="AK554" s="1418"/>
      <c r="AL554" s="1419"/>
      <c r="AM554" s="1422">
        <v>32378000</v>
      </c>
      <c r="AN554" s="1423"/>
      <c r="AO554" s="1423"/>
      <c r="AP554" s="1423"/>
      <c r="AQ554" s="1423"/>
      <c r="AR554" s="1423"/>
      <c r="AS554" s="1424"/>
      <c r="AT554" s="1150"/>
      <c r="AU554" s="1149"/>
      <c r="BB554" s="3"/>
      <c r="BC554" s="3"/>
      <c r="BD554" s="3"/>
      <c r="BE554" s="3"/>
      <c r="BF554" s="3"/>
      <c r="BG554" s="3"/>
      <c r="BH554" s="3"/>
      <c r="BI554" s="3"/>
    </row>
    <row r="555" spans="1:61" ht="12.95" customHeight="1">
      <c r="B555" s="52" t="s">
        <v>113</v>
      </c>
      <c r="C555" s="1697" t="s">
        <v>2730</v>
      </c>
      <c r="D555" s="1697"/>
      <c r="E555" s="1697"/>
      <c r="F555" s="1697"/>
      <c r="G555" s="1697"/>
      <c r="H555" s="1697"/>
      <c r="I555" s="1697"/>
      <c r="J555" s="1697"/>
      <c r="K555" s="1697"/>
      <c r="L555" s="1697"/>
      <c r="M555" s="1443" t="s">
        <v>2120</v>
      </c>
      <c r="N555" s="1443"/>
      <c r="O555" s="1443"/>
      <c r="P555" s="1443"/>
      <c r="Q555" s="1444">
        <v>29</v>
      </c>
      <c r="R555" s="1445"/>
      <c r="S555" s="1446"/>
      <c r="T555" s="1444"/>
      <c r="U555" s="1445"/>
      <c r="V555" s="1446"/>
      <c r="W555" s="1665">
        <v>6.8500000000000005E-2</v>
      </c>
      <c r="X555" s="1666"/>
      <c r="Y555" s="1667"/>
      <c r="Z555" s="1447" t="s">
        <v>2706</v>
      </c>
      <c r="AA555" s="1447"/>
      <c r="AB555" s="1447"/>
      <c r="AC555" s="1447"/>
      <c r="AD555" s="1447"/>
      <c r="AE555" s="1468">
        <v>1</v>
      </c>
      <c r="AF555" s="1469"/>
      <c r="AG555" s="1469"/>
      <c r="AH555" s="1470"/>
      <c r="AI555" s="1417"/>
      <c r="AJ555" s="1418"/>
      <c r="AK555" s="1418"/>
      <c r="AL555" s="1419"/>
      <c r="AM555" s="1422">
        <v>2424328</v>
      </c>
      <c r="AN555" s="1423"/>
      <c r="AO555" s="1423"/>
      <c r="AP555" s="1423"/>
      <c r="AQ555" s="1423"/>
      <c r="AR555" s="1423"/>
      <c r="AS555" s="1424"/>
      <c r="AT555" s="1150" t="str">
        <f>IF(AND(NOT(C554=""),C555="",NOT(C556="")),"!","")</f>
        <v/>
      </c>
      <c r="AU555" s="1149"/>
      <c r="BB555" s="3"/>
      <c r="BC555" s="3"/>
      <c r="BD555" s="3"/>
      <c r="BE555" s="3"/>
      <c r="BF555" s="3"/>
      <c r="BG555" s="3"/>
      <c r="BH555" s="3"/>
      <c r="BI555" s="3"/>
    </row>
    <row r="556" spans="1:61" ht="12.95" customHeight="1">
      <c r="B556" s="52" t="s">
        <v>119</v>
      </c>
      <c r="C556" s="1697" t="s">
        <v>2707</v>
      </c>
      <c r="D556" s="1697"/>
      <c r="E556" s="1697"/>
      <c r="F556" s="1697"/>
      <c r="G556" s="1697"/>
      <c r="H556" s="1697"/>
      <c r="I556" s="1697"/>
      <c r="J556" s="1697"/>
      <c r="K556" s="1697"/>
      <c r="L556" s="1697"/>
      <c r="M556" s="1443" t="s">
        <v>2117</v>
      </c>
      <c r="N556" s="1443"/>
      <c r="O556" s="1443"/>
      <c r="P556" s="1443"/>
      <c r="Q556" s="1444">
        <v>29</v>
      </c>
      <c r="R556" s="1445"/>
      <c r="S556" s="1446"/>
      <c r="T556" s="1444"/>
      <c r="U556" s="1445"/>
      <c r="V556" s="1446"/>
      <c r="W556" s="1665">
        <v>0.03</v>
      </c>
      <c r="X556" s="1666"/>
      <c r="Y556" s="1667"/>
      <c r="Z556" s="1447" t="s">
        <v>2708</v>
      </c>
      <c r="AA556" s="1447"/>
      <c r="AB556" s="1447"/>
      <c r="AC556" s="1447"/>
      <c r="AD556" s="1447"/>
      <c r="AE556" s="1468">
        <v>2</v>
      </c>
      <c r="AF556" s="1469"/>
      <c r="AG556" s="1469"/>
      <c r="AH556" s="1470"/>
      <c r="AI556" s="1417"/>
      <c r="AJ556" s="1418"/>
      <c r="AK556" s="1418"/>
      <c r="AL556" s="1419"/>
      <c r="AM556" s="1422">
        <v>22250000</v>
      </c>
      <c r="AN556" s="1423"/>
      <c r="AO556" s="1423"/>
      <c r="AP556" s="1423"/>
      <c r="AQ556" s="1423"/>
      <c r="AR556" s="1423"/>
      <c r="AS556" s="1424"/>
      <c r="AT556" s="1150" t="str">
        <f>IF(AND(NOT(C555=""),C556="",NOT(C557="")),"!","")</f>
        <v/>
      </c>
      <c r="AU556" s="1149"/>
      <c r="BB556" s="3"/>
      <c r="BC556" s="3"/>
      <c r="BD556" s="3"/>
      <c r="BE556" s="3"/>
      <c r="BF556" s="3"/>
      <c r="BG556" s="3"/>
      <c r="BH556" s="3"/>
      <c r="BI556" s="3"/>
    </row>
    <row r="557" spans="1:61" ht="12.95" customHeight="1">
      <c r="B557" s="52" t="s">
        <v>581</v>
      </c>
      <c r="C557" s="1697" t="s">
        <v>2710</v>
      </c>
      <c r="D557" s="1697"/>
      <c r="E557" s="1697"/>
      <c r="F557" s="1697"/>
      <c r="G557" s="1697"/>
      <c r="H557" s="1697"/>
      <c r="I557" s="1697"/>
      <c r="J557" s="1697"/>
      <c r="K557" s="1697"/>
      <c r="L557" s="1697"/>
      <c r="M557" s="1443" t="s">
        <v>2106</v>
      </c>
      <c r="N557" s="1443"/>
      <c r="O557" s="1443"/>
      <c r="P557" s="1443"/>
      <c r="Q557" s="1444"/>
      <c r="R557" s="1445"/>
      <c r="S557" s="1446"/>
      <c r="T557" s="1444"/>
      <c r="U557" s="1445"/>
      <c r="V557" s="1446"/>
      <c r="W557" s="1665"/>
      <c r="X557" s="1666"/>
      <c r="Y557" s="1667"/>
      <c r="Z557" s="1447" t="s">
        <v>591</v>
      </c>
      <c r="AA557" s="1447"/>
      <c r="AB557" s="1447"/>
      <c r="AC557" s="1447"/>
      <c r="AD557" s="1447"/>
      <c r="AE557" s="1468"/>
      <c r="AF557" s="1469"/>
      <c r="AG557" s="1469"/>
      <c r="AH557" s="1470"/>
      <c r="AI557" s="1417"/>
      <c r="AJ557" s="1418"/>
      <c r="AK557" s="1418"/>
      <c r="AL557" s="1419"/>
      <c r="AM557" s="1422">
        <v>981591</v>
      </c>
      <c r="AN557" s="1423"/>
      <c r="AO557" s="1423"/>
      <c r="AP557" s="1423"/>
      <c r="AQ557" s="1423"/>
      <c r="AR557" s="1423"/>
      <c r="AS557" s="1424"/>
      <c r="AT557" s="1150" t="str">
        <f>IF(AND(NOT(C556=""),C557="",NOT(C558="")),"!","")</f>
        <v/>
      </c>
      <c r="AU557" s="1149"/>
      <c r="BB557" s="3"/>
      <c r="BC557" s="3"/>
      <c r="BD557" s="3"/>
      <c r="BE557" s="3"/>
      <c r="BF557" s="3"/>
      <c r="BG557" s="3"/>
      <c r="BH557" s="3"/>
      <c r="BI557" s="3"/>
    </row>
    <row r="558" spans="1:61" ht="12.95" customHeight="1">
      <c r="B558" s="52" t="s">
        <v>763</v>
      </c>
      <c r="C558" s="1697" t="s">
        <v>2697</v>
      </c>
      <c r="D558" s="1697"/>
      <c r="E558" s="1697"/>
      <c r="F558" s="1697"/>
      <c r="G558" s="1697"/>
      <c r="H558" s="1697"/>
      <c r="I558" s="1697"/>
      <c r="J558" s="1697"/>
      <c r="K558" s="1697"/>
      <c r="L558" s="1697"/>
      <c r="M558" s="1443" t="s">
        <v>2117</v>
      </c>
      <c r="N558" s="1443"/>
      <c r="O558" s="1443"/>
      <c r="P558" s="1443"/>
      <c r="Q558" s="1444">
        <v>29</v>
      </c>
      <c r="R558" s="1445"/>
      <c r="S558" s="1446"/>
      <c r="T558" s="1444"/>
      <c r="U558" s="1445"/>
      <c r="V558" s="1446"/>
      <c r="W558" s="1665">
        <v>0.03</v>
      </c>
      <c r="X558" s="1666"/>
      <c r="Y558" s="1667"/>
      <c r="Z558" s="1447" t="s">
        <v>2708</v>
      </c>
      <c r="AA558" s="1447"/>
      <c r="AB558" s="1447"/>
      <c r="AC558" s="1447"/>
      <c r="AD558" s="1447"/>
      <c r="AE558" s="1468">
        <v>3</v>
      </c>
      <c r="AF558" s="1469"/>
      <c r="AG558" s="1469"/>
      <c r="AH558" s="1470"/>
      <c r="AI558" s="1417"/>
      <c r="AJ558" s="1418"/>
      <c r="AK558" s="1418"/>
      <c r="AL558" s="1419"/>
      <c r="AM558" s="1422">
        <v>600000</v>
      </c>
      <c r="AN558" s="1423"/>
      <c r="AO558" s="1423"/>
      <c r="AP558" s="1423"/>
      <c r="AQ558" s="1423"/>
      <c r="AR558" s="1423"/>
      <c r="AS558" s="1424"/>
      <c r="AT558" s="1150" t="str">
        <f t="shared" ref="AT558:AT565" si="0">IF(AND(NOT(C557=""),C558="",NOT(C559="")),"!","")</f>
        <v/>
      </c>
      <c r="AU558" s="1149"/>
      <c r="BB558" s="3"/>
      <c r="BC558" s="3"/>
      <c r="BD558" s="3"/>
      <c r="BE558" s="3"/>
      <c r="BF558" s="3"/>
      <c r="BG558" s="3"/>
      <c r="BH558" s="3" t="s">
        <v>763</v>
      </c>
      <c r="BI558" s="3" t="str">
        <f>N665</f>
        <v>Yes</v>
      </c>
    </row>
    <row r="559" spans="1:61" ht="12.95" customHeight="1">
      <c r="B559" s="52" t="s">
        <v>584</v>
      </c>
      <c r="C559" s="1697" t="s">
        <v>2709</v>
      </c>
      <c r="D559" s="1697"/>
      <c r="E559" s="1697"/>
      <c r="F559" s="1697"/>
      <c r="G559" s="1697"/>
      <c r="H559" s="1697"/>
      <c r="I559" s="1697"/>
      <c r="J559" s="1697"/>
      <c r="K559" s="1697"/>
      <c r="L559" s="1697"/>
      <c r="M559" s="1443" t="s">
        <v>2106</v>
      </c>
      <c r="N559" s="1443"/>
      <c r="O559" s="1443"/>
      <c r="P559" s="1443"/>
      <c r="Q559" s="1444"/>
      <c r="R559" s="1445"/>
      <c r="S559" s="1446"/>
      <c r="T559" s="1444"/>
      <c r="U559" s="1445"/>
      <c r="V559" s="1446"/>
      <c r="W559" s="1665"/>
      <c r="X559" s="1666"/>
      <c r="Y559" s="1667"/>
      <c r="Z559" s="1447" t="s">
        <v>591</v>
      </c>
      <c r="AA559" s="1447"/>
      <c r="AB559" s="1447"/>
      <c r="AC559" s="1447"/>
      <c r="AD559" s="1447"/>
      <c r="AE559" s="1468"/>
      <c r="AF559" s="1469"/>
      <c r="AG559" s="1469"/>
      <c r="AH559" s="1470"/>
      <c r="AI559" s="1417"/>
      <c r="AJ559" s="1418"/>
      <c r="AK559" s="1418"/>
      <c r="AL559" s="1419"/>
      <c r="AM559" s="1422">
        <v>26470</v>
      </c>
      <c r="AN559" s="1423"/>
      <c r="AO559" s="1423"/>
      <c r="AP559" s="1423"/>
      <c r="AQ559" s="1423"/>
      <c r="AR559" s="1423"/>
      <c r="AS559" s="1424"/>
      <c r="AT559" s="1150" t="str">
        <f t="shared" si="0"/>
        <v/>
      </c>
      <c r="AU559" s="1149"/>
      <c r="BB559" s="3"/>
      <c r="BC559" s="3"/>
      <c r="BD559" s="3"/>
      <c r="BE559" s="3"/>
      <c r="BF559" s="3"/>
      <c r="BG559" s="3"/>
      <c r="BH559" s="3" t="s">
        <v>584</v>
      </c>
      <c r="BI559" s="3" t="str">
        <f>AG665</f>
        <v>Yes</v>
      </c>
    </row>
    <row r="560" spans="1:61" ht="12.95" customHeight="1">
      <c r="B560" s="52" t="s">
        <v>455</v>
      </c>
      <c r="C560" s="1697" t="s">
        <v>2711</v>
      </c>
      <c r="D560" s="1697"/>
      <c r="E560" s="1697"/>
      <c r="F560" s="1697"/>
      <c r="G560" s="1697"/>
      <c r="H560" s="1697"/>
      <c r="I560" s="1697"/>
      <c r="J560" s="1697"/>
      <c r="K560" s="1697"/>
      <c r="L560" s="1697"/>
      <c r="M560" s="1443" t="s">
        <v>2107</v>
      </c>
      <c r="N560" s="1443"/>
      <c r="O560" s="1443"/>
      <c r="P560" s="1443"/>
      <c r="Q560" s="1444"/>
      <c r="R560" s="1445"/>
      <c r="S560" s="1446"/>
      <c r="T560" s="1444"/>
      <c r="U560" s="1445"/>
      <c r="V560" s="1446"/>
      <c r="W560" s="1665"/>
      <c r="X560" s="1666"/>
      <c r="Y560" s="1667"/>
      <c r="Z560" s="1447" t="s">
        <v>591</v>
      </c>
      <c r="AA560" s="1447"/>
      <c r="AB560" s="1447"/>
      <c r="AC560" s="1447"/>
      <c r="AD560" s="1447"/>
      <c r="AE560" s="1468"/>
      <c r="AF560" s="1469"/>
      <c r="AG560" s="1469"/>
      <c r="AH560" s="1470"/>
      <c r="AI560" s="1417"/>
      <c r="AJ560" s="1418"/>
      <c r="AK560" s="1418"/>
      <c r="AL560" s="1419"/>
      <c r="AM560" s="1422">
        <v>1014950</v>
      </c>
      <c r="AN560" s="1423"/>
      <c r="AO560" s="1423"/>
      <c r="AP560" s="1423"/>
      <c r="AQ560" s="1423"/>
      <c r="AR560" s="1423"/>
      <c r="AS560" s="1424"/>
      <c r="AT560" s="1150" t="str">
        <f t="shared" si="0"/>
        <v/>
      </c>
      <c r="AU560" s="1149"/>
      <c r="BB560" s="3"/>
      <c r="BC560" s="3"/>
      <c r="BD560" s="3"/>
      <c r="BE560" s="3"/>
      <c r="BF560" s="3"/>
      <c r="BG560" s="3"/>
      <c r="BH560" s="3"/>
      <c r="BI560" s="3"/>
    </row>
    <row r="561" spans="1:61" ht="12.95" customHeight="1">
      <c r="B561" s="52" t="s">
        <v>456</v>
      </c>
      <c r="C561" s="1697" t="s">
        <v>2324</v>
      </c>
      <c r="D561" s="1697"/>
      <c r="E561" s="1697"/>
      <c r="F561" s="1697"/>
      <c r="G561" s="1697"/>
      <c r="H561" s="1697"/>
      <c r="I561" s="1697"/>
      <c r="J561" s="1697"/>
      <c r="K561" s="1697"/>
      <c r="L561" s="1697"/>
      <c r="M561" s="1443" t="s">
        <v>2108</v>
      </c>
      <c r="N561" s="1443"/>
      <c r="O561" s="1443"/>
      <c r="P561" s="1443"/>
      <c r="Q561" s="1444"/>
      <c r="R561" s="1445"/>
      <c r="S561" s="1446"/>
      <c r="T561" s="1444"/>
      <c r="U561" s="1445"/>
      <c r="V561" s="1446"/>
      <c r="W561" s="1665">
        <v>0</v>
      </c>
      <c r="X561" s="1666"/>
      <c r="Y561" s="1667"/>
      <c r="Z561" s="1447" t="s">
        <v>591</v>
      </c>
      <c r="AA561" s="1447"/>
      <c r="AB561" s="1447"/>
      <c r="AC561" s="1447"/>
      <c r="AD561" s="1447"/>
      <c r="AE561" s="1468"/>
      <c r="AF561" s="1469"/>
      <c r="AG561" s="1469"/>
      <c r="AH561" s="1470"/>
      <c r="AI561" s="1417"/>
      <c r="AJ561" s="1418"/>
      <c r="AK561" s="1418"/>
      <c r="AL561" s="1419"/>
      <c r="AM561" s="1422">
        <v>3100000</v>
      </c>
      <c r="AN561" s="1423"/>
      <c r="AO561" s="1423"/>
      <c r="AP561" s="1423"/>
      <c r="AQ561" s="1423"/>
      <c r="AR561" s="1423"/>
      <c r="AS561" s="1424"/>
      <c r="AT561" s="1150" t="str">
        <f t="shared" si="0"/>
        <v/>
      </c>
      <c r="AU561" s="1149"/>
      <c r="BB561" s="3"/>
      <c r="BC561" s="3"/>
      <c r="BD561" s="3"/>
      <c r="BE561" s="3"/>
      <c r="BF561" s="3"/>
      <c r="BG561" s="3"/>
      <c r="BH561" s="3"/>
      <c r="BI561" s="3"/>
    </row>
    <row r="562" spans="1:61" ht="12.95" customHeight="1">
      <c r="B562" s="52" t="s">
        <v>461</v>
      </c>
      <c r="C562" s="1697" t="s">
        <v>2712</v>
      </c>
      <c r="D562" s="1697"/>
      <c r="E562" s="1697"/>
      <c r="F562" s="1697"/>
      <c r="G562" s="1697"/>
      <c r="H562" s="1697"/>
      <c r="I562" s="1697"/>
      <c r="J562" s="1697"/>
      <c r="K562" s="1697"/>
      <c r="L562" s="1697"/>
      <c r="M562" s="1443" t="s">
        <v>2112</v>
      </c>
      <c r="N562" s="1443"/>
      <c r="O562" s="1443"/>
      <c r="P562" s="1443"/>
      <c r="Q562" s="1444"/>
      <c r="R562" s="1445"/>
      <c r="S562" s="1446"/>
      <c r="T562" s="1444"/>
      <c r="U562" s="1445"/>
      <c r="V562" s="1446"/>
      <c r="W562" s="1665"/>
      <c r="X562" s="1666"/>
      <c r="Y562" s="1667"/>
      <c r="Z562" s="1447" t="s">
        <v>591</v>
      </c>
      <c r="AA562" s="1447"/>
      <c r="AB562" s="1447"/>
      <c r="AC562" s="1447"/>
      <c r="AD562" s="1447"/>
      <c r="AE562" s="1468"/>
      <c r="AF562" s="1469"/>
      <c r="AG562" s="1469"/>
      <c r="AH562" s="1470"/>
      <c r="AI562" s="1417"/>
      <c r="AJ562" s="1418"/>
      <c r="AK562" s="1418"/>
      <c r="AL562" s="1419"/>
      <c r="AM562" s="1422">
        <f>2873920-201000</f>
        <v>2672920</v>
      </c>
      <c r="AN562" s="1423"/>
      <c r="AO562" s="1423"/>
      <c r="AP562" s="1423"/>
      <c r="AQ562" s="1423"/>
      <c r="AR562" s="1423"/>
      <c r="AS562" s="1424"/>
      <c r="AT562" s="1150" t="str">
        <f t="shared" si="0"/>
        <v/>
      </c>
      <c r="AU562" s="1149"/>
      <c r="BB562" s="3"/>
      <c r="BC562" s="3"/>
      <c r="BD562" s="3"/>
      <c r="BE562" s="3"/>
      <c r="BF562" s="3"/>
      <c r="BG562" s="3"/>
      <c r="BH562" s="3"/>
      <c r="BI562" s="3"/>
    </row>
    <row r="563" spans="1:61" ht="12.95" customHeight="1">
      <c r="B563" s="52" t="s">
        <v>646</v>
      </c>
      <c r="C563" s="1697"/>
      <c r="D563" s="1697"/>
      <c r="E563" s="1697"/>
      <c r="F563" s="1697"/>
      <c r="G563" s="1697"/>
      <c r="H563" s="1697"/>
      <c r="I563" s="1697"/>
      <c r="J563" s="1697"/>
      <c r="K563" s="1697"/>
      <c r="L563" s="1697"/>
      <c r="M563" s="1443"/>
      <c r="N563" s="1443"/>
      <c r="O563" s="1443"/>
      <c r="P563" s="1443"/>
      <c r="Q563" s="1444"/>
      <c r="R563" s="1445"/>
      <c r="S563" s="1446"/>
      <c r="T563" s="1444"/>
      <c r="U563" s="1445"/>
      <c r="V563" s="1446"/>
      <c r="W563" s="1665"/>
      <c r="X563" s="1666"/>
      <c r="Y563" s="1667"/>
      <c r="Z563" s="1447"/>
      <c r="AA563" s="1447"/>
      <c r="AB563" s="1447"/>
      <c r="AC563" s="1447"/>
      <c r="AD563" s="1447"/>
      <c r="AE563" s="1468"/>
      <c r="AF563" s="1469"/>
      <c r="AG563" s="1469"/>
      <c r="AH563" s="1470"/>
      <c r="AI563" s="1417"/>
      <c r="AJ563" s="1418"/>
      <c r="AK563" s="1418"/>
      <c r="AL563" s="1419"/>
      <c r="AM563" s="1422"/>
      <c r="AN563" s="1423"/>
      <c r="AO563" s="1423"/>
      <c r="AP563" s="1423"/>
      <c r="AQ563" s="1423"/>
      <c r="AR563" s="1423"/>
      <c r="AS563" s="1424"/>
      <c r="AT563" s="1150" t="str">
        <f t="shared" si="0"/>
        <v/>
      </c>
      <c r="BB563" s="3"/>
      <c r="BC563" s="3"/>
      <c r="BD563" s="3"/>
      <c r="BE563" s="3"/>
      <c r="BF563" s="3"/>
      <c r="BG563" s="3"/>
      <c r="BH563" s="3"/>
      <c r="BI563" s="3"/>
    </row>
    <row r="564" spans="1:61" ht="12.95" customHeight="1">
      <c r="B564" s="52" t="s">
        <v>361</v>
      </c>
      <c r="C564" s="1697"/>
      <c r="D564" s="1697"/>
      <c r="E564" s="1697"/>
      <c r="F564" s="1697"/>
      <c r="G564" s="1697"/>
      <c r="H564" s="1697"/>
      <c r="I564" s="1697"/>
      <c r="J564" s="1697"/>
      <c r="K564" s="1697"/>
      <c r="L564" s="1697"/>
      <c r="M564" s="1443"/>
      <c r="N564" s="1443"/>
      <c r="O564" s="1443"/>
      <c r="P564" s="1443"/>
      <c r="Q564" s="1444"/>
      <c r="R564" s="1445"/>
      <c r="S564" s="1446"/>
      <c r="T564" s="1444"/>
      <c r="U564" s="1445"/>
      <c r="V564" s="1446"/>
      <c r="W564" s="1665"/>
      <c r="X564" s="1666"/>
      <c r="Y564" s="1667"/>
      <c r="Z564" s="1447"/>
      <c r="AA564" s="1447"/>
      <c r="AB564" s="1447"/>
      <c r="AC564" s="1447"/>
      <c r="AD564" s="1447"/>
      <c r="AE564" s="1468"/>
      <c r="AF564" s="1469"/>
      <c r="AG564" s="1469"/>
      <c r="AH564" s="1470"/>
      <c r="AI564" s="1417"/>
      <c r="AJ564" s="1418"/>
      <c r="AK564" s="1418"/>
      <c r="AL564" s="1419"/>
      <c r="AM564" s="1422"/>
      <c r="AN564" s="1423"/>
      <c r="AO564" s="1423"/>
      <c r="AP564" s="1423"/>
      <c r="AQ564" s="1423"/>
      <c r="AR564" s="1423"/>
      <c r="AS564" s="1424"/>
      <c r="AT564" s="1150" t="str">
        <f t="shared" si="0"/>
        <v/>
      </c>
      <c r="BB564" s="3"/>
      <c r="BC564" s="3"/>
      <c r="BD564" s="3"/>
      <c r="BE564" s="3"/>
      <c r="BF564" s="3"/>
      <c r="BG564" s="3"/>
      <c r="BH564" s="3"/>
      <c r="BI564" s="3"/>
    </row>
    <row r="565" spans="1:61" ht="12.95" customHeight="1">
      <c r="B565" s="52" t="s">
        <v>362</v>
      </c>
      <c r="C565" s="1697"/>
      <c r="D565" s="1697"/>
      <c r="E565" s="1697"/>
      <c r="F565" s="1697"/>
      <c r="G565" s="1697"/>
      <c r="H565" s="1697"/>
      <c r="I565" s="1697"/>
      <c r="J565" s="1697"/>
      <c r="K565" s="1697"/>
      <c r="L565" s="1697"/>
      <c r="M565" s="1443"/>
      <c r="N565" s="1443"/>
      <c r="O565" s="1443"/>
      <c r="P565" s="1443"/>
      <c r="Q565" s="1444"/>
      <c r="R565" s="1445"/>
      <c r="S565" s="1446"/>
      <c r="T565" s="1444"/>
      <c r="U565" s="1445"/>
      <c r="V565" s="1446"/>
      <c r="W565" s="1665"/>
      <c r="X565" s="1666"/>
      <c r="Y565" s="1667"/>
      <c r="Z565" s="1447"/>
      <c r="AA565" s="1447"/>
      <c r="AB565" s="1447"/>
      <c r="AC565" s="1447"/>
      <c r="AD565" s="1447"/>
      <c r="AE565" s="1468"/>
      <c r="AF565" s="1469"/>
      <c r="AG565" s="1469"/>
      <c r="AH565" s="1470"/>
      <c r="AI565" s="1417"/>
      <c r="AJ565" s="1418"/>
      <c r="AK565" s="1418"/>
      <c r="AL565" s="1419"/>
      <c r="AM565" s="1422"/>
      <c r="AN565" s="1423"/>
      <c r="AO565" s="1423"/>
      <c r="AP565" s="1423"/>
      <c r="AQ565" s="1423"/>
      <c r="AR565" s="1423"/>
      <c r="AS565" s="1424"/>
      <c r="AT565" s="1150" t="str">
        <f t="shared" si="0"/>
        <v/>
      </c>
      <c r="BB565" s="3"/>
      <c r="BC565" s="3"/>
      <c r="BD565" s="3"/>
      <c r="BE565" s="3"/>
      <c r="BF565" s="3"/>
      <c r="BG565" s="3"/>
      <c r="BH565" s="3"/>
      <c r="BI565" s="3"/>
    </row>
    <row r="566" spans="1:61" ht="12.95" customHeight="1">
      <c r="B566" s="1652" t="s">
        <v>127</v>
      </c>
      <c r="C566" s="1653"/>
      <c r="D566" s="1653"/>
      <c r="E566" s="1653"/>
      <c r="F566" s="1653"/>
      <c r="G566" s="1653"/>
      <c r="H566" s="1653"/>
      <c r="I566" s="1653"/>
      <c r="J566" s="1653"/>
      <c r="K566" s="1653"/>
      <c r="L566" s="1653"/>
      <c r="M566" s="1653"/>
      <c r="N566" s="1653"/>
      <c r="O566" s="1653"/>
      <c r="P566" s="1653"/>
      <c r="Q566" s="1653"/>
      <c r="R566" s="1653"/>
      <c r="S566" s="1653"/>
      <c r="T566" s="1653"/>
      <c r="U566" s="1680"/>
      <c r="V566" s="1653"/>
      <c r="W566" s="1653"/>
      <c r="X566" s="1653"/>
      <c r="Y566" s="1653"/>
      <c r="Z566" s="1653"/>
      <c r="AA566" s="1653"/>
      <c r="AB566" s="1653"/>
      <c r="AC566" s="1653"/>
      <c r="AD566" s="1653"/>
      <c r="AE566" s="1653"/>
      <c r="AF566" s="1653"/>
      <c r="AG566" s="1653"/>
      <c r="AH566" s="1653"/>
      <c r="AI566" s="1653"/>
      <c r="AJ566" s="1653"/>
      <c r="AK566" s="1653"/>
      <c r="AL566" s="1654"/>
      <c r="AM566" s="1601">
        <f>SUM(AM554:AS565)</f>
        <v>65448259</v>
      </c>
      <c r="AN566" s="1602"/>
      <c r="AO566" s="1602"/>
      <c r="AP566" s="1602"/>
      <c r="AQ566" s="1602"/>
      <c r="AR566" s="1602"/>
      <c r="AS566" s="1603"/>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16" t="str">
        <f>C554</f>
        <v>Citibank Tax Exempt Construction Loan</v>
      </c>
      <c r="H568" s="1416"/>
      <c r="I568" s="1416"/>
      <c r="J568" s="1416"/>
      <c r="K568" s="1416"/>
      <c r="L568" s="1416"/>
      <c r="M568" s="1416"/>
      <c r="N568" s="1416"/>
      <c r="O568" s="1416"/>
      <c r="P568" s="1416"/>
      <c r="Q568" s="1416"/>
      <c r="R568" s="1416"/>
      <c r="S568" s="8"/>
      <c r="T568" s="55" t="s">
        <v>113</v>
      </c>
      <c r="U568" t="s">
        <v>463</v>
      </c>
      <c r="Z568" s="1416" t="str">
        <f>C555</f>
        <v>Citibank Taxable Construction Loan</v>
      </c>
      <c r="AA568" s="1416"/>
      <c r="AB568" s="1416"/>
      <c r="AC568" s="1416"/>
      <c r="AD568" s="1416"/>
      <c r="AE568" s="1416"/>
      <c r="AF568" s="1416"/>
      <c r="AG568" s="1416"/>
      <c r="AH568" s="1416"/>
      <c r="AI568" s="1416"/>
      <c r="AJ568" s="1416"/>
      <c r="AK568" s="1416"/>
      <c r="BB568" s="3"/>
      <c r="BC568" s="3"/>
      <c r="BD568" s="3"/>
      <c r="BE568" s="3"/>
      <c r="BF568" s="3"/>
      <c r="BG568" s="3"/>
      <c r="BH568" s="3"/>
      <c r="BI568" s="3"/>
    </row>
    <row r="569" spans="1:61" ht="12.95" customHeight="1">
      <c r="A569" s="22"/>
      <c r="B569" t="s">
        <v>85</v>
      </c>
      <c r="G569" s="1405" t="s">
        <v>2725</v>
      </c>
      <c r="H569" s="1348"/>
      <c r="I569" s="1348"/>
      <c r="J569" s="1348"/>
      <c r="K569" s="1348"/>
      <c r="L569" s="1348"/>
      <c r="M569" s="1348"/>
      <c r="N569" s="1348"/>
      <c r="O569" s="1348"/>
      <c r="P569" s="1348"/>
      <c r="Q569" s="1348"/>
      <c r="R569" s="1348"/>
      <c r="S569" s="8"/>
      <c r="T569" s="22"/>
      <c r="U569" t="s">
        <v>85</v>
      </c>
      <c r="Z569" s="1348" t="s">
        <v>2725</v>
      </c>
      <c r="AA569" s="1348"/>
      <c r="AB569" s="1348"/>
      <c r="AC569" s="1348"/>
      <c r="AD569" s="1348"/>
      <c r="AE569" s="1348"/>
      <c r="AF569" s="1348"/>
      <c r="AG569" s="1348"/>
      <c r="AH569" s="1348"/>
      <c r="AI569" s="1348"/>
      <c r="AJ569" s="1348"/>
      <c r="AK569" s="1348"/>
      <c r="BB569" s="3"/>
      <c r="BC569" s="3"/>
      <c r="BD569" s="3"/>
      <c r="BE569" s="3"/>
      <c r="BF569" s="3"/>
      <c r="BG569" s="3"/>
      <c r="BH569" s="3"/>
      <c r="BI569" s="3"/>
    </row>
    <row r="570" spans="1:61" ht="12.95" customHeight="1">
      <c r="A570" s="22"/>
      <c r="B570" t="s">
        <v>580</v>
      </c>
      <c r="G570" s="1348" t="s">
        <v>2726</v>
      </c>
      <c r="H570" s="1348"/>
      <c r="I570" s="1348"/>
      <c r="J570" s="1348"/>
      <c r="K570" s="1348"/>
      <c r="L570" s="1348"/>
      <c r="M570" s="1348"/>
      <c r="N570" s="1348"/>
      <c r="O570" s="1348"/>
      <c r="P570" s="1348"/>
      <c r="Q570" s="1348"/>
      <c r="R570" s="1348"/>
      <c r="T570" s="22"/>
      <c r="U570" t="s">
        <v>580</v>
      </c>
      <c r="Z570" s="1461" t="s">
        <v>2726</v>
      </c>
      <c r="AA570" s="1461"/>
      <c r="AB570" s="1461"/>
      <c r="AC570" s="1461"/>
      <c r="AD570" s="1461"/>
      <c r="AE570" s="1461"/>
      <c r="AF570" s="1461"/>
      <c r="AG570" s="1461"/>
      <c r="AH570" s="1461"/>
      <c r="AI570" s="1461"/>
      <c r="AJ570" s="1461"/>
      <c r="AK570" s="1461"/>
      <c r="BB570" s="3"/>
      <c r="BC570" s="3"/>
      <c r="BD570" s="3"/>
      <c r="BE570" s="3"/>
      <c r="BF570" s="3"/>
      <c r="BG570" s="3"/>
      <c r="BH570" s="3"/>
      <c r="BI570" s="3"/>
    </row>
    <row r="571" spans="1:61" ht="12.95" customHeight="1">
      <c r="A571" s="22"/>
      <c r="B571" t="s">
        <v>17</v>
      </c>
      <c r="G571" s="1348" t="s">
        <v>2727</v>
      </c>
      <c r="H571" s="1348"/>
      <c r="I571" s="1348"/>
      <c r="J571" s="1348"/>
      <c r="K571" s="1348"/>
      <c r="L571" s="1348"/>
      <c r="M571" s="1348"/>
      <c r="N571" s="1348"/>
      <c r="O571" s="1348"/>
      <c r="P571" s="1348"/>
      <c r="Q571" s="1348"/>
      <c r="R571" s="1348"/>
      <c r="S571" s="8"/>
      <c r="T571" s="22"/>
      <c r="U571" t="s">
        <v>17</v>
      </c>
      <c r="Z571" s="1461" t="s">
        <v>2727</v>
      </c>
      <c r="AA571" s="1461"/>
      <c r="AB571" s="1461"/>
      <c r="AC571" s="1461"/>
      <c r="AD571" s="1461"/>
      <c r="AE571" s="1461"/>
      <c r="AF571" s="1461"/>
      <c r="AG571" s="1461"/>
      <c r="AH571" s="1461"/>
      <c r="AI571" s="1461"/>
      <c r="AJ571" s="1461"/>
      <c r="AK571" s="1461"/>
      <c r="BB571" s="3"/>
      <c r="BC571" s="3"/>
      <c r="BD571" s="3"/>
      <c r="BE571" s="3"/>
      <c r="BF571" s="3"/>
      <c r="BG571" s="3"/>
      <c r="BH571" s="3"/>
      <c r="BI571" s="3"/>
    </row>
    <row r="572" spans="1:61" ht="12.95" customHeight="1">
      <c r="A572" s="22"/>
      <c r="B572" t="s">
        <v>315</v>
      </c>
      <c r="G572" s="1415">
        <v>2132391814</v>
      </c>
      <c r="H572" s="1415"/>
      <c r="I572" s="1415"/>
      <c r="J572" s="1415"/>
      <c r="K572" s="1415"/>
      <c r="L572" s="1415"/>
      <c r="O572" s="33" t="s">
        <v>205</v>
      </c>
      <c r="P572" s="1460"/>
      <c r="Q572" s="1460"/>
      <c r="R572" s="1460"/>
      <c r="S572" s="10"/>
      <c r="T572" s="22"/>
      <c r="U572" t="s">
        <v>315</v>
      </c>
      <c r="Z572" s="1415">
        <v>2132391814</v>
      </c>
      <c r="AA572" s="1415"/>
      <c r="AB572" s="1415"/>
      <c r="AC572" s="1415"/>
      <c r="AD572" s="1415"/>
      <c r="AE572" s="1415"/>
      <c r="AH572" s="33" t="s">
        <v>205</v>
      </c>
      <c r="AI572" s="1460"/>
      <c r="AJ572" s="1460"/>
      <c r="AK572" s="1460"/>
      <c r="BB572" s="3"/>
      <c r="BC572" s="3"/>
      <c r="BD572" s="3"/>
      <c r="BE572" s="3"/>
      <c r="BF572" s="3"/>
      <c r="BG572" s="3"/>
      <c r="BH572" s="3"/>
      <c r="BI572" s="3"/>
    </row>
    <row r="573" spans="1:61" ht="12.95" customHeight="1">
      <c r="A573" s="22"/>
      <c r="B573" t="s">
        <v>18</v>
      </c>
      <c r="H573" s="1348" t="s">
        <v>2728</v>
      </c>
      <c r="I573" s="1348"/>
      <c r="J573" s="1348"/>
      <c r="K573" s="1348"/>
      <c r="L573" s="1348"/>
      <c r="M573" s="1348"/>
      <c r="N573" s="1348"/>
      <c r="O573" s="1348"/>
      <c r="P573" s="1348"/>
      <c r="Q573" s="1348"/>
      <c r="R573" s="1348"/>
      <c r="S573" s="8"/>
      <c r="T573" s="22"/>
      <c r="U573" t="s">
        <v>18</v>
      </c>
      <c r="AA573" s="1348" t="s">
        <v>2728</v>
      </c>
      <c r="AB573" s="1348"/>
      <c r="AC573" s="1348"/>
      <c r="AD573" s="1348"/>
      <c r="AE573" s="1348"/>
      <c r="AF573" s="1348"/>
      <c r="AG573" s="1348"/>
      <c r="AH573" s="1348"/>
      <c r="AI573" s="1348"/>
      <c r="AJ573" s="1348"/>
      <c r="AK573" s="1348"/>
      <c r="BB573" s="3"/>
      <c r="BC573" s="3"/>
      <c r="BD573" s="3"/>
      <c r="BE573" s="3"/>
      <c r="BF573" s="3"/>
      <c r="BG573" s="3"/>
      <c r="BH573" s="3"/>
      <c r="BI573" s="3"/>
    </row>
    <row r="574" spans="1:61" ht="12.95" customHeight="1">
      <c r="A574" s="22"/>
      <c r="B574" s="321" t="s">
        <v>1185</v>
      </c>
      <c r="H574" s="8"/>
      <c r="I574" s="8"/>
      <c r="J574" s="8"/>
      <c r="K574" s="8"/>
      <c r="L574" s="8"/>
      <c r="M574" s="1703" t="s">
        <v>2729</v>
      </c>
      <c r="N574" s="1704"/>
      <c r="O574" s="1704"/>
      <c r="P574" s="1704"/>
      <c r="Q574" s="1704"/>
      <c r="R574" s="1704"/>
      <c r="S574" s="8"/>
      <c r="T574" s="22"/>
      <c r="U574" s="321" t="s">
        <v>1185</v>
      </c>
      <c r="AA574" s="8"/>
      <c r="AB574" s="8"/>
      <c r="AC574" s="8"/>
      <c r="AD574" s="8"/>
      <c r="AE574" s="8"/>
      <c r="AF574" s="1703" t="s">
        <v>2729</v>
      </c>
      <c r="AG574" s="1704"/>
      <c r="AH574" s="1704"/>
      <c r="AI574" s="1704"/>
      <c r="AJ574" s="1704"/>
      <c r="AK574" s="1704"/>
      <c r="BB574" s="3"/>
      <c r="BC574" s="3"/>
      <c r="BD574" s="3"/>
      <c r="BE574" s="3"/>
      <c r="BF574" s="3"/>
      <c r="BG574" s="3"/>
      <c r="BH574" s="3"/>
      <c r="BI574" s="3"/>
    </row>
    <row r="575" spans="1:61" ht="12.95" customHeight="1">
      <c r="A575" s="22"/>
      <c r="B575" t="s">
        <v>20</v>
      </c>
      <c r="N575" s="1334" t="s">
        <v>545</v>
      </c>
      <c r="O575" s="1334"/>
      <c r="T575" s="22"/>
      <c r="U575" t="s">
        <v>20</v>
      </c>
      <c r="AG575" s="1334" t="s">
        <v>545</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16" t="str">
        <f>C556</f>
        <v>Santa Clara County</v>
      </c>
      <c r="H577" s="1416"/>
      <c r="I577" s="1416"/>
      <c r="J577" s="1416"/>
      <c r="K577" s="1416"/>
      <c r="L577" s="1416"/>
      <c r="M577" s="1416"/>
      <c r="N577" s="1416"/>
      <c r="O577" s="1416"/>
      <c r="P577" s="1416"/>
      <c r="Q577" s="1416"/>
      <c r="R577" s="1416"/>
      <c r="T577" s="55" t="s">
        <v>581</v>
      </c>
      <c r="U577" t="s">
        <v>463</v>
      </c>
      <c r="Z577" s="1416" t="str">
        <f>C557</f>
        <v>Santa Clara County - Accrued Deferred Interest</v>
      </c>
      <c r="AA577" s="1416"/>
      <c r="AB577" s="1416"/>
      <c r="AC577" s="1416"/>
      <c r="AD577" s="1416"/>
      <c r="AE577" s="1416"/>
      <c r="AF577" s="1416"/>
      <c r="AG577" s="1416"/>
      <c r="AH577" s="1416"/>
      <c r="AI577" s="1416"/>
      <c r="AJ577" s="1416"/>
      <c r="AK577" s="1416"/>
      <c r="BB577" s="3"/>
      <c r="BC577" s="3"/>
    </row>
    <row r="578" spans="1:55" ht="12.95" customHeight="1">
      <c r="A578" s="22"/>
      <c r="B578" t="s">
        <v>85</v>
      </c>
      <c r="G578" s="1405" t="s">
        <v>2731</v>
      </c>
      <c r="H578" s="1348"/>
      <c r="I578" s="1348"/>
      <c r="J578" s="1348"/>
      <c r="K578" s="1348"/>
      <c r="L578" s="1348"/>
      <c r="M578" s="1348"/>
      <c r="N578" s="1348"/>
      <c r="O578" s="1348"/>
      <c r="P578" s="1348"/>
      <c r="Q578" s="1348"/>
      <c r="R578" s="1348"/>
      <c r="T578" s="22"/>
      <c r="U578" t="s">
        <v>85</v>
      </c>
      <c r="Z578" s="1348" t="s">
        <v>2731</v>
      </c>
      <c r="AA578" s="1348"/>
      <c r="AB578" s="1348"/>
      <c r="AC578" s="1348"/>
      <c r="AD578" s="1348"/>
      <c r="AE578" s="1348"/>
      <c r="AF578" s="1348"/>
      <c r="AG578" s="1348"/>
      <c r="AH578" s="1348"/>
      <c r="AI578" s="1348"/>
      <c r="AJ578" s="1348"/>
      <c r="AK578" s="1348"/>
      <c r="BB578" s="3"/>
      <c r="BC578" s="3"/>
    </row>
    <row r="579" spans="1:55" ht="12.95" customHeight="1">
      <c r="A579" s="22"/>
      <c r="B579" t="s">
        <v>580</v>
      </c>
      <c r="G579" s="1522" t="s">
        <v>2732</v>
      </c>
      <c r="H579" s="1461"/>
      <c r="I579" s="1461"/>
      <c r="J579" s="1461"/>
      <c r="K579" s="1461"/>
      <c r="L579" s="1461"/>
      <c r="M579" s="1461"/>
      <c r="N579" s="1461"/>
      <c r="O579" s="1461"/>
      <c r="P579" s="1461"/>
      <c r="Q579" s="1461"/>
      <c r="R579" s="1461"/>
      <c r="T579" s="22"/>
      <c r="U579" t="s">
        <v>580</v>
      </c>
      <c r="Z579" s="1461" t="s">
        <v>2732</v>
      </c>
      <c r="AA579" s="1461"/>
      <c r="AB579" s="1461"/>
      <c r="AC579" s="1461"/>
      <c r="AD579" s="1461"/>
      <c r="AE579" s="1461"/>
      <c r="AF579" s="1461"/>
      <c r="AG579" s="1461"/>
      <c r="AH579" s="1461"/>
      <c r="AI579" s="1461"/>
      <c r="AJ579" s="1461"/>
      <c r="AK579" s="1461"/>
      <c r="BB579" s="3"/>
      <c r="BC579" s="3"/>
    </row>
    <row r="580" spans="1:55" ht="12.95" customHeight="1">
      <c r="A580" s="22"/>
      <c r="B580" t="s">
        <v>17</v>
      </c>
      <c r="G580" s="1522" t="s">
        <v>2733</v>
      </c>
      <c r="H580" s="1461"/>
      <c r="I580" s="1461"/>
      <c r="J580" s="1461"/>
      <c r="K580" s="1461"/>
      <c r="L580" s="1461"/>
      <c r="M580" s="1461"/>
      <c r="N580" s="1461"/>
      <c r="O580" s="1461"/>
      <c r="P580" s="1461"/>
      <c r="Q580" s="1461"/>
      <c r="R580" s="1461"/>
      <c r="T580" s="22"/>
      <c r="U580" t="s">
        <v>17</v>
      </c>
      <c r="Z580" s="1461" t="s">
        <v>2733</v>
      </c>
      <c r="AA580" s="1461"/>
      <c r="AB580" s="1461"/>
      <c r="AC580" s="1461"/>
      <c r="AD580" s="1461"/>
      <c r="AE580" s="1461"/>
      <c r="AF580" s="1461"/>
      <c r="AG580" s="1461"/>
      <c r="AH580" s="1461"/>
      <c r="AI580" s="1461"/>
      <c r="AJ580" s="1461"/>
      <c r="AK580" s="1461"/>
      <c r="BB580" s="3"/>
      <c r="BC580" s="3"/>
    </row>
    <row r="581" spans="1:55" ht="12.95" customHeight="1">
      <c r="A581" s="22"/>
      <c r="B581" t="s">
        <v>315</v>
      </c>
      <c r="G581" s="1415">
        <v>4082786400</v>
      </c>
      <c r="H581" s="1415"/>
      <c r="I581" s="1415"/>
      <c r="J581" s="1415"/>
      <c r="K581" s="1415"/>
      <c r="L581" s="1415"/>
      <c r="O581" s="33" t="s">
        <v>205</v>
      </c>
      <c r="P581" s="1460"/>
      <c r="Q581" s="1460"/>
      <c r="R581" s="1460"/>
      <c r="T581" s="22"/>
      <c r="U581" t="s">
        <v>315</v>
      </c>
      <c r="Z581" s="1415">
        <v>4082786400</v>
      </c>
      <c r="AA581" s="1415"/>
      <c r="AB581" s="1415"/>
      <c r="AC581" s="1415"/>
      <c r="AD581" s="1415"/>
      <c r="AE581" s="1415"/>
      <c r="AH581" s="33" t="s">
        <v>205</v>
      </c>
      <c r="AI581" s="1460"/>
      <c r="AJ581" s="1460"/>
      <c r="AK581" s="1460"/>
      <c r="BB581" s="3"/>
      <c r="BC581" s="3"/>
    </row>
    <row r="582" spans="1:55" ht="12.95" customHeight="1">
      <c r="A582" s="22"/>
      <c r="B582" t="s">
        <v>18</v>
      </c>
      <c r="H582" s="1405" t="s">
        <v>2734</v>
      </c>
      <c r="I582" s="1348"/>
      <c r="J582" s="1348"/>
      <c r="K582" s="1348"/>
      <c r="L582" s="1348"/>
      <c r="M582" s="1348"/>
      <c r="N582" s="1348"/>
      <c r="O582" s="1348"/>
      <c r="P582" s="1348"/>
      <c r="Q582" s="1348"/>
      <c r="R582" s="1348"/>
      <c r="T582" s="22"/>
      <c r="U582" t="s">
        <v>18</v>
      </c>
      <c r="AA582" s="1405" t="s">
        <v>2735</v>
      </c>
      <c r="AB582" s="1348"/>
      <c r="AC582" s="1348"/>
      <c r="AD582" s="1348"/>
      <c r="AE582" s="1348"/>
      <c r="AF582" s="1348"/>
      <c r="AG582" s="1348"/>
      <c r="AH582" s="1348"/>
      <c r="AI582" s="1348"/>
      <c r="AJ582" s="1348"/>
      <c r="AK582" s="1348"/>
      <c r="BB582" s="3"/>
      <c r="BC582" s="3"/>
    </row>
    <row r="583" spans="1:55" ht="12.95" customHeight="1">
      <c r="A583" s="22"/>
      <c r="B583" t="s">
        <v>20</v>
      </c>
      <c r="N583" s="1334" t="s">
        <v>545</v>
      </c>
      <c r="O583" s="1334"/>
      <c r="T583" s="22"/>
      <c r="U583" t="s">
        <v>20</v>
      </c>
      <c r="AG583" s="1334" t="s">
        <v>545</v>
      </c>
      <c r="AH583" s="1334"/>
      <c r="BB583" s="3"/>
      <c r="BC583" s="3"/>
    </row>
    <row r="584" spans="1:55" ht="12.95" customHeight="1">
      <c r="A584" s="22"/>
      <c r="T584" s="22"/>
      <c r="BB584" s="3"/>
      <c r="BC584" s="3"/>
    </row>
    <row r="585" spans="1:55" ht="12.95" customHeight="1">
      <c r="A585" s="55" t="s">
        <v>763</v>
      </c>
      <c r="B585" t="s">
        <v>463</v>
      </c>
      <c r="G585" s="1416" t="str">
        <f>C558</f>
        <v>City of Morgan Hill</v>
      </c>
      <c r="H585" s="1416"/>
      <c r="I585" s="1416"/>
      <c r="J585" s="1416"/>
      <c r="K585" s="1416"/>
      <c r="L585" s="1416"/>
      <c r="M585" s="1416"/>
      <c r="N585" s="1416"/>
      <c r="O585" s="1416"/>
      <c r="P585" s="1416"/>
      <c r="Q585" s="1416"/>
      <c r="R585" s="1416"/>
      <c r="T585" s="55" t="s">
        <v>584</v>
      </c>
      <c r="U585" t="s">
        <v>463</v>
      </c>
      <c r="Z585" s="1416" t="str">
        <f>C559</f>
        <v>City of Morgan Hill - Accrued Deferred Interest</v>
      </c>
      <c r="AA585" s="1416"/>
      <c r="AB585" s="1416"/>
      <c r="AC585" s="1416"/>
      <c r="AD585" s="1416"/>
      <c r="AE585" s="1416"/>
      <c r="AF585" s="1416"/>
      <c r="AG585" s="1416"/>
      <c r="AH585" s="1416"/>
      <c r="AI585" s="1416"/>
      <c r="AJ585" s="1416"/>
      <c r="AK585" s="1416"/>
      <c r="BB585" s="3"/>
      <c r="BC585" s="3"/>
    </row>
    <row r="586" spans="1:55" ht="12.95" customHeight="1">
      <c r="A586" s="22"/>
      <c r="B586" t="s">
        <v>85</v>
      </c>
      <c r="G586" s="1405" t="s">
        <v>2736</v>
      </c>
      <c r="H586" s="1348"/>
      <c r="I586" s="1348"/>
      <c r="J586" s="1348"/>
      <c r="K586" s="1348"/>
      <c r="L586" s="1348"/>
      <c r="M586" s="1348"/>
      <c r="N586" s="1348"/>
      <c r="O586" s="1348"/>
      <c r="P586" s="1348"/>
      <c r="Q586" s="1348"/>
      <c r="R586" s="1348"/>
      <c r="T586" s="22"/>
      <c r="U586" t="s">
        <v>85</v>
      </c>
      <c r="Z586" s="1348" t="s">
        <v>2736</v>
      </c>
      <c r="AA586" s="1348"/>
      <c r="AB586" s="1348"/>
      <c r="AC586" s="1348"/>
      <c r="AD586" s="1348"/>
      <c r="AE586" s="1348"/>
      <c r="AF586" s="1348"/>
      <c r="AG586" s="1348"/>
      <c r="AH586" s="1348"/>
      <c r="AI586" s="1348"/>
      <c r="AJ586" s="1348"/>
      <c r="AK586" s="1348"/>
      <c r="BB586" s="3"/>
      <c r="BC586" s="3"/>
    </row>
    <row r="587" spans="1:55" ht="12.95" customHeight="1">
      <c r="A587" s="22"/>
      <c r="B587" t="s">
        <v>580</v>
      </c>
      <c r="G587" s="1405" t="s">
        <v>2738</v>
      </c>
      <c r="H587" s="1348"/>
      <c r="I587" s="1348"/>
      <c r="J587" s="1348"/>
      <c r="K587" s="1348"/>
      <c r="L587" s="1348"/>
      <c r="M587" s="1348"/>
      <c r="N587" s="1348"/>
      <c r="O587" s="1348"/>
      <c r="P587" s="1348"/>
      <c r="Q587" s="1348"/>
      <c r="R587" s="1348"/>
      <c r="T587" s="22"/>
      <c r="U587" t="s">
        <v>580</v>
      </c>
      <c r="Z587" s="1461" t="s">
        <v>2738</v>
      </c>
      <c r="AA587" s="1461"/>
      <c r="AB587" s="1461"/>
      <c r="AC587" s="1461"/>
      <c r="AD587" s="1461"/>
      <c r="AE587" s="1461"/>
      <c r="AF587" s="1461"/>
      <c r="AG587" s="1461"/>
      <c r="AH587" s="1461"/>
      <c r="AI587" s="1461"/>
      <c r="AJ587" s="1461"/>
      <c r="AK587" s="1461"/>
      <c r="BB587" s="3"/>
      <c r="BC587" s="3"/>
    </row>
    <row r="588" spans="1:55" ht="12.95" customHeight="1">
      <c r="A588" s="22"/>
      <c r="B588" t="s">
        <v>17</v>
      </c>
      <c r="G588" s="1405" t="s">
        <v>2737</v>
      </c>
      <c r="H588" s="1348"/>
      <c r="I588" s="1348"/>
      <c r="J588" s="1348"/>
      <c r="K588" s="1348"/>
      <c r="L588" s="1348"/>
      <c r="M588" s="1348"/>
      <c r="N588" s="1348"/>
      <c r="O588" s="1348"/>
      <c r="P588" s="1348"/>
      <c r="Q588" s="1348"/>
      <c r="R588" s="1348"/>
      <c r="T588" s="22"/>
      <c r="U588" t="s">
        <v>17</v>
      </c>
      <c r="Z588" s="1461" t="s">
        <v>2737</v>
      </c>
      <c r="AA588" s="1461"/>
      <c r="AB588" s="1461"/>
      <c r="AC588" s="1461"/>
      <c r="AD588" s="1461"/>
      <c r="AE588" s="1461"/>
      <c r="AF588" s="1461"/>
      <c r="AG588" s="1461"/>
      <c r="AH588" s="1461"/>
      <c r="AI588" s="1461"/>
      <c r="AJ588" s="1461"/>
      <c r="AK588" s="1461"/>
    </row>
    <row r="589" spans="1:55" ht="12.95" customHeight="1">
      <c r="A589" s="22"/>
      <c r="B589" t="s">
        <v>315</v>
      </c>
      <c r="G589" s="1415">
        <v>4083104637</v>
      </c>
      <c r="H589" s="1415"/>
      <c r="I589" s="1415"/>
      <c r="J589" s="1415"/>
      <c r="K589" s="1415"/>
      <c r="L589" s="1415"/>
      <c r="O589" s="33" t="s">
        <v>205</v>
      </c>
      <c r="P589" s="1460"/>
      <c r="Q589" s="1460"/>
      <c r="R589" s="1460"/>
      <c r="T589" s="22"/>
      <c r="U589" t="s">
        <v>315</v>
      </c>
      <c r="Z589" s="1415">
        <v>4083104637</v>
      </c>
      <c r="AA589" s="1415"/>
      <c r="AB589" s="1415"/>
      <c r="AC589" s="1415"/>
      <c r="AD589" s="1415"/>
      <c r="AE589" s="1415"/>
      <c r="AH589" s="33" t="s">
        <v>205</v>
      </c>
      <c r="AI589" s="1460"/>
      <c r="AJ589" s="1460"/>
      <c r="AK589" s="1460"/>
      <c r="AZ589" s="3"/>
      <c r="BA589" s="3"/>
      <c r="BB589" s="3"/>
      <c r="BC589" s="3"/>
    </row>
    <row r="590" spans="1:55" ht="12.95" customHeight="1">
      <c r="A590" s="22"/>
      <c r="B590" t="s">
        <v>18</v>
      </c>
      <c r="H590" s="1405" t="s">
        <v>2734</v>
      </c>
      <c r="I590" s="1348"/>
      <c r="J590" s="1348"/>
      <c r="K590" s="1348"/>
      <c r="L590" s="1348"/>
      <c r="M590" s="1348"/>
      <c r="N590" s="1348"/>
      <c r="O590" s="1348"/>
      <c r="P590" s="1348"/>
      <c r="Q590" s="1348"/>
      <c r="R590" s="1348"/>
      <c r="T590" s="22"/>
      <c r="U590" t="s">
        <v>18</v>
      </c>
      <c r="AA590" s="1405" t="s">
        <v>2735</v>
      </c>
      <c r="AB590" s="1348"/>
      <c r="AC590" s="1348"/>
      <c r="AD590" s="1348"/>
      <c r="AE590" s="1348"/>
      <c r="AF590" s="1348"/>
      <c r="AG590" s="1348"/>
      <c r="AH590" s="1348"/>
      <c r="AI590" s="1348"/>
      <c r="AJ590" s="1348"/>
      <c r="AK590" s="1348"/>
      <c r="AZ590" s="3"/>
      <c r="BA590" s="3"/>
      <c r="BB590" s="3"/>
      <c r="BC590" s="3"/>
    </row>
    <row r="591" spans="1:55" ht="12.95" customHeight="1">
      <c r="A591" s="22"/>
      <c r="B591" t="s">
        <v>20</v>
      </c>
      <c r="N591" s="1334" t="s">
        <v>545</v>
      </c>
      <c r="O591" s="1334"/>
      <c r="T591" s="22"/>
      <c r="U591" t="s">
        <v>20</v>
      </c>
      <c r="AG591" s="1334" t="s">
        <v>545</v>
      </c>
      <c r="AH591" s="1334"/>
      <c r="AZ591" s="3"/>
      <c r="BA591" s="3"/>
      <c r="BB591" s="3"/>
      <c r="BC591" s="3"/>
    </row>
    <row r="592" spans="1:55" ht="12.95" customHeight="1">
      <c r="A592" s="22"/>
      <c r="T592" s="22"/>
      <c r="AZ592" s="3"/>
      <c r="BA592" s="3"/>
      <c r="BB592" s="3"/>
      <c r="BC592" s="3"/>
    </row>
    <row r="593" spans="1:55" ht="12.95" customHeight="1">
      <c r="A593" s="55" t="s">
        <v>455</v>
      </c>
      <c r="B593" t="s">
        <v>463</v>
      </c>
      <c r="G593" s="1416" t="str">
        <f>C560</f>
        <v>Costs Deferred until Conversion</v>
      </c>
      <c r="H593" s="1416"/>
      <c r="I593" s="1416"/>
      <c r="J593" s="1416"/>
      <c r="K593" s="1416"/>
      <c r="L593" s="1416"/>
      <c r="M593" s="1416"/>
      <c r="N593" s="1416"/>
      <c r="O593" s="1416"/>
      <c r="P593" s="1416"/>
      <c r="Q593" s="1416"/>
      <c r="R593" s="1416"/>
      <c r="T593" s="55" t="s">
        <v>456</v>
      </c>
      <c r="U593" t="s">
        <v>463</v>
      </c>
      <c r="Z593" s="1416" t="str">
        <f>C561</f>
        <v>Deferred Developer Fee</v>
      </c>
      <c r="AA593" s="1416"/>
      <c r="AB593" s="1416"/>
      <c r="AC593" s="1416"/>
      <c r="AD593" s="1416"/>
      <c r="AE593" s="1416"/>
      <c r="AF593" s="1416"/>
      <c r="AG593" s="1416"/>
      <c r="AH593" s="1416"/>
      <c r="AI593" s="1416"/>
      <c r="AJ593" s="1416"/>
      <c r="AK593" s="1416"/>
      <c r="AZ593" s="3"/>
      <c r="BA593" s="3"/>
      <c r="BB593" s="3"/>
      <c r="BC593" s="3"/>
    </row>
    <row r="594" spans="1:55" s="4" customFormat="1" ht="12.95" customHeight="1">
      <c r="A594" s="22"/>
      <c r="B594" t="s">
        <v>85</v>
      </c>
      <c r="C594"/>
      <c r="D594"/>
      <c r="E594"/>
      <c r="F594"/>
      <c r="G594" s="1405" t="s">
        <v>2618</v>
      </c>
      <c r="H594" s="1348"/>
      <c r="I594" s="1348"/>
      <c r="J594" s="1348"/>
      <c r="K594" s="1348"/>
      <c r="L594" s="1348"/>
      <c r="M594" s="1348"/>
      <c r="N594" s="1348"/>
      <c r="O594" s="1348"/>
      <c r="P594" s="1348"/>
      <c r="Q594" s="1348"/>
      <c r="R594" s="1348"/>
      <c r="S594"/>
      <c r="T594" s="22"/>
      <c r="U594" t="s">
        <v>85</v>
      </c>
      <c r="V594"/>
      <c r="W594"/>
      <c r="X594"/>
      <c r="Y594"/>
      <c r="Z594" s="1405" t="s">
        <v>2618</v>
      </c>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5" t="s">
        <v>2637</v>
      </c>
      <c r="H595" s="1348"/>
      <c r="I595" s="1348"/>
      <c r="J595" s="1348"/>
      <c r="K595" s="1348"/>
      <c r="L595" s="1348"/>
      <c r="M595" s="1348"/>
      <c r="N595" s="1348"/>
      <c r="O595" s="1348"/>
      <c r="P595" s="1348"/>
      <c r="Q595" s="1348"/>
      <c r="R595" s="1348"/>
      <c r="S595"/>
      <c r="T595" s="22"/>
      <c r="U595" t="s">
        <v>580</v>
      </c>
      <c r="V595"/>
      <c r="W595"/>
      <c r="X595"/>
      <c r="Y595"/>
      <c r="Z595" s="1522" t="s">
        <v>2637</v>
      </c>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5" t="s">
        <v>2612</v>
      </c>
      <c r="H596" s="1348"/>
      <c r="I596" s="1348"/>
      <c r="J596" s="1348"/>
      <c r="K596" s="1348"/>
      <c r="L596" s="1348"/>
      <c r="M596" s="1348"/>
      <c r="N596" s="1348"/>
      <c r="O596" s="1348"/>
      <c r="P596" s="1348"/>
      <c r="Q596" s="1348"/>
      <c r="R596" s="1348"/>
      <c r="S596"/>
      <c r="T596" s="22"/>
      <c r="U596" t="s">
        <v>17</v>
      </c>
      <c r="V596"/>
      <c r="W596"/>
      <c r="X596"/>
      <c r="Y596"/>
      <c r="Z596" s="1522" t="s">
        <v>2612</v>
      </c>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15">
        <v>5102478103</v>
      </c>
      <c r="H597" s="1415"/>
      <c r="I597" s="1415"/>
      <c r="J597" s="1415"/>
      <c r="K597" s="1415"/>
      <c r="L597" s="1415"/>
      <c r="M597"/>
      <c r="N597"/>
      <c r="O597" s="33" t="s">
        <v>205</v>
      </c>
      <c r="P597" s="1460"/>
      <c r="Q597" s="1460"/>
      <c r="R597" s="1460"/>
      <c r="S597"/>
      <c r="T597" s="22"/>
      <c r="U597" t="s">
        <v>315</v>
      </c>
      <c r="V597"/>
      <c r="W597"/>
      <c r="X597"/>
      <c r="Y597"/>
      <c r="Z597" s="1415">
        <v>5102478103</v>
      </c>
      <c r="AA597" s="1415"/>
      <c r="AB597" s="1415"/>
      <c r="AC597" s="1415"/>
      <c r="AD597" s="1415"/>
      <c r="AE597" s="1415"/>
      <c r="AF597"/>
      <c r="AG597"/>
      <c r="AH597" s="33" t="s">
        <v>205</v>
      </c>
      <c r="AI597" s="1460"/>
      <c r="AJ597" s="1460"/>
      <c r="AK597" s="146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5" t="s">
        <v>2739</v>
      </c>
      <c r="I598" s="1348"/>
      <c r="J598" s="1348"/>
      <c r="K598" s="1348"/>
      <c r="L598" s="1348"/>
      <c r="M598" s="1348"/>
      <c r="N598" s="1348"/>
      <c r="O598" s="1348"/>
      <c r="P598" s="1348"/>
      <c r="Q598" s="1348"/>
      <c r="R598" s="1348"/>
      <c r="S598"/>
      <c r="T598" s="22"/>
      <c r="U598" t="s">
        <v>18</v>
      </c>
      <c r="V598"/>
      <c r="W598"/>
      <c r="X598"/>
      <c r="Y598"/>
      <c r="Z598"/>
      <c r="AA598" s="1405" t="s">
        <v>2324</v>
      </c>
      <c r="AB598" s="1348"/>
      <c r="AC598" s="1348"/>
      <c r="AD598" s="1348"/>
      <c r="AE598" s="1348"/>
      <c r="AF598" s="1348"/>
      <c r="AG598" s="1348"/>
      <c r="AH598" s="1348"/>
      <c r="AI598" s="1348"/>
      <c r="AJ598" s="1348"/>
      <c r="AK598" s="1348"/>
      <c r="AL598"/>
      <c r="AM598"/>
      <c r="AN598"/>
      <c r="AO598"/>
      <c r="AP598"/>
      <c r="AQ598"/>
      <c r="AR598"/>
      <c r="AS598"/>
      <c r="AT598"/>
      <c r="AU598"/>
      <c r="AV598"/>
      <c r="AW598"/>
      <c r="AX598"/>
      <c r="AY598"/>
      <c r="BB598" s="3"/>
      <c r="BC598" s="3"/>
    </row>
    <row r="599" spans="1:55" ht="12.95" customHeight="1">
      <c r="A599" s="22"/>
      <c r="B599" t="s">
        <v>20</v>
      </c>
      <c r="N599" s="1334" t="s">
        <v>545</v>
      </c>
      <c r="O599" s="1334"/>
      <c r="T599" s="22"/>
      <c r="U599" t="s">
        <v>20</v>
      </c>
      <c r="AG599" s="1334" t="s">
        <v>545</v>
      </c>
      <c r="AH599" s="1334"/>
      <c r="BB599" s="3"/>
      <c r="BC599" s="3"/>
    </row>
    <row r="600" spans="1:55" ht="12.95" customHeight="1">
      <c r="A600" s="22"/>
      <c r="T600" s="22"/>
      <c r="BB600" s="3"/>
      <c r="BC600" s="3"/>
    </row>
    <row r="601" spans="1:55" ht="12.95" customHeight="1">
      <c r="A601" s="55" t="s">
        <v>461</v>
      </c>
      <c r="B601" t="s">
        <v>463</v>
      </c>
      <c r="G601" s="1416" t="str">
        <f>C562</f>
        <v>Limited Partner Equity</v>
      </c>
      <c r="H601" s="1416"/>
      <c r="I601" s="1416"/>
      <c r="J601" s="1416"/>
      <c r="K601" s="1416"/>
      <c r="L601" s="1416"/>
      <c r="M601" s="1416"/>
      <c r="N601" s="1416"/>
      <c r="O601" s="1416"/>
      <c r="P601" s="1416"/>
      <c r="Q601" s="1416"/>
      <c r="R601" s="1416"/>
      <c r="T601" s="55" t="s">
        <v>646</v>
      </c>
      <c r="U601" t="s">
        <v>463</v>
      </c>
      <c r="Z601" s="1416">
        <f>C563</f>
        <v>0</v>
      </c>
      <c r="AA601" s="1416"/>
      <c r="AB601" s="1416"/>
      <c r="AC601" s="1416"/>
      <c r="AD601" s="1416"/>
      <c r="AE601" s="1416"/>
      <c r="AF601" s="1416"/>
      <c r="AG601" s="1416"/>
      <c r="AH601" s="1416"/>
      <c r="AI601" s="1416"/>
      <c r="AJ601" s="1416"/>
      <c r="AK601" s="1416"/>
      <c r="BB601" s="3"/>
      <c r="BC601" s="3"/>
    </row>
    <row r="602" spans="1:55" ht="12.95" customHeight="1">
      <c r="A602" s="22"/>
      <c r="B602" t="s">
        <v>85</v>
      </c>
      <c r="G602" s="1405" t="s">
        <v>2663</v>
      </c>
      <c r="H602" s="1348"/>
      <c r="I602" s="1348"/>
      <c r="J602" s="1348"/>
      <c r="K602" s="1348"/>
      <c r="L602" s="1348"/>
      <c r="M602" s="1348"/>
      <c r="N602" s="1348"/>
      <c r="O602" s="1348"/>
      <c r="P602" s="1348"/>
      <c r="Q602" s="1348"/>
      <c r="R602" s="1348"/>
      <c r="T602" s="22"/>
      <c r="U602" t="s">
        <v>85</v>
      </c>
      <c r="Z602" s="1348"/>
      <c r="AA602" s="1348"/>
      <c r="AB602" s="1348"/>
      <c r="AC602" s="1348"/>
      <c r="AD602" s="1348"/>
      <c r="AE602" s="1348"/>
      <c r="AF602" s="1348"/>
      <c r="AG602" s="1348"/>
      <c r="AH602" s="1348"/>
      <c r="AI602" s="1348"/>
      <c r="AJ602" s="1348"/>
      <c r="AK602" s="1348"/>
      <c r="AZ602" s="3"/>
      <c r="BA602" s="3"/>
      <c r="BB602" s="3"/>
      <c r="BC602" s="3"/>
    </row>
    <row r="603" spans="1:55" ht="12.95" customHeight="1">
      <c r="A603" s="22"/>
      <c r="B603" t="s">
        <v>580</v>
      </c>
      <c r="G603" s="1348"/>
      <c r="H603" s="1348"/>
      <c r="I603" s="1348"/>
      <c r="J603" s="1348"/>
      <c r="K603" s="1348"/>
      <c r="L603" s="1348"/>
      <c r="M603" s="1348"/>
      <c r="N603" s="1348"/>
      <c r="O603" s="1348"/>
      <c r="P603" s="1348"/>
      <c r="Q603" s="1348"/>
      <c r="R603" s="1348"/>
      <c r="T603" s="22"/>
      <c r="U603" t="s">
        <v>580</v>
      </c>
      <c r="Z603" s="1461"/>
      <c r="AA603" s="1461"/>
      <c r="AB603" s="1461"/>
      <c r="AC603" s="1461"/>
      <c r="AD603" s="1461"/>
      <c r="AE603" s="1461"/>
      <c r="AF603" s="1461"/>
      <c r="AG603" s="1461"/>
      <c r="AH603" s="1461"/>
      <c r="AI603" s="1461"/>
      <c r="AJ603" s="1461"/>
      <c r="AK603" s="1461"/>
      <c r="AZ603" s="3"/>
      <c r="BA603" s="3"/>
      <c r="BB603" s="3"/>
      <c r="BC603" s="3"/>
    </row>
    <row r="604" spans="1:55" ht="12.95" customHeight="1">
      <c r="A604" s="22"/>
      <c r="B604" t="s">
        <v>17</v>
      </c>
      <c r="G604" s="1348"/>
      <c r="H604" s="1348"/>
      <c r="I604" s="1348"/>
      <c r="J604" s="1348"/>
      <c r="K604" s="1348"/>
      <c r="L604" s="1348"/>
      <c r="M604" s="1348"/>
      <c r="N604" s="1348"/>
      <c r="O604" s="1348"/>
      <c r="P604" s="1348"/>
      <c r="Q604" s="1348"/>
      <c r="R604" s="1348"/>
      <c r="T604" s="22"/>
      <c r="U604" t="s">
        <v>17</v>
      </c>
      <c r="Z604" s="1461"/>
      <c r="AA604" s="1461"/>
      <c r="AB604" s="1461"/>
      <c r="AC604" s="1461"/>
      <c r="AD604" s="1461"/>
      <c r="AE604" s="1461"/>
      <c r="AF604" s="1461"/>
      <c r="AG604" s="1461"/>
      <c r="AH604" s="1461"/>
      <c r="AI604" s="1461"/>
      <c r="AJ604" s="1461"/>
      <c r="AK604" s="1461"/>
      <c r="AZ604" s="3"/>
      <c r="BA604" s="3"/>
      <c r="BB604" s="3"/>
      <c r="BC604" s="3"/>
    </row>
    <row r="605" spans="1:55" s="4" customFormat="1" ht="12.95" customHeight="1">
      <c r="A605" s="22"/>
      <c r="B605" t="s">
        <v>315</v>
      </c>
      <c r="C605"/>
      <c r="D605"/>
      <c r="E605"/>
      <c r="F605"/>
      <c r="G605" s="1415"/>
      <c r="H605" s="1415"/>
      <c r="I605" s="1415"/>
      <c r="J605" s="1415"/>
      <c r="K605" s="1415"/>
      <c r="L605" s="1415"/>
      <c r="M605"/>
      <c r="N605"/>
      <c r="O605" s="33" t="s">
        <v>205</v>
      </c>
      <c r="P605" s="1460"/>
      <c r="Q605" s="1460"/>
      <c r="R605" s="1460"/>
      <c r="S605"/>
      <c r="T605" s="22"/>
      <c r="U605" t="s">
        <v>315</v>
      </c>
      <c r="V605"/>
      <c r="W605"/>
      <c r="X605"/>
      <c r="Y605"/>
      <c r="Z605" s="1415"/>
      <c r="AA605" s="1415"/>
      <c r="AB605" s="1415"/>
      <c r="AC605" s="1415"/>
      <c r="AD605" s="1415"/>
      <c r="AE605" s="1415"/>
      <c r="AF605"/>
      <c r="AG605"/>
      <c r="AH605" s="33" t="s">
        <v>205</v>
      </c>
      <c r="AI605" s="1460"/>
      <c r="AJ605" s="1460"/>
      <c r="AK605" s="146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5" t="s">
        <v>2740</v>
      </c>
      <c r="I606" s="1348"/>
      <c r="J606" s="1348"/>
      <c r="K606" s="1348"/>
      <c r="L606" s="1348"/>
      <c r="M606" s="1348"/>
      <c r="N606" s="1348"/>
      <c r="O606" s="1348"/>
      <c r="P606" s="1348"/>
      <c r="Q606" s="1348"/>
      <c r="R606" s="1348"/>
      <c r="S606"/>
      <c r="T606" s="22"/>
      <c r="U606" t="s">
        <v>18</v>
      </c>
      <c r="V606"/>
      <c r="W606"/>
      <c r="X606"/>
      <c r="Y606"/>
      <c r="Z606"/>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16">
        <f>C564</f>
        <v>0</v>
      </c>
      <c r="H609" s="1416"/>
      <c r="I609" s="1416"/>
      <c r="J609" s="1416"/>
      <c r="K609" s="1416"/>
      <c r="L609" s="1416"/>
      <c r="M609" s="1416"/>
      <c r="N609" s="1416"/>
      <c r="O609" s="1416"/>
      <c r="P609" s="1416"/>
      <c r="Q609" s="1416"/>
      <c r="R609" s="1416"/>
      <c r="T609" s="55" t="s">
        <v>362</v>
      </c>
      <c r="U609" t="s">
        <v>463</v>
      </c>
      <c r="Z609" s="1416">
        <f>C565</f>
        <v>0</v>
      </c>
      <c r="AA609" s="1416"/>
      <c r="AB609" s="1416"/>
      <c r="AC609" s="1416"/>
      <c r="AD609" s="1416"/>
      <c r="AE609" s="1416"/>
      <c r="AF609" s="1416"/>
      <c r="AG609" s="1416"/>
      <c r="AH609" s="1416"/>
      <c r="AI609" s="1416"/>
      <c r="AJ609" s="1416"/>
      <c r="AK609" s="1416"/>
      <c r="AZ609" s="3"/>
      <c r="BA609" s="3"/>
      <c r="BB609" s="3"/>
      <c r="BC609" s="3"/>
    </row>
    <row r="610" spans="1:55" ht="12.95" customHeight="1">
      <c r="B610" t="s">
        <v>85</v>
      </c>
      <c r="G610" s="1348"/>
      <c r="H610" s="1348"/>
      <c r="I610" s="1348"/>
      <c r="J610" s="1348"/>
      <c r="K610" s="1348"/>
      <c r="L610" s="1348"/>
      <c r="M610" s="1348"/>
      <c r="N610" s="1348"/>
      <c r="O610" s="1348"/>
      <c r="P610" s="1348"/>
      <c r="Q610" s="1348"/>
      <c r="R610" s="1348"/>
      <c r="U610" t="s">
        <v>85</v>
      </c>
      <c r="Z610" s="1348"/>
      <c r="AA610" s="1348"/>
      <c r="AB610" s="1348"/>
      <c r="AC610" s="1348"/>
      <c r="AD610" s="1348"/>
      <c r="AE610" s="1348"/>
      <c r="AF610" s="1348"/>
      <c r="AG610" s="1348"/>
      <c r="AH610" s="1348"/>
      <c r="AI610" s="1348"/>
      <c r="AJ610" s="1348"/>
      <c r="AK610" s="1348"/>
      <c r="AZ610" s="3"/>
      <c r="BA610" s="3"/>
      <c r="BB610" s="3"/>
      <c r="BC610" s="3"/>
    </row>
    <row r="611" spans="1:55" ht="12.95" customHeight="1">
      <c r="B611" t="s">
        <v>580</v>
      </c>
      <c r="G611" s="1348"/>
      <c r="H611" s="1348"/>
      <c r="I611" s="1348"/>
      <c r="J611" s="1348"/>
      <c r="K611" s="1348"/>
      <c r="L611" s="1348"/>
      <c r="M611" s="1348"/>
      <c r="N611" s="1348"/>
      <c r="O611" s="1348"/>
      <c r="P611" s="1348"/>
      <c r="Q611" s="1348"/>
      <c r="R611" s="1348"/>
      <c r="U611" t="s">
        <v>580</v>
      </c>
      <c r="Z611" s="1461"/>
      <c r="AA611" s="1461"/>
      <c r="AB611" s="1461"/>
      <c r="AC611" s="1461"/>
      <c r="AD611" s="1461"/>
      <c r="AE611" s="1461"/>
      <c r="AF611" s="1461"/>
      <c r="AG611" s="1461"/>
      <c r="AH611" s="1461"/>
      <c r="AI611" s="1461"/>
      <c r="AJ611" s="1461"/>
      <c r="AK611" s="1461"/>
      <c r="AZ611" s="3"/>
      <c r="BA611" s="3"/>
      <c r="BB611" s="3"/>
      <c r="BC611" s="3"/>
    </row>
    <row r="612" spans="1:55" ht="12.95" customHeight="1">
      <c r="B612" t="s">
        <v>17</v>
      </c>
      <c r="G612" s="1348"/>
      <c r="H612" s="1348"/>
      <c r="I612" s="1348"/>
      <c r="J612" s="1348"/>
      <c r="K612" s="1348"/>
      <c r="L612" s="1348"/>
      <c r="M612" s="1348"/>
      <c r="N612" s="1348"/>
      <c r="O612" s="1348"/>
      <c r="P612" s="1348"/>
      <c r="Q612" s="1348"/>
      <c r="R612" s="1348"/>
      <c r="U612" t="s">
        <v>17</v>
      </c>
      <c r="Z612" s="1461"/>
      <c r="AA612" s="1461"/>
      <c r="AB612" s="1461"/>
      <c r="AC612" s="1461"/>
      <c r="AD612" s="1461"/>
      <c r="AE612" s="1461"/>
      <c r="AF612" s="1461"/>
      <c r="AG612" s="1461"/>
      <c r="AH612" s="1461"/>
      <c r="AI612" s="1461"/>
      <c r="AJ612" s="1461"/>
      <c r="AK612" s="1461"/>
      <c r="AZ612" s="3"/>
      <c r="BA612" s="3"/>
      <c r="BB612" s="3"/>
      <c r="BC612" s="3"/>
    </row>
    <row r="613" spans="1:55" ht="12.95" customHeight="1">
      <c r="B613" t="s">
        <v>315</v>
      </c>
      <c r="G613" s="1415"/>
      <c r="H613" s="1415"/>
      <c r="I613" s="1415"/>
      <c r="J613" s="1415"/>
      <c r="K613" s="1415"/>
      <c r="L613" s="1415"/>
      <c r="O613" s="33" t="s">
        <v>205</v>
      </c>
      <c r="P613" s="1460"/>
      <c r="Q613" s="1460"/>
      <c r="R613" s="1460"/>
      <c r="U613" t="s">
        <v>315</v>
      </c>
      <c r="Z613" s="1415"/>
      <c r="AA613" s="1415"/>
      <c r="AB613" s="1415"/>
      <c r="AC613" s="1415"/>
      <c r="AD613" s="1415"/>
      <c r="AE613" s="1415"/>
      <c r="AH613" s="33" t="s">
        <v>205</v>
      </c>
      <c r="AI613" s="1460"/>
      <c r="AJ613" s="1460"/>
      <c r="AK613" s="1460"/>
      <c r="AZ613" s="3"/>
      <c r="BA613" s="3"/>
      <c r="BB613" s="3"/>
      <c r="BC613" s="3"/>
    </row>
    <row r="614" spans="1:55" ht="12.95" customHeight="1">
      <c r="B614" t="s">
        <v>18</v>
      </c>
      <c r="H614" s="1348"/>
      <c r="I614" s="1348"/>
      <c r="J614" s="1348"/>
      <c r="K614" s="1348"/>
      <c r="L614" s="1348"/>
      <c r="M614" s="1348"/>
      <c r="N614" s="1348"/>
      <c r="O614" s="1348"/>
      <c r="P614" s="1348"/>
      <c r="Q614" s="1348"/>
      <c r="R614" s="1348"/>
      <c r="U614" t="s">
        <v>18</v>
      </c>
      <c r="AA614" s="1348"/>
      <c r="AB614" s="1348"/>
      <c r="AC614" s="1348"/>
      <c r="AD614" s="1348"/>
      <c r="AE614" s="1348"/>
      <c r="AF614" s="1348"/>
      <c r="AG614" s="1348"/>
      <c r="AH614" s="1348"/>
      <c r="AI614" s="1348"/>
      <c r="AJ614" s="1348"/>
      <c r="AK614" s="1348"/>
      <c r="AU614" s="900"/>
      <c r="AV614" s="900"/>
      <c r="AW614" s="900"/>
      <c r="AX614" s="900"/>
      <c r="AY614" s="900"/>
      <c r="AZ614" s="3"/>
      <c r="BA614" s="3"/>
      <c r="BB614" s="3"/>
      <c r="BC614" s="3"/>
    </row>
    <row r="615" spans="1:55" ht="12.95" customHeight="1">
      <c r="B615" t="s">
        <v>20</v>
      </c>
      <c r="N615" s="1334" t="s">
        <v>669</v>
      </c>
      <c r="O615" s="1334"/>
      <c r="U615" t="s">
        <v>20</v>
      </c>
      <c r="AG615" s="1334" t="s">
        <v>669</v>
      </c>
      <c r="AH615" s="1334"/>
      <c r="AU615" s="900"/>
      <c r="AV615" s="900"/>
      <c r="AW615" s="900"/>
      <c r="AX615" s="900"/>
      <c r="AY615" s="900"/>
      <c r="AZ615" s="3"/>
      <c r="BA615" s="3"/>
      <c r="BB615" s="3"/>
      <c r="BC615" s="3"/>
    </row>
    <row r="616" spans="1:55" ht="12.95" customHeight="1">
      <c r="AZ616" s="3"/>
      <c r="BA616" s="3"/>
      <c r="BB616" s="3"/>
      <c r="BC616" s="3"/>
    </row>
    <row r="617" spans="1:55" ht="12.95"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2.95"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742" t="s">
        <v>2104</v>
      </c>
      <c r="C624" s="1742"/>
      <c r="D624" s="1742"/>
      <c r="E624" s="1742"/>
      <c r="F624" s="1742"/>
      <c r="G624" s="1742"/>
      <c r="H624" s="1742"/>
      <c r="I624" s="1742"/>
      <c r="J624" s="1742"/>
      <c r="K624" s="1742"/>
      <c r="L624" s="1742"/>
      <c r="M624" s="1421" t="s">
        <v>2105</v>
      </c>
      <c r="N624" s="1421"/>
      <c r="O624" s="1421"/>
      <c r="P624" s="1421"/>
      <c r="Q624" s="1421" t="s">
        <v>1853</v>
      </c>
      <c r="R624" s="1421"/>
      <c r="S624" s="1421"/>
      <c r="T624" s="1421" t="s">
        <v>1851</v>
      </c>
      <c r="U624" s="1421"/>
      <c r="V624" s="1421"/>
      <c r="W624" s="1743" t="s">
        <v>453</v>
      </c>
      <c r="X624" s="1743"/>
      <c r="Y624" s="1743"/>
      <c r="Z624" s="1454" t="s">
        <v>2134</v>
      </c>
      <c r="AA624" s="1454"/>
      <c r="AB624" s="1455"/>
      <c r="AC624" s="1669" t="s">
        <v>1676</v>
      </c>
      <c r="AD624" s="1670"/>
      <c r="AE624" s="1671"/>
      <c r="AF624" s="1682" t="s">
        <v>1931</v>
      </c>
      <c r="AG624" s="1454"/>
      <c r="AH624" s="1454"/>
      <c r="AI624" s="1454"/>
      <c r="AJ624" s="1455"/>
      <c r="AK624" s="1685" t="s">
        <v>1932</v>
      </c>
      <c r="AL624" s="1686"/>
      <c r="AM624" s="1686"/>
      <c r="AN624" s="1687"/>
      <c r="AO624" s="1421" t="s">
        <v>454</v>
      </c>
      <c r="AP624" s="1421"/>
      <c r="AQ624" s="1421"/>
      <c r="AR624" s="1421"/>
      <c r="AS624" s="1421"/>
      <c r="AU624" s="3"/>
      <c r="AZ624" s="3"/>
      <c r="BA624" s="3"/>
      <c r="BB624" s="3"/>
      <c r="BC624" s="3"/>
    </row>
    <row r="625" spans="2:157" ht="12.95" customHeight="1">
      <c r="B625" s="1742"/>
      <c r="C625" s="1742"/>
      <c r="D625" s="1742"/>
      <c r="E625" s="1742"/>
      <c r="F625" s="1742"/>
      <c r="G625" s="1742"/>
      <c r="H625" s="1742"/>
      <c r="I625" s="1742"/>
      <c r="J625" s="1742"/>
      <c r="K625" s="1742"/>
      <c r="L625" s="1742"/>
      <c r="M625" s="1421"/>
      <c r="N625" s="1421"/>
      <c r="O625" s="1421"/>
      <c r="P625" s="1421"/>
      <c r="Q625" s="1421"/>
      <c r="R625" s="1421"/>
      <c r="S625" s="1421"/>
      <c r="T625" s="1421"/>
      <c r="U625" s="1421"/>
      <c r="V625" s="1421"/>
      <c r="W625" s="1743"/>
      <c r="X625" s="1743"/>
      <c r="Y625" s="1743"/>
      <c r="Z625" s="1456"/>
      <c r="AA625" s="1456"/>
      <c r="AB625" s="1457"/>
      <c r="AC625" s="1672"/>
      <c r="AD625" s="1673"/>
      <c r="AE625" s="1674"/>
      <c r="AF625" s="1683"/>
      <c r="AG625" s="1456"/>
      <c r="AH625" s="1456"/>
      <c r="AI625" s="1456"/>
      <c r="AJ625" s="1457"/>
      <c r="AK625" s="1688"/>
      <c r="AL625" s="1689"/>
      <c r="AM625" s="1689"/>
      <c r="AN625" s="1690"/>
      <c r="AO625" s="1421"/>
      <c r="AP625" s="1421"/>
      <c r="AQ625" s="1421"/>
      <c r="AR625" s="1421"/>
      <c r="AS625" s="1421"/>
      <c r="AU625" s="3"/>
      <c r="AZ625" s="3"/>
      <c r="BA625" s="3"/>
      <c r="BB625" s="3"/>
      <c r="BC625" s="3"/>
      <c r="BD625" s="3"/>
    </row>
    <row r="626" spans="2:157" ht="12.95" customHeight="1">
      <c r="B626" s="1742"/>
      <c r="C626" s="1742"/>
      <c r="D626" s="1742"/>
      <c r="E626" s="1742"/>
      <c r="F626" s="1742"/>
      <c r="G626" s="1742"/>
      <c r="H626" s="1742"/>
      <c r="I626" s="1742"/>
      <c r="J626" s="1742"/>
      <c r="K626" s="1742"/>
      <c r="L626" s="1742"/>
      <c r="M626" s="1421"/>
      <c r="N626" s="1421"/>
      <c r="O626" s="1421"/>
      <c r="P626" s="1421"/>
      <c r="Q626" s="1421"/>
      <c r="R626" s="1421"/>
      <c r="S626" s="1421"/>
      <c r="T626" s="1421"/>
      <c r="U626" s="1421"/>
      <c r="V626" s="1421"/>
      <c r="W626" s="1743"/>
      <c r="X626" s="1743"/>
      <c r="Y626" s="1743"/>
      <c r="Z626" s="1458"/>
      <c r="AA626" s="1458"/>
      <c r="AB626" s="1459"/>
      <c r="AC626" s="1675"/>
      <c r="AD626" s="1676"/>
      <c r="AE626" s="1677"/>
      <c r="AF626" s="1684"/>
      <c r="AG626" s="1458"/>
      <c r="AH626" s="1458"/>
      <c r="AI626" s="1458"/>
      <c r="AJ626" s="1459"/>
      <c r="AK626" s="1691"/>
      <c r="AL626" s="1692"/>
      <c r="AM626" s="1692"/>
      <c r="AN626" s="1693"/>
      <c r="AO626" s="1421"/>
      <c r="AP626" s="1421"/>
      <c r="AQ626" s="1421"/>
      <c r="AR626" s="1421"/>
      <c r="AS626" s="1421"/>
      <c r="AT626" s="3"/>
      <c r="AU626" s="3"/>
      <c r="AZ626" s="3"/>
      <c r="BA626" s="3"/>
      <c r="BB626" s="3"/>
      <c r="BC626" s="3"/>
      <c r="BD626" s="3"/>
    </row>
    <row r="627" spans="2:157" ht="12.95" customHeight="1">
      <c r="B627" s="51" t="s">
        <v>112</v>
      </c>
      <c r="C627" s="1453" t="s">
        <v>2713</v>
      </c>
      <c r="D627" s="1453"/>
      <c r="E627" s="1453"/>
      <c r="F627" s="1453"/>
      <c r="G627" s="1453"/>
      <c r="H627" s="1453"/>
      <c r="I627" s="1453"/>
      <c r="J627" s="1453"/>
      <c r="K627" s="1453"/>
      <c r="L627" s="1453"/>
      <c r="M627" s="1429" t="s">
        <v>2121</v>
      </c>
      <c r="N627" s="1429"/>
      <c r="O627" s="1429"/>
      <c r="P627" s="1429"/>
      <c r="Q627" s="1412">
        <f>16*12</f>
        <v>192</v>
      </c>
      <c r="R627" s="1412"/>
      <c r="S627" s="1413"/>
      <c r="T627" s="1411">
        <f>35*12</f>
        <v>420</v>
      </c>
      <c r="U627" s="1412"/>
      <c r="V627" s="1413"/>
      <c r="W627" s="1426">
        <v>6.7019999999999996E-2</v>
      </c>
      <c r="X627" s="1427"/>
      <c r="Y627" s="1428"/>
      <c r="Z627" s="1594" t="s">
        <v>2133</v>
      </c>
      <c r="AA627" s="1595"/>
      <c r="AB627" s="1596"/>
      <c r="AC627" s="1430">
        <v>1</v>
      </c>
      <c r="AD627" s="1431"/>
      <c r="AE627" s="1432"/>
      <c r="AF627" s="1440">
        <f>-PMT(W627/12,T627,AO627,0)*12</f>
        <v>738145.62657607242</v>
      </c>
      <c r="AG627" s="1441"/>
      <c r="AH627" s="1441"/>
      <c r="AI627" s="1441"/>
      <c r="AJ627" s="1442"/>
      <c r="AK627" s="1448"/>
      <c r="AL627" s="1449"/>
      <c r="AM627" s="1449"/>
      <c r="AN627" s="1450"/>
      <c r="AO627" s="1425">
        <v>9952000</v>
      </c>
      <c r="AP627" s="1425"/>
      <c r="AQ627" s="1425"/>
      <c r="AR627" s="1425"/>
      <c r="AS627" s="1425"/>
      <c r="AT627" s="3"/>
      <c r="AU627" s="3"/>
      <c r="AZ627" s="3"/>
      <c r="BA627" s="3"/>
      <c r="BB627" s="3"/>
      <c r="BC627" s="3"/>
      <c r="BD627" s="3"/>
    </row>
    <row r="628" spans="2:157" ht="12.95" customHeight="1">
      <c r="B628" s="52" t="s">
        <v>113</v>
      </c>
      <c r="C628" s="1453" t="s">
        <v>2707</v>
      </c>
      <c r="D628" s="1453"/>
      <c r="E628" s="1453"/>
      <c r="F628" s="1453"/>
      <c r="G628" s="1453"/>
      <c r="H628" s="1453"/>
      <c r="I628" s="1453"/>
      <c r="J628" s="1453"/>
      <c r="K628" s="1453"/>
      <c r="L628" s="1453"/>
      <c r="M628" s="1429" t="s">
        <v>2117</v>
      </c>
      <c r="N628" s="1429"/>
      <c r="O628" s="1429"/>
      <c r="P628" s="1429"/>
      <c r="Q628" s="1411">
        <f>55*12</f>
        <v>660</v>
      </c>
      <c r="R628" s="1412"/>
      <c r="S628" s="1413"/>
      <c r="T628" s="1411">
        <f>55*12</f>
        <v>660</v>
      </c>
      <c r="U628" s="1412"/>
      <c r="V628" s="1413"/>
      <c r="W628" s="1426">
        <v>0.03</v>
      </c>
      <c r="X628" s="1427"/>
      <c r="Y628" s="1428"/>
      <c r="Z628" s="1594" t="s">
        <v>457</v>
      </c>
      <c r="AA628" s="1595"/>
      <c r="AB628" s="1596"/>
      <c r="AC628" s="1430">
        <v>2</v>
      </c>
      <c r="AD628" s="1431"/>
      <c r="AE628" s="1432"/>
      <c r="AF628" s="1440"/>
      <c r="AG628" s="1441"/>
      <c r="AH628" s="1441"/>
      <c r="AI628" s="1441"/>
      <c r="AJ628" s="1442"/>
      <c r="AK628" s="1448"/>
      <c r="AL628" s="1449"/>
      <c r="AM628" s="1449"/>
      <c r="AN628" s="1450"/>
      <c r="AO628" s="1437">
        <v>22250000</v>
      </c>
      <c r="AP628" s="1438"/>
      <c r="AQ628" s="1438"/>
      <c r="AR628" s="1438"/>
      <c r="AS628" s="1439"/>
      <c r="AT628" s="1150" t="str">
        <f>IF(AND(NOT(C627=""),C628="",NOT(C629="")),"!","")</f>
        <v/>
      </c>
      <c r="AU628" s="3"/>
      <c r="AZ628" s="3"/>
      <c r="BA628" s="3"/>
      <c r="BB628" s="3"/>
      <c r="BC628" s="3"/>
      <c r="BD628" s="3"/>
    </row>
    <row r="629" spans="2:157" ht="12.95" customHeight="1">
      <c r="B629" s="52" t="s">
        <v>119</v>
      </c>
      <c r="C629" s="1453" t="s">
        <v>2710</v>
      </c>
      <c r="D629" s="1453"/>
      <c r="E629" s="1453"/>
      <c r="F629" s="1453"/>
      <c r="G629" s="1453"/>
      <c r="H629" s="1453"/>
      <c r="I629" s="1453"/>
      <c r="J629" s="1453"/>
      <c r="K629" s="1453"/>
      <c r="L629" s="1453"/>
      <c r="M629" s="1429" t="s">
        <v>2106</v>
      </c>
      <c r="N629" s="1429"/>
      <c r="O629" s="1429"/>
      <c r="P629" s="1429"/>
      <c r="Q629" s="1411"/>
      <c r="R629" s="1412"/>
      <c r="S629" s="1413"/>
      <c r="T629" s="1411"/>
      <c r="U629" s="1412"/>
      <c r="V629" s="1413"/>
      <c r="W629" s="1426"/>
      <c r="X629" s="1427"/>
      <c r="Y629" s="1428"/>
      <c r="Z629" s="1594" t="s">
        <v>458</v>
      </c>
      <c r="AA629" s="1595"/>
      <c r="AB629" s="1596"/>
      <c r="AC629" s="1430"/>
      <c r="AD629" s="1431"/>
      <c r="AE629" s="1432"/>
      <c r="AF629" s="1440"/>
      <c r="AG629" s="1441"/>
      <c r="AH629" s="1441"/>
      <c r="AI629" s="1441"/>
      <c r="AJ629" s="1442"/>
      <c r="AK629" s="1448"/>
      <c r="AL629" s="1449"/>
      <c r="AM629" s="1449"/>
      <c r="AN629" s="1450"/>
      <c r="AO629" s="1437">
        <v>981591</v>
      </c>
      <c r="AP629" s="1438"/>
      <c r="AQ629" s="1438"/>
      <c r="AR629" s="1438"/>
      <c r="AS629" s="1439"/>
      <c r="AT629" s="1150" t="str">
        <f t="shared" ref="AT629:AT638" si="1">IF(AND(NOT(C628=""),C629="",NOT(C630="")),"!","")</f>
        <v/>
      </c>
      <c r="AU629" s="3"/>
      <c r="AZ629" s="3"/>
      <c r="BA629" s="3"/>
      <c r="BB629" s="3"/>
      <c r="BC629" s="3"/>
      <c r="BD629" s="3"/>
    </row>
    <row r="630" spans="2:157" ht="12.95" customHeight="1">
      <c r="B630" s="52" t="s">
        <v>581</v>
      </c>
      <c r="C630" s="1453" t="s">
        <v>2697</v>
      </c>
      <c r="D630" s="1420"/>
      <c r="E630" s="1420"/>
      <c r="F630" s="1420"/>
      <c r="G630" s="1420"/>
      <c r="H630" s="1420"/>
      <c r="I630" s="1420"/>
      <c r="J630" s="1420"/>
      <c r="K630" s="1420"/>
      <c r="L630" s="1420"/>
      <c r="M630" s="1429" t="s">
        <v>2117</v>
      </c>
      <c r="N630" s="1429"/>
      <c r="O630" s="1429"/>
      <c r="P630" s="1429"/>
      <c r="Q630" s="1411">
        <f>660</f>
        <v>660</v>
      </c>
      <c r="R630" s="1412"/>
      <c r="S630" s="1413"/>
      <c r="T630" s="1411">
        <v>660</v>
      </c>
      <c r="U630" s="1412"/>
      <c r="V630" s="1413"/>
      <c r="W630" s="1426">
        <v>0.03</v>
      </c>
      <c r="X630" s="1427"/>
      <c r="Y630" s="1428"/>
      <c r="Z630" s="1594" t="s">
        <v>457</v>
      </c>
      <c r="AA630" s="1595"/>
      <c r="AB630" s="1596"/>
      <c r="AC630" s="1430">
        <v>3</v>
      </c>
      <c r="AD630" s="1431"/>
      <c r="AE630" s="1432"/>
      <c r="AF630" s="1440"/>
      <c r="AG630" s="1441"/>
      <c r="AH630" s="1441"/>
      <c r="AI630" s="1441"/>
      <c r="AJ630" s="1442"/>
      <c r="AK630" s="1448"/>
      <c r="AL630" s="1449"/>
      <c r="AM630" s="1449"/>
      <c r="AN630" s="1450"/>
      <c r="AO630" s="1437">
        <v>600000</v>
      </c>
      <c r="AP630" s="1438"/>
      <c r="AQ630" s="1438"/>
      <c r="AR630" s="1438"/>
      <c r="AS630" s="1439"/>
      <c r="AT630" s="1150" t="str">
        <f t="shared" si="1"/>
        <v/>
      </c>
      <c r="AU630" s="3"/>
      <c r="AZ630" s="3"/>
      <c r="BA630" s="3"/>
      <c r="BB630" s="3"/>
      <c r="BC630" s="3"/>
      <c r="BD630" s="3"/>
    </row>
    <row r="631" spans="2:157" ht="12.95" customHeight="1">
      <c r="B631" s="52" t="s">
        <v>763</v>
      </c>
      <c r="C631" s="1453" t="s">
        <v>2714</v>
      </c>
      <c r="D631" s="1420"/>
      <c r="E631" s="1420"/>
      <c r="F631" s="1420"/>
      <c r="G631" s="1420"/>
      <c r="H631" s="1420"/>
      <c r="I631" s="1420"/>
      <c r="J631" s="1420"/>
      <c r="K631" s="1420"/>
      <c r="L631" s="1420"/>
      <c r="M631" s="1429" t="s">
        <v>2106</v>
      </c>
      <c r="N631" s="1429"/>
      <c r="O631" s="1429"/>
      <c r="P631" s="1429"/>
      <c r="Q631" s="1411"/>
      <c r="R631" s="1412"/>
      <c r="S631" s="1413"/>
      <c r="T631" s="1411"/>
      <c r="U631" s="1412"/>
      <c r="V631" s="1413"/>
      <c r="W631" s="1426"/>
      <c r="X631" s="1427"/>
      <c r="Y631" s="1428"/>
      <c r="Z631" s="1594" t="s">
        <v>458</v>
      </c>
      <c r="AA631" s="1595"/>
      <c r="AB631" s="1596"/>
      <c r="AC631" s="1430"/>
      <c r="AD631" s="1431"/>
      <c r="AE631" s="1432"/>
      <c r="AF631" s="1440"/>
      <c r="AG631" s="1441"/>
      <c r="AH631" s="1441"/>
      <c r="AI631" s="1441"/>
      <c r="AJ631" s="1442"/>
      <c r="AK631" s="1448"/>
      <c r="AL631" s="1449"/>
      <c r="AM631" s="1449"/>
      <c r="AN631" s="1450"/>
      <c r="AO631" s="1437">
        <v>26470</v>
      </c>
      <c r="AP631" s="1438"/>
      <c r="AQ631" s="1438"/>
      <c r="AR631" s="1438"/>
      <c r="AS631" s="1439"/>
      <c r="AT631" s="1150" t="str">
        <f t="shared" si="1"/>
        <v/>
      </c>
      <c r="AU631" s="3"/>
      <c r="AZ631" s="3"/>
      <c r="BA631" s="3"/>
      <c r="BB631" s="3"/>
      <c r="BC631" s="3"/>
      <c r="BD631" s="3"/>
    </row>
    <row r="632" spans="2:157" ht="12.95" customHeight="1">
      <c r="B632" s="52" t="s">
        <v>584</v>
      </c>
      <c r="C632" s="1453" t="s">
        <v>2324</v>
      </c>
      <c r="D632" s="1420"/>
      <c r="E632" s="1420"/>
      <c r="F632" s="1420"/>
      <c r="G632" s="1420"/>
      <c r="H632" s="1420"/>
      <c r="I632" s="1420"/>
      <c r="J632" s="1420"/>
      <c r="K632" s="1420"/>
      <c r="L632" s="1420"/>
      <c r="M632" s="1429" t="s">
        <v>2108</v>
      </c>
      <c r="N632" s="1429"/>
      <c r="O632" s="1429"/>
      <c r="P632" s="1429"/>
      <c r="Q632" s="1411"/>
      <c r="R632" s="1412"/>
      <c r="S632" s="1413"/>
      <c r="T632" s="1411"/>
      <c r="U632" s="1412"/>
      <c r="V632" s="1413"/>
      <c r="W632" s="1426"/>
      <c r="X632" s="1427"/>
      <c r="Y632" s="1428"/>
      <c r="Z632" s="1594" t="s">
        <v>458</v>
      </c>
      <c r="AA632" s="1595"/>
      <c r="AB632" s="1596"/>
      <c r="AC632" s="1430"/>
      <c r="AD632" s="1431"/>
      <c r="AE632" s="1432"/>
      <c r="AF632" s="1440"/>
      <c r="AG632" s="1441"/>
      <c r="AH632" s="1441"/>
      <c r="AI632" s="1441"/>
      <c r="AJ632" s="1442"/>
      <c r="AK632" s="1448"/>
      <c r="AL632" s="1449"/>
      <c r="AM632" s="1449"/>
      <c r="AN632" s="1450"/>
      <c r="AO632" s="1437">
        <v>3100000</v>
      </c>
      <c r="AP632" s="1438"/>
      <c r="AQ632" s="1438"/>
      <c r="AR632" s="1438"/>
      <c r="AS632" s="1439"/>
      <c r="AT632" s="1150" t="str">
        <f t="shared" si="1"/>
        <v/>
      </c>
      <c r="AU632" s="3"/>
      <c r="AZ632" s="3"/>
      <c r="BA632" s="3"/>
      <c r="BB632" s="3"/>
      <c r="BC632" s="3"/>
      <c r="BD632" s="3"/>
    </row>
    <row r="633" spans="2:157" ht="12.95" customHeight="1">
      <c r="B633" s="52" t="s">
        <v>455</v>
      </c>
      <c r="C633" s="1453"/>
      <c r="D633" s="1420"/>
      <c r="E633" s="1420"/>
      <c r="F633" s="1420"/>
      <c r="G633" s="1420"/>
      <c r="H633" s="1420"/>
      <c r="I633" s="1420"/>
      <c r="J633" s="1420"/>
      <c r="K633" s="1420"/>
      <c r="L633" s="1420"/>
      <c r="M633" s="1429"/>
      <c r="N633" s="1429"/>
      <c r="O633" s="1429"/>
      <c r="P633" s="1429"/>
      <c r="Q633" s="1411"/>
      <c r="R633" s="1412"/>
      <c r="S633" s="1413"/>
      <c r="T633" s="1411"/>
      <c r="U633" s="1412"/>
      <c r="V633" s="1413"/>
      <c r="W633" s="1426"/>
      <c r="X633" s="1427"/>
      <c r="Y633" s="1428"/>
      <c r="Z633" s="1594"/>
      <c r="AA633" s="1595"/>
      <c r="AB633" s="1596"/>
      <c r="AC633" s="1430"/>
      <c r="AD633" s="1431"/>
      <c r="AE633" s="1432"/>
      <c r="AF633" s="1440"/>
      <c r="AG633" s="1441"/>
      <c r="AH633" s="1441"/>
      <c r="AI633" s="1441"/>
      <c r="AJ633" s="1442"/>
      <c r="AK633" s="1448"/>
      <c r="AL633" s="1449"/>
      <c r="AM633" s="1449"/>
      <c r="AN633" s="1450"/>
      <c r="AO633" s="1437"/>
      <c r="AP633" s="1438"/>
      <c r="AQ633" s="1438"/>
      <c r="AR633" s="1438"/>
      <c r="AS633" s="1439"/>
      <c r="AT633" s="1150" t="str">
        <f t="shared" si="1"/>
        <v/>
      </c>
      <c r="AU633" s="3"/>
      <c r="AV633" s="3"/>
      <c r="AW633" s="3"/>
      <c r="AX633" s="3"/>
      <c r="AY633" s="3"/>
      <c r="AZ633" s="3"/>
      <c r="BA633" s="3"/>
      <c r="BB633" s="3"/>
      <c r="BC633" s="3"/>
      <c r="BD633" s="3"/>
    </row>
    <row r="634" spans="2:157" ht="12.95" customHeight="1">
      <c r="B634" s="52" t="s">
        <v>456</v>
      </c>
      <c r="C634" s="1420"/>
      <c r="D634" s="1420"/>
      <c r="E634" s="1420"/>
      <c r="F634" s="1420"/>
      <c r="G634" s="1420"/>
      <c r="H634" s="1420"/>
      <c r="I634" s="1420"/>
      <c r="J634" s="1420"/>
      <c r="K634" s="1420"/>
      <c r="L634" s="1420"/>
      <c r="M634" s="1429"/>
      <c r="N634" s="1429"/>
      <c r="O634" s="1429"/>
      <c r="P634" s="1429"/>
      <c r="Q634" s="1411"/>
      <c r="R634" s="1412"/>
      <c r="S634" s="1413"/>
      <c r="T634" s="1411"/>
      <c r="U634" s="1412"/>
      <c r="V634" s="1413"/>
      <c r="W634" s="1426"/>
      <c r="X634" s="1427"/>
      <c r="Y634" s="1428"/>
      <c r="Z634" s="1594"/>
      <c r="AA634" s="1595"/>
      <c r="AB634" s="1596"/>
      <c r="AC634" s="1430"/>
      <c r="AD634" s="1431"/>
      <c r="AE634" s="1432"/>
      <c r="AF634" s="1440"/>
      <c r="AG634" s="1441"/>
      <c r="AH634" s="1441"/>
      <c r="AI634" s="1441"/>
      <c r="AJ634" s="1442"/>
      <c r="AK634" s="1448"/>
      <c r="AL634" s="1449"/>
      <c r="AM634" s="1449"/>
      <c r="AN634" s="1450"/>
      <c r="AO634" s="1437"/>
      <c r="AP634" s="1438"/>
      <c r="AQ634" s="1438"/>
      <c r="AR634" s="1438"/>
      <c r="AS634" s="1439"/>
      <c r="AT634" s="1150" t="str">
        <f t="shared" si="1"/>
        <v/>
      </c>
      <c r="AU634" s="3"/>
      <c r="AV634" s="3"/>
      <c r="AW634" s="3"/>
      <c r="AX634" s="3"/>
      <c r="AY634" s="3"/>
      <c r="AZ634" s="3"/>
      <c r="BA634" s="3" t="s">
        <v>1184</v>
      </c>
      <c r="BB634" s="3"/>
      <c r="BC634" s="3"/>
      <c r="BD634" s="3"/>
    </row>
    <row r="635" spans="2:157" ht="12.95" customHeight="1">
      <c r="B635" s="52" t="s">
        <v>461</v>
      </c>
      <c r="C635" s="1420"/>
      <c r="D635" s="1420"/>
      <c r="E635" s="1420"/>
      <c r="F635" s="1420"/>
      <c r="G635" s="1420"/>
      <c r="H635" s="1420"/>
      <c r="I635" s="1420"/>
      <c r="J635" s="1420"/>
      <c r="K635" s="1420"/>
      <c r="L635" s="1420"/>
      <c r="M635" s="1429"/>
      <c r="N635" s="1429"/>
      <c r="O635" s="1429"/>
      <c r="P635" s="1429"/>
      <c r="Q635" s="1411"/>
      <c r="R635" s="1412"/>
      <c r="S635" s="1413"/>
      <c r="T635" s="1411"/>
      <c r="U635" s="1412"/>
      <c r="V635" s="1413"/>
      <c r="W635" s="1426"/>
      <c r="X635" s="1427"/>
      <c r="Y635" s="1428"/>
      <c r="Z635" s="1594"/>
      <c r="AA635" s="1595"/>
      <c r="AB635" s="1596"/>
      <c r="AC635" s="1430"/>
      <c r="AD635" s="1431"/>
      <c r="AE635" s="1432"/>
      <c r="AF635" s="1440"/>
      <c r="AG635" s="1441"/>
      <c r="AH635" s="1441"/>
      <c r="AI635" s="1441"/>
      <c r="AJ635" s="1442"/>
      <c r="AK635" s="1448"/>
      <c r="AL635" s="1449"/>
      <c r="AM635" s="1449"/>
      <c r="AN635" s="1450"/>
      <c r="AO635" s="1437"/>
      <c r="AP635" s="1438"/>
      <c r="AQ635" s="1438"/>
      <c r="AR635" s="1438"/>
      <c r="AS635" s="1439"/>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2">
        <f t="shared" ref="DX635:DX669" si="2">EZ718*(CP718/$CP$753)</f>
        <v>612</v>
      </c>
      <c r="DY635" s="1462"/>
      <c r="DZ635" s="1462"/>
      <c r="EA635" s="1462"/>
      <c r="EB635" s="1462"/>
      <c r="EC635" s="1462" t="e">
        <f t="shared" ref="EC635:EC669" si="3">FE718*(CU718/$CU$753)</f>
        <v>#VALUE!</v>
      </c>
      <c r="ED635" s="1462"/>
      <c r="EE635" s="1462"/>
      <c r="EF635" s="1462"/>
      <c r="EG635" s="1462"/>
      <c r="EH635" s="1462" t="e">
        <f t="shared" ref="EH635:EH669" si="4">FJ718*(CZ718/$CZ$753)</f>
        <v>#VALUE!</v>
      </c>
      <c r="EI635" s="1462"/>
      <c r="EJ635" s="1462"/>
      <c r="EK635" s="1462"/>
      <c r="EL635" s="1462"/>
      <c r="EM635" s="1462" t="e">
        <f t="shared" ref="EM635:EM669" si="5">FO718*(DE718/$DE$753)</f>
        <v>#VALUE!</v>
      </c>
      <c r="EN635" s="1462"/>
      <c r="EO635" s="1462"/>
      <c r="EP635" s="1462"/>
      <c r="EQ635" s="1462"/>
      <c r="ER635" s="1462" t="e">
        <f t="shared" ref="ER635:ER669" si="6">FT718*(DJ718/$DJ$753)</f>
        <v>#VALUE!</v>
      </c>
      <c r="ES635" s="1462"/>
      <c r="ET635" s="1462"/>
      <c r="EU635" s="1462"/>
      <c r="EV635" s="1462"/>
      <c r="EW635" s="1462" t="e">
        <f t="shared" ref="EW635:EW669" si="7">FY718*(DO718/$DO$753)</f>
        <v>#VALUE!</v>
      </c>
      <c r="EX635" s="1462"/>
      <c r="EY635" s="1462"/>
      <c r="EZ635" s="1462"/>
      <c r="FA635" s="1462"/>
    </row>
    <row r="636" spans="2:157" ht="12.95" customHeight="1">
      <c r="B636" s="52" t="s">
        <v>646</v>
      </c>
      <c r="C636" s="1420"/>
      <c r="D636" s="1420"/>
      <c r="E636" s="1420"/>
      <c r="F636" s="1420"/>
      <c r="G636" s="1420"/>
      <c r="H636" s="1420"/>
      <c r="I636" s="1420"/>
      <c r="J636" s="1420"/>
      <c r="K636" s="1420"/>
      <c r="L636" s="1420"/>
      <c r="M636" s="1429"/>
      <c r="N636" s="1429"/>
      <c r="O636" s="1429"/>
      <c r="P636" s="1429"/>
      <c r="Q636" s="1411"/>
      <c r="R636" s="1412"/>
      <c r="S636" s="1413"/>
      <c r="T636" s="1411"/>
      <c r="U636" s="1412"/>
      <c r="V636" s="1413"/>
      <c r="W636" s="1426"/>
      <c r="X636" s="1427"/>
      <c r="Y636" s="1428"/>
      <c r="Z636" s="1594"/>
      <c r="AA636" s="1595"/>
      <c r="AB636" s="1596"/>
      <c r="AC636" s="1430"/>
      <c r="AD636" s="1431"/>
      <c r="AE636" s="1432"/>
      <c r="AF636" s="1440"/>
      <c r="AG636" s="1441"/>
      <c r="AH636" s="1441"/>
      <c r="AI636" s="1441"/>
      <c r="AJ636" s="1442"/>
      <c r="AK636" s="1448"/>
      <c r="AL636" s="1449"/>
      <c r="AM636" s="1449"/>
      <c r="AN636" s="1450"/>
      <c r="AO636" s="1437"/>
      <c r="AP636" s="1438"/>
      <c r="AQ636" s="1438"/>
      <c r="AR636" s="1438"/>
      <c r="AS636" s="1439"/>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2">
        <f t="shared" si="2"/>
        <v>61.199999999999996</v>
      </c>
      <c r="DY636" s="1462"/>
      <c r="DZ636" s="1462"/>
      <c r="EA636" s="1462"/>
      <c r="EB636" s="1462"/>
      <c r="EC636" s="1462" t="e">
        <f t="shared" si="3"/>
        <v>#VALUE!</v>
      </c>
      <c r="ED636" s="1462"/>
      <c r="EE636" s="1462"/>
      <c r="EF636" s="1462"/>
      <c r="EG636" s="1462"/>
      <c r="EH636" s="1462" t="e">
        <f t="shared" si="4"/>
        <v>#VALUE!</v>
      </c>
      <c r="EI636" s="1462"/>
      <c r="EJ636" s="1462"/>
      <c r="EK636" s="1462"/>
      <c r="EL636" s="1462"/>
      <c r="EM636" s="1462" t="e">
        <f t="shared" si="5"/>
        <v>#VALUE!</v>
      </c>
      <c r="EN636" s="1462"/>
      <c r="EO636" s="1462"/>
      <c r="EP636" s="1462"/>
      <c r="EQ636" s="1462"/>
      <c r="ER636" s="1462" t="e">
        <f t="shared" si="6"/>
        <v>#VALUE!</v>
      </c>
      <c r="ES636" s="1462"/>
      <c r="ET636" s="1462"/>
      <c r="EU636" s="1462"/>
      <c r="EV636" s="1462"/>
      <c r="EW636" s="1462" t="e">
        <f t="shared" si="7"/>
        <v>#VALUE!</v>
      </c>
      <c r="EX636" s="1462"/>
      <c r="EY636" s="1462"/>
      <c r="EZ636" s="1462"/>
      <c r="FA636" s="1462"/>
    </row>
    <row r="637" spans="2:157" ht="12.95" customHeight="1">
      <c r="B637" s="52" t="s">
        <v>361</v>
      </c>
      <c r="C637" s="1420"/>
      <c r="D637" s="1420"/>
      <c r="E637" s="1420"/>
      <c r="F637" s="1420"/>
      <c r="G637" s="1420"/>
      <c r="H637" s="1420"/>
      <c r="I637" s="1420"/>
      <c r="J637" s="1420"/>
      <c r="K637" s="1420"/>
      <c r="L637" s="1420"/>
      <c r="M637" s="1429"/>
      <c r="N637" s="1429"/>
      <c r="O637" s="1429"/>
      <c r="P637" s="1429"/>
      <c r="Q637" s="1411"/>
      <c r="R637" s="1412"/>
      <c r="S637" s="1413"/>
      <c r="T637" s="1411"/>
      <c r="U637" s="1412"/>
      <c r="V637" s="1413"/>
      <c r="W637" s="1426"/>
      <c r="X637" s="1427"/>
      <c r="Y637" s="1428"/>
      <c r="Z637" s="1594"/>
      <c r="AA637" s="1595"/>
      <c r="AB637" s="1596"/>
      <c r="AC637" s="1430"/>
      <c r="AD637" s="1431"/>
      <c r="AE637" s="1432"/>
      <c r="AF637" s="1440"/>
      <c r="AG637" s="1441"/>
      <c r="AH637" s="1441"/>
      <c r="AI637" s="1441"/>
      <c r="AJ637" s="1442"/>
      <c r="AK637" s="1448"/>
      <c r="AL637" s="1449"/>
      <c r="AM637" s="1449"/>
      <c r="AN637" s="1450"/>
      <c r="AO637" s="1437"/>
      <c r="AP637" s="1438"/>
      <c r="AQ637" s="1438"/>
      <c r="AR637" s="1438"/>
      <c r="AS637" s="1439"/>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62">
        <f t="shared" si="2"/>
        <v>416.8</v>
      </c>
      <c r="DY637" s="1462"/>
      <c r="DZ637" s="1462"/>
      <c r="EA637" s="1462"/>
      <c r="EB637" s="1462"/>
      <c r="EC637" s="1462" t="e">
        <f t="shared" si="3"/>
        <v>#VALUE!</v>
      </c>
      <c r="ED637" s="1462"/>
      <c r="EE637" s="1462"/>
      <c r="EF637" s="1462"/>
      <c r="EG637" s="1462"/>
      <c r="EH637" s="1462" t="e">
        <f t="shared" si="4"/>
        <v>#VALUE!</v>
      </c>
      <c r="EI637" s="1462"/>
      <c r="EJ637" s="1462"/>
      <c r="EK637" s="1462"/>
      <c r="EL637" s="1462"/>
      <c r="EM637" s="1462" t="e">
        <f t="shared" si="5"/>
        <v>#VALUE!</v>
      </c>
      <c r="EN637" s="1462"/>
      <c r="EO637" s="1462"/>
      <c r="EP637" s="1462"/>
      <c r="EQ637" s="1462"/>
      <c r="ER637" s="1462" t="e">
        <f t="shared" si="6"/>
        <v>#VALUE!</v>
      </c>
      <c r="ES637" s="1462"/>
      <c r="ET637" s="1462"/>
      <c r="EU637" s="1462"/>
      <c r="EV637" s="1462"/>
      <c r="EW637" s="1462" t="e">
        <f t="shared" si="7"/>
        <v>#VALUE!</v>
      </c>
      <c r="EX637" s="1462"/>
      <c r="EY637" s="1462"/>
      <c r="EZ637" s="1462"/>
      <c r="FA637" s="1462"/>
    </row>
    <row r="638" spans="2:157" ht="12.95" customHeight="1">
      <c r="B638" s="52" t="s">
        <v>362</v>
      </c>
      <c r="C638" s="1420"/>
      <c r="D638" s="1420"/>
      <c r="E638" s="1420"/>
      <c r="F638" s="1420"/>
      <c r="G638" s="1420"/>
      <c r="H638" s="1420"/>
      <c r="I638" s="1420"/>
      <c r="J638" s="1420"/>
      <c r="K638" s="1420"/>
      <c r="L638" s="1420"/>
      <c r="M638" s="1429"/>
      <c r="N638" s="1429"/>
      <c r="O638" s="1429"/>
      <c r="P638" s="1429"/>
      <c r="Q638" s="1411"/>
      <c r="R638" s="1412"/>
      <c r="S638" s="1413"/>
      <c r="T638" s="1411"/>
      <c r="U638" s="1412"/>
      <c r="V638" s="1413"/>
      <c r="W638" s="1426"/>
      <c r="X638" s="1427"/>
      <c r="Y638" s="1428"/>
      <c r="Z638" s="1594"/>
      <c r="AA638" s="1595"/>
      <c r="AB638" s="1596"/>
      <c r="AC638" s="1430"/>
      <c r="AD638" s="1431"/>
      <c r="AE638" s="1432"/>
      <c r="AF638" s="1440"/>
      <c r="AG638" s="1441"/>
      <c r="AH638" s="1441"/>
      <c r="AI638" s="1441"/>
      <c r="AJ638" s="1442"/>
      <c r="AK638" s="1448"/>
      <c r="AL638" s="1449"/>
      <c r="AM638" s="1449"/>
      <c r="AN638" s="1450"/>
      <c r="AO638" s="1437"/>
      <c r="AP638" s="1438"/>
      <c r="AQ638" s="1438"/>
      <c r="AR638" s="1438"/>
      <c r="AS638" s="1439"/>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62" t="e">
        <f t="shared" si="2"/>
        <v>#VALUE!</v>
      </c>
      <c r="DY638" s="1462"/>
      <c r="DZ638" s="1462"/>
      <c r="EA638" s="1462"/>
      <c r="EB638" s="1462"/>
      <c r="EC638" s="1462">
        <f t="shared" si="3"/>
        <v>61.125</v>
      </c>
      <c r="ED638" s="1462"/>
      <c r="EE638" s="1462"/>
      <c r="EF638" s="1462"/>
      <c r="EG638" s="1462"/>
      <c r="EH638" s="1462" t="e">
        <f t="shared" si="4"/>
        <v>#VALUE!</v>
      </c>
      <c r="EI638" s="1462"/>
      <c r="EJ638" s="1462"/>
      <c r="EK638" s="1462"/>
      <c r="EL638" s="1462"/>
      <c r="EM638" s="1462" t="e">
        <f t="shared" si="5"/>
        <v>#VALUE!</v>
      </c>
      <c r="EN638" s="1462"/>
      <c r="EO638" s="1462"/>
      <c r="EP638" s="1462"/>
      <c r="EQ638" s="1462"/>
      <c r="ER638" s="1462" t="e">
        <f t="shared" si="6"/>
        <v>#VALUE!</v>
      </c>
      <c r="ES638" s="1462"/>
      <c r="ET638" s="1462"/>
      <c r="EU638" s="1462"/>
      <c r="EV638" s="1462"/>
      <c r="EW638" s="1462" t="e">
        <f t="shared" si="7"/>
        <v>#VALUE!</v>
      </c>
      <c r="EX638" s="1462"/>
      <c r="EY638" s="1462"/>
      <c r="EZ638" s="1462"/>
      <c r="FA638" s="1462"/>
    </row>
    <row r="639" spans="2:157" ht="12.95" customHeight="1">
      <c r="B639" s="1652" t="s">
        <v>128</v>
      </c>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53"/>
      <c r="AJ639" s="1653"/>
      <c r="AK639" s="1653"/>
      <c r="AL639" s="1653"/>
      <c r="AM639" s="1653"/>
      <c r="AN639" s="1654"/>
      <c r="AO639" s="1601">
        <f>SUM(AO627:AR638)</f>
        <v>36910061</v>
      </c>
      <c r="AP639" s="1602"/>
      <c r="AQ639" s="1602"/>
      <c r="AR639" s="1602"/>
      <c r="AS639" s="160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2" t="e">
        <f t="shared" si="2"/>
        <v>#VALUE!</v>
      </c>
      <c r="DY639" s="1462"/>
      <c r="DZ639" s="1462"/>
      <c r="EA639" s="1462"/>
      <c r="EB639" s="1462"/>
      <c r="EC639" s="1462">
        <f t="shared" si="3"/>
        <v>730.1875</v>
      </c>
      <c r="ED639" s="1462"/>
      <c r="EE639" s="1462"/>
      <c r="EF639" s="1462"/>
      <c r="EG639" s="1462"/>
      <c r="EH639" s="1462" t="e">
        <f t="shared" si="4"/>
        <v>#VALUE!</v>
      </c>
      <c r="EI639" s="1462"/>
      <c r="EJ639" s="1462"/>
      <c r="EK639" s="1462"/>
      <c r="EL639" s="1462"/>
      <c r="EM639" s="1462" t="e">
        <f t="shared" si="5"/>
        <v>#VALUE!</v>
      </c>
      <c r="EN639" s="1462"/>
      <c r="EO639" s="1462"/>
      <c r="EP639" s="1462"/>
      <c r="EQ639" s="1462"/>
      <c r="ER639" s="1462" t="e">
        <f t="shared" si="6"/>
        <v>#VALUE!</v>
      </c>
      <c r="ES639" s="1462"/>
      <c r="ET639" s="1462"/>
      <c r="EU639" s="1462"/>
      <c r="EV639" s="1462"/>
      <c r="EW639" s="1462" t="e">
        <f t="shared" si="7"/>
        <v>#VALUE!</v>
      </c>
      <c r="EX639" s="1462"/>
      <c r="EY639" s="1462"/>
      <c r="EZ639" s="1462"/>
      <c r="FA639" s="1462"/>
    </row>
    <row r="640" spans="2:157" ht="12.95" customHeight="1">
      <c r="B640" s="1652" t="s">
        <v>266</v>
      </c>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53"/>
      <c r="AJ640" s="1653"/>
      <c r="AK640" s="1653"/>
      <c r="AL640" s="1653"/>
      <c r="AM640" s="1653"/>
      <c r="AN640" s="1654"/>
      <c r="AO640" s="1437">
        <f>28739197-201000+1</f>
        <v>28538198</v>
      </c>
      <c r="AP640" s="1438"/>
      <c r="AQ640" s="1438"/>
      <c r="AR640" s="1438"/>
      <c r="AS640" s="14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2" t="e">
        <f t="shared" si="2"/>
        <v>#VALUE!</v>
      </c>
      <c r="DY640" s="1462"/>
      <c r="DZ640" s="1462"/>
      <c r="EA640" s="1462"/>
      <c r="EB640" s="1462"/>
      <c r="EC640" s="1462">
        <f t="shared" si="3"/>
        <v>834.5</v>
      </c>
      <c r="ED640" s="1462"/>
      <c r="EE640" s="1462"/>
      <c r="EF640" s="1462"/>
      <c r="EG640" s="1462"/>
      <c r="EH640" s="1462" t="e">
        <f t="shared" si="4"/>
        <v>#VALUE!</v>
      </c>
      <c r="EI640" s="1462"/>
      <c r="EJ640" s="1462"/>
      <c r="EK640" s="1462"/>
      <c r="EL640" s="1462"/>
      <c r="EM640" s="1462" t="e">
        <f t="shared" si="5"/>
        <v>#VALUE!</v>
      </c>
      <c r="EN640" s="1462"/>
      <c r="EO640" s="1462"/>
      <c r="EP640" s="1462"/>
      <c r="EQ640" s="1462"/>
      <c r="ER640" s="1462" t="e">
        <f t="shared" si="6"/>
        <v>#VALUE!</v>
      </c>
      <c r="ES640" s="1462"/>
      <c r="ET640" s="1462"/>
      <c r="EU640" s="1462"/>
      <c r="EV640" s="1462"/>
      <c r="EW640" s="1462" t="e">
        <f t="shared" si="7"/>
        <v>#VALUE!</v>
      </c>
      <c r="EX640" s="1462"/>
      <c r="EY640" s="1462"/>
      <c r="EZ640" s="1462"/>
      <c r="FA640" s="1462"/>
    </row>
    <row r="641" spans="1:157" ht="12.95" customHeight="1">
      <c r="B641" s="1679" t="s">
        <v>267</v>
      </c>
      <c r="C641" s="1680"/>
      <c r="D641" s="1680"/>
      <c r="E641" s="1680"/>
      <c r="F641" s="1680"/>
      <c r="G641" s="1680"/>
      <c r="H641" s="1680"/>
      <c r="I641" s="1680"/>
      <c r="J641" s="1680"/>
      <c r="K641" s="1680"/>
      <c r="L641" s="1680"/>
      <c r="M641" s="1680"/>
      <c r="N641" s="1680"/>
      <c r="O641" s="1680"/>
      <c r="P641" s="1680"/>
      <c r="Q641" s="1680"/>
      <c r="R641" s="1680"/>
      <c r="S641" s="1680"/>
      <c r="T641" s="1680"/>
      <c r="U641" s="1680"/>
      <c r="V641" s="1680"/>
      <c r="W641" s="1680"/>
      <c r="X641" s="1680"/>
      <c r="Y641" s="1680"/>
      <c r="Z641" s="1680"/>
      <c r="AA641" s="1680"/>
      <c r="AB641" s="1680"/>
      <c r="AC641" s="1680"/>
      <c r="AD641" s="1680"/>
      <c r="AE641" s="1680"/>
      <c r="AF641" s="1680"/>
      <c r="AG641" s="1680"/>
      <c r="AH641" s="1680"/>
      <c r="AI641" s="1680"/>
      <c r="AJ641" s="1680"/>
      <c r="AK641" s="1680"/>
      <c r="AL641" s="1680"/>
      <c r="AM641" s="1680"/>
      <c r="AN641" s="1681"/>
      <c r="AO641" s="1601">
        <f>AO639+AO640</f>
        <v>65448259</v>
      </c>
      <c r="AP641" s="1602"/>
      <c r="AQ641" s="1602"/>
      <c r="AR641" s="1602"/>
      <c r="AS641" s="160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2" t="e">
        <f t="shared" si="2"/>
        <v>#VALUE!</v>
      </c>
      <c r="DY641" s="1462"/>
      <c r="DZ641" s="1462"/>
      <c r="EA641" s="1462"/>
      <c r="EB641" s="1462"/>
      <c r="EC641" s="1462" t="e">
        <f t="shared" si="3"/>
        <v>#VALUE!</v>
      </c>
      <c r="ED641" s="1462"/>
      <c r="EE641" s="1462"/>
      <c r="EF641" s="1462"/>
      <c r="EG641" s="1462"/>
      <c r="EH641" s="1462">
        <f t="shared" si="4"/>
        <v>547.76470588235293</v>
      </c>
      <c r="EI641" s="1462"/>
      <c r="EJ641" s="1462"/>
      <c r="EK641" s="1462"/>
      <c r="EL641" s="1462"/>
      <c r="EM641" s="1462" t="e">
        <f t="shared" si="5"/>
        <v>#VALUE!</v>
      </c>
      <c r="EN641" s="1462"/>
      <c r="EO641" s="1462"/>
      <c r="EP641" s="1462"/>
      <c r="EQ641" s="1462"/>
      <c r="ER641" s="1462" t="e">
        <f t="shared" si="6"/>
        <v>#VALUE!</v>
      </c>
      <c r="ES641" s="1462"/>
      <c r="ET641" s="1462"/>
      <c r="EU641" s="1462"/>
      <c r="EV641" s="1462"/>
      <c r="EW641" s="1462" t="e">
        <f t="shared" si="7"/>
        <v>#VALUE!</v>
      </c>
      <c r="EX641" s="1462"/>
      <c r="EY641" s="1462"/>
      <c r="EZ641" s="1462"/>
      <c r="FA641" s="1462"/>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2" t="e">
        <f t="shared" si="2"/>
        <v>#VALUE!</v>
      </c>
      <c r="DY642" s="1462"/>
      <c r="DZ642" s="1462"/>
      <c r="EA642" s="1462"/>
      <c r="EB642" s="1462"/>
      <c r="EC642" s="1462" t="e">
        <f t="shared" si="3"/>
        <v>#VALUE!</v>
      </c>
      <c r="ED642" s="1462"/>
      <c r="EE642" s="1462"/>
      <c r="EF642" s="1462"/>
      <c r="EG642" s="1462"/>
      <c r="EH642" s="1462">
        <f t="shared" si="4"/>
        <v>273.88235294117646</v>
      </c>
      <c r="EI642" s="1462"/>
      <c r="EJ642" s="1462"/>
      <c r="EK642" s="1462"/>
      <c r="EL642" s="1462"/>
      <c r="EM642" s="1462" t="e">
        <f t="shared" si="5"/>
        <v>#VALUE!</v>
      </c>
      <c r="EN642" s="1462"/>
      <c r="EO642" s="1462"/>
      <c r="EP642" s="1462"/>
      <c r="EQ642" s="1462"/>
      <c r="ER642" s="1462" t="e">
        <f t="shared" si="6"/>
        <v>#VALUE!</v>
      </c>
      <c r="ES642" s="1462"/>
      <c r="ET642" s="1462"/>
      <c r="EU642" s="1462"/>
      <c r="EV642" s="1462"/>
      <c r="EW642" s="1462" t="e">
        <f t="shared" si="7"/>
        <v>#VALUE!</v>
      </c>
      <c r="EX642" s="1462"/>
      <c r="EY642" s="1462"/>
      <c r="EZ642" s="1462"/>
      <c r="FA642" s="1462"/>
    </row>
    <row r="643" spans="1:157" ht="12.95" customHeight="1">
      <c r="A643" s="55" t="s">
        <v>112</v>
      </c>
      <c r="B643" t="s">
        <v>463</v>
      </c>
      <c r="G643" s="1416" t="str">
        <f>C627</f>
        <v>Citibank Perm Loan</v>
      </c>
      <c r="H643" s="1416"/>
      <c r="I643" s="1416"/>
      <c r="J643" s="1416"/>
      <c r="K643" s="1416"/>
      <c r="L643" s="1416"/>
      <c r="M643" s="1416"/>
      <c r="N643" s="1416"/>
      <c r="O643" s="1416"/>
      <c r="P643" s="1416"/>
      <c r="Q643" s="1416"/>
      <c r="R643" s="1416"/>
      <c r="S643" s="8"/>
      <c r="T643" s="55" t="s">
        <v>113</v>
      </c>
      <c r="U643" t="s">
        <v>463</v>
      </c>
      <c r="Z643" s="1416" t="str">
        <f>C628</f>
        <v>Santa Clara County</v>
      </c>
      <c r="AA643" s="1416"/>
      <c r="AB643" s="1416"/>
      <c r="AC643" s="1416"/>
      <c r="AD643" s="1416"/>
      <c r="AE643" s="1416"/>
      <c r="AF643" s="1416"/>
      <c r="AG643" s="1416"/>
      <c r="AH643" s="1416"/>
      <c r="AI643" s="1416"/>
      <c r="AJ643" s="1416"/>
      <c r="AK643" s="14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2" t="e">
        <f t="shared" si="2"/>
        <v>#VALUE!</v>
      </c>
      <c r="DY643" s="1462"/>
      <c r="DZ643" s="1462"/>
      <c r="EA643" s="1462"/>
      <c r="EB643" s="1462"/>
      <c r="EC643" s="1462" t="e">
        <f t="shared" si="3"/>
        <v>#VALUE!</v>
      </c>
      <c r="ED643" s="1462"/>
      <c r="EE643" s="1462"/>
      <c r="EF643" s="1462"/>
      <c r="EG643" s="1462"/>
      <c r="EH643" s="1462">
        <f t="shared" si="4"/>
        <v>586.17647058823536</v>
      </c>
      <c r="EI643" s="1462"/>
      <c r="EJ643" s="1462"/>
      <c r="EK643" s="1462"/>
      <c r="EL643" s="1462"/>
      <c r="EM643" s="1462" t="e">
        <f t="shared" si="5"/>
        <v>#VALUE!</v>
      </c>
      <c r="EN643" s="1462"/>
      <c r="EO643" s="1462"/>
      <c r="EP643" s="1462"/>
      <c r="EQ643" s="1462"/>
      <c r="ER643" s="1462" t="e">
        <f t="shared" si="6"/>
        <v>#VALUE!</v>
      </c>
      <c r="ES643" s="1462"/>
      <c r="ET643" s="1462"/>
      <c r="EU643" s="1462"/>
      <c r="EV643" s="1462"/>
      <c r="EW643" s="1462" t="e">
        <f t="shared" si="7"/>
        <v>#VALUE!</v>
      </c>
      <c r="EX643" s="1462"/>
      <c r="EY643" s="1462"/>
      <c r="EZ643" s="1462"/>
      <c r="FA643" s="1462"/>
    </row>
    <row r="644" spans="1:157" ht="12.95" customHeight="1">
      <c r="A644" s="22"/>
      <c r="B644" t="s">
        <v>85</v>
      </c>
      <c r="G644" s="1405" t="s">
        <v>2725</v>
      </c>
      <c r="H644" s="1348"/>
      <c r="I644" s="1348"/>
      <c r="J644" s="1348"/>
      <c r="K644" s="1348"/>
      <c r="L644" s="1348"/>
      <c r="M644" s="1348"/>
      <c r="N644" s="1348"/>
      <c r="O644" s="1348"/>
      <c r="P644" s="1348"/>
      <c r="Q644" s="1348"/>
      <c r="R644" s="1348"/>
      <c r="S644" s="8"/>
      <c r="T644" s="22"/>
      <c r="U644" t="s">
        <v>85</v>
      </c>
      <c r="Z644" s="1348" t="s">
        <v>2731</v>
      </c>
      <c r="AA644" s="1348"/>
      <c r="AB644" s="1348"/>
      <c r="AC644" s="1348"/>
      <c r="AD644" s="1348"/>
      <c r="AE644" s="1348"/>
      <c r="AF644" s="1348"/>
      <c r="AG644" s="1348"/>
      <c r="AH644" s="1348"/>
      <c r="AI644" s="1348"/>
      <c r="AJ644" s="1348"/>
      <c r="AK644" s="1348"/>
      <c r="AV644" s="3"/>
      <c r="AW644" s="3"/>
      <c r="AX644" s="3"/>
      <c r="AY644" s="3"/>
      <c r="AZ644" s="3"/>
      <c r="BA644" s="3"/>
      <c r="BB644" s="3"/>
      <c r="BC644" s="3"/>
      <c r="BD644" s="3"/>
      <c r="BE644" s="3"/>
      <c r="BF644" s="3"/>
      <c r="BG644" s="3"/>
      <c r="BH644" s="3"/>
      <c r="BI644" s="3"/>
      <c r="BJ644" s="3"/>
      <c r="BK644" s="3"/>
      <c r="BL644" s="3"/>
      <c r="BM644" s="3"/>
      <c r="DX644" s="1462" t="e">
        <f t="shared" si="2"/>
        <v>#VALUE!</v>
      </c>
      <c r="DY644" s="1462"/>
      <c r="DZ644" s="1462"/>
      <c r="EA644" s="1462"/>
      <c r="EB644" s="1462"/>
      <c r="EC644" s="1462" t="e">
        <f t="shared" si="3"/>
        <v>#VALUE!</v>
      </c>
      <c r="ED644" s="1462"/>
      <c r="EE644" s="1462"/>
      <c r="EF644" s="1462"/>
      <c r="EG644" s="1462"/>
      <c r="EH644" s="1462" t="e">
        <f t="shared" si="4"/>
        <v>#VALUE!</v>
      </c>
      <c r="EI644" s="1462"/>
      <c r="EJ644" s="1462"/>
      <c r="EK644" s="1462"/>
      <c r="EL644" s="1462"/>
      <c r="EM644" s="1462">
        <f t="shared" si="5"/>
        <v>628.23529411764707</v>
      </c>
      <c r="EN644" s="1462"/>
      <c r="EO644" s="1462"/>
      <c r="EP644" s="1462"/>
      <c r="EQ644" s="1462"/>
      <c r="ER644" s="1462" t="e">
        <f t="shared" si="6"/>
        <v>#VALUE!</v>
      </c>
      <c r="ES644" s="1462"/>
      <c r="ET644" s="1462"/>
      <c r="EU644" s="1462"/>
      <c r="EV644" s="1462"/>
      <c r="EW644" s="1462" t="e">
        <f t="shared" si="7"/>
        <v>#VALUE!</v>
      </c>
      <c r="EX644" s="1462"/>
      <c r="EY644" s="1462"/>
      <c r="EZ644" s="1462"/>
      <c r="FA644" s="1462"/>
    </row>
    <row r="645" spans="1:157" ht="12.95" customHeight="1">
      <c r="A645" s="22"/>
      <c r="B645" t="s">
        <v>580</v>
      </c>
      <c r="G645" s="1405" t="s">
        <v>2726</v>
      </c>
      <c r="H645" s="1348"/>
      <c r="I645" s="1348"/>
      <c r="J645" s="1348"/>
      <c r="K645" s="1348"/>
      <c r="L645" s="1348"/>
      <c r="M645" s="1348"/>
      <c r="N645" s="1348"/>
      <c r="O645" s="1348"/>
      <c r="P645" s="1348"/>
      <c r="Q645" s="1348"/>
      <c r="R645" s="1348"/>
      <c r="T645" s="22"/>
      <c r="U645" t="s">
        <v>580</v>
      </c>
      <c r="Z645" s="1461" t="s">
        <v>2732</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DX645" s="1462" t="e">
        <f t="shared" si="2"/>
        <v>#VALUE!</v>
      </c>
      <c r="DY645" s="1462"/>
      <c r="DZ645" s="1462"/>
      <c r="EA645" s="1462"/>
      <c r="EB645" s="1462"/>
      <c r="EC645" s="1462" t="e">
        <f t="shared" si="3"/>
        <v>#VALUE!</v>
      </c>
      <c r="ED645" s="1462"/>
      <c r="EE645" s="1462"/>
      <c r="EF645" s="1462"/>
      <c r="EG645" s="1462"/>
      <c r="EH645" s="1462" t="e">
        <f t="shared" si="4"/>
        <v>#VALUE!</v>
      </c>
      <c r="EI645" s="1462"/>
      <c r="EJ645" s="1462"/>
      <c r="EK645" s="1462"/>
      <c r="EL645" s="1462"/>
      <c r="EM645" s="1462">
        <f t="shared" si="5"/>
        <v>1213.9411764705883</v>
      </c>
      <c r="EN645" s="1462"/>
      <c r="EO645" s="1462"/>
      <c r="EP645" s="1462"/>
      <c r="EQ645" s="1462"/>
      <c r="ER645" s="1462" t="e">
        <f t="shared" si="6"/>
        <v>#VALUE!</v>
      </c>
      <c r="ES645" s="1462"/>
      <c r="ET645" s="1462"/>
      <c r="EU645" s="1462"/>
      <c r="EV645" s="1462"/>
      <c r="EW645" s="1462" t="e">
        <f t="shared" si="7"/>
        <v>#VALUE!</v>
      </c>
      <c r="EX645" s="1462"/>
      <c r="EY645" s="1462"/>
      <c r="EZ645" s="1462"/>
      <c r="FA645" s="1462"/>
    </row>
    <row r="646" spans="1:157" ht="12.95" customHeight="1">
      <c r="A646" s="22"/>
      <c r="B646" t="s">
        <v>17</v>
      </c>
      <c r="G646" s="1405" t="s">
        <v>2727</v>
      </c>
      <c r="H646" s="1348"/>
      <c r="I646" s="1348"/>
      <c r="J646" s="1348"/>
      <c r="K646" s="1348"/>
      <c r="L646" s="1348"/>
      <c r="M646" s="1348"/>
      <c r="N646" s="1348"/>
      <c r="O646" s="1348"/>
      <c r="P646" s="1348"/>
      <c r="Q646" s="1348"/>
      <c r="R646" s="1348"/>
      <c r="S646" s="8"/>
      <c r="T646" s="22"/>
      <c r="U646" t="s">
        <v>17</v>
      </c>
      <c r="Z646" s="1461" t="s">
        <v>2733</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DX646" s="1462" t="e">
        <f t="shared" si="2"/>
        <v>#VALUE!</v>
      </c>
      <c r="DY646" s="1462"/>
      <c r="DZ646" s="1462"/>
      <c r="EA646" s="1462"/>
      <c r="EB646" s="1462"/>
      <c r="EC646" s="1462" t="e">
        <f t="shared" si="3"/>
        <v>#VALUE!</v>
      </c>
      <c r="ED646" s="1462"/>
      <c r="EE646" s="1462"/>
      <c r="EF646" s="1462"/>
      <c r="EG646" s="1462"/>
      <c r="EH646" s="1462" t="e">
        <f t="shared" si="4"/>
        <v>#VALUE!</v>
      </c>
      <c r="EI646" s="1462"/>
      <c r="EJ646" s="1462"/>
      <c r="EK646" s="1462"/>
      <c r="EL646" s="1462"/>
      <c r="EM646" s="1462" t="e">
        <f t="shared" si="5"/>
        <v>#VALUE!</v>
      </c>
      <c r="EN646" s="1462"/>
      <c r="EO646" s="1462"/>
      <c r="EP646" s="1462"/>
      <c r="EQ646" s="1462"/>
      <c r="ER646" s="1462" t="e">
        <f t="shared" si="6"/>
        <v>#VALUE!</v>
      </c>
      <c r="ES646" s="1462"/>
      <c r="ET646" s="1462"/>
      <c r="EU646" s="1462"/>
      <c r="EV646" s="1462"/>
      <c r="EW646" s="1462" t="e">
        <f t="shared" si="7"/>
        <v>#VALUE!</v>
      </c>
      <c r="EX646" s="1462"/>
      <c r="EY646" s="1462"/>
      <c r="EZ646" s="1462"/>
      <c r="FA646" s="1462"/>
    </row>
    <row r="647" spans="1:157" ht="12.95" customHeight="1">
      <c r="A647" s="22"/>
      <c r="B647" t="s">
        <v>315</v>
      </c>
      <c r="G647" s="1415">
        <v>2132391914</v>
      </c>
      <c r="H647" s="1415"/>
      <c r="I647" s="1415"/>
      <c r="J647" s="1415"/>
      <c r="K647" s="1415"/>
      <c r="L647" s="1415"/>
      <c r="O647" s="33" t="s">
        <v>205</v>
      </c>
      <c r="P647" s="1460"/>
      <c r="Q647" s="1460"/>
      <c r="R647" s="1460"/>
      <c r="S647" s="10"/>
      <c r="T647" s="22"/>
      <c r="U647" t="s">
        <v>315</v>
      </c>
      <c r="Z647" s="1415">
        <v>4082786400</v>
      </c>
      <c r="AA647" s="1415"/>
      <c r="AB647" s="1415"/>
      <c r="AC647" s="1415"/>
      <c r="AD647" s="1415"/>
      <c r="AE647" s="1415"/>
      <c r="AH647" s="33" t="s">
        <v>205</v>
      </c>
      <c r="AI647" s="1460"/>
      <c r="AJ647" s="1460"/>
      <c r="AK647" s="1460"/>
      <c r="AZ647" s="34"/>
      <c r="BA647" s="34"/>
      <c r="BB647" s="34"/>
      <c r="BC647" s="34"/>
      <c r="BD647" s="34"/>
      <c r="BE647" s="34"/>
      <c r="BF647" s="34"/>
      <c r="BG647" s="34"/>
      <c r="BH647" s="34"/>
      <c r="BI647" s="34"/>
      <c r="BJ647" s="34"/>
      <c r="BK647" s="34"/>
      <c r="BL647" s="34"/>
      <c r="BM647" s="34"/>
      <c r="DX647" s="1462" t="e">
        <f t="shared" si="2"/>
        <v>#VALUE!</v>
      </c>
      <c r="DY647" s="1462"/>
      <c r="DZ647" s="1462"/>
      <c r="EA647" s="1462"/>
      <c r="EB647" s="1462"/>
      <c r="EC647" s="1462" t="e">
        <f t="shared" si="3"/>
        <v>#VALUE!</v>
      </c>
      <c r="ED647" s="1462"/>
      <c r="EE647" s="1462"/>
      <c r="EF647" s="1462"/>
      <c r="EG647" s="1462"/>
      <c r="EH647" s="1462" t="e">
        <f t="shared" si="4"/>
        <v>#VALUE!</v>
      </c>
      <c r="EI647" s="1462"/>
      <c r="EJ647" s="1462"/>
      <c r="EK647" s="1462"/>
      <c r="EL647" s="1462"/>
      <c r="EM647" s="1462" t="e">
        <f t="shared" si="5"/>
        <v>#VALUE!</v>
      </c>
      <c r="EN647" s="1462"/>
      <c r="EO647" s="1462"/>
      <c r="EP647" s="1462"/>
      <c r="EQ647" s="1462"/>
      <c r="ER647" s="1462" t="e">
        <f t="shared" si="6"/>
        <v>#VALUE!</v>
      </c>
      <c r="ES647" s="1462"/>
      <c r="ET647" s="1462"/>
      <c r="EU647" s="1462"/>
      <c r="EV647" s="1462"/>
      <c r="EW647" s="1462" t="e">
        <f t="shared" si="7"/>
        <v>#VALUE!</v>
      </c>
      <c r="EX647" s="1462"/>
      <c r="EY647" s="1462"/>
      <c r="EZ647" s="1462"/>
      <c r="FA647" s="1462"/>
    </row>
    <row r="648" spans="1:157" ht="12.95" customHeight="1">
      <c r="A648" s="22"/>
      <c r="B648" t="s">
        <v>18</v>
      </c>
      <c r="H648" s="1405" t="s">
        <v>2741</v>
      </c>
      <c r="I648" s="1348"/>
      <c r="J648" s="1348"/>
      <c r="K648" s="1348"/>
      <c r="L648" s="1348"/>
      <c r="M648" s="1348"/>
      <c r="N648" s="1348"/>
      <c r="O648" s="1348"/>
      <c r="P648" s="1348"/>
      <c r="Q648" s="1348"/>
      <c r="R648" s="1348"/>
      <c r="S648" s="8"/>
      <c r="T648" s="22"/>
      <c r="U648" t="s">
        <v>18</v>
      </c>
      <c r="AA648" s="1348" t="s">
        <v>2742</v>
      </c>
      <c r="AB648" s="1348"/>
      <c r="AC648" s="1348"/>
      <c r="AD648" s="1348"/>
      <c r="AE648" s="1348"/>
      <c r="AF648" s="1348"/>
      <c r="AG648" s="1348"/>
      <c r="AH648" s="1348"/>
      <c r="AI648" s="1348"/>
      <c r="AJ648" s="1348"/>
      <c r="AK648" s="1348"/>
      <c r="AZ648" s="34"/>
      <c r="BA648" s="34"/>
      <c r="BB648" s="34"/>
      <c r="BC648" s="34"/>
      <c r="BD648" s="34"/>
      <c r="BE648" s="34"/>
      <c r="BF648" s="34"/>
      <c r="BG648" s="34"/>
      <c r="BH648" s="34"/>
      <c r="BI648" s="34"/>
      <c r="BJ648" s="34"/>
      <c r="BK648" s="34"/>
      <c r="BL648" s="34"/>
      <c r="BM648" s="34"/>
      <c r="DX648" s="1462" t="e">
        <f t="shared" si="2"/>
        <v>#VALUE!</v>
      </c>
      <c r="DY648" s="1462"/>
      <c r="DZ648" s="1462"/>
      <c r="EA648" s="1462"/>
      <c r="EB648" s="1462"/>
      <c r="EC648" s="1462" t="e">
        <f t="shared" si="3"/>
        <v>#VALUE!</v>
      </c>
      <c r="ED648" s="1462"/>
      <c r="EE648" s="1462"/>
      <c r="EF648" s="1462"/>
      <c r="EG648" s="1462"/>
      <c r="EH648" s="1462" t="e">
        <f t="shared" si="4"/>
        <v>#VALUE!</v>
      </c>
      <c r="EI648" s="1462"/>
      <c r="EJ648" s="1462"/>
      <c r="EK648" s="1462"/>
      <c r="EL648" s="1462"/>
      <c r="EM648" s="1462" t="e">
        <f t="shared" si="5"/>
        <v>#VALUE!</v>
      </c>
      <c r="EN648" s="1462"/>
      <c r="EO648" s="1462"/>
      <c r="EP648" s="1462"/>
      <c r="EQ648" s="1462"/>
      <c r="ER648" s="1462" t="e">
        <f t="shared" si="6"/>
        <v>#VALUE!</v>
      </c>
      <c r="ES648" s="1462"/>
      <c r="ET648" s="1462"/>
      <c r="EU648" s="1462"/>
      <c r="EV648" s="1462"/>
      <c r="EW648" s="1462" t="e">
        <f t="shared" si="7"/>
        <v>#VALUE!</v>
      </c>
      <c r="EX648" s="1462"/>
      <c r="EY648" s="1462"/>
      <c r="EZ648" s="1462"/>
      <c r="FA648" s="1462"/>
    </row>
    <row r="649" spans="1:157" ht="12.95"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62" t="e">
        <f t="shared" si="2"/>
        <v>#VALUE!</v>
      </c>
      <c r="DY649" s="1462"/>
      <c r="DZ649" s="1462"/>
      <c r="EA649" s="1462"/>
      <c r="EB649" s="1462"/>
      <c r="EC649" s="1462" t="e">
        <f t="shared" si="3"/>
        <v>#VALUE!</v>
      </c>
      <c r="ED649" s="1462"/>
      <c r="EE649" s="1462"/>
      <c r="EF649" s="1462"/>
      <c r="EG649" s="1462"/>
      <c r="EH649" s="1462" t="e">
        <f t="shared" si="4"/>
        <v>#VALUE!</v>
      </c>
      <c r="EI649" s="1462"/>
      <c r="EJ649" s="1462"/>
      <c r="EK649" s="1462"/>
      <c r="EL649" s="1462"/>
      <c r="EM649" s="1462" t="e">
        <f t="shared" si="5"/>
        <v>#VALUE!</v>
      </c>
      <c r="EN649" s="1462"/>
      <c r="EO649" s="1462"/>
      <c r="EP649" s="1462"/>
      <c r="EQ649" s="1462"/>
      <c r="ER649" s="1462" t="e">
        <f t="shared" si="6"/>
        <v>#VALUE!</v>
      </c>
      <c r="ES649" s="1462"/>
      <c r="ET649" s="1462"/>
      <c r="EU649" s="1462"/>
      <c r="EV649" s="1462"/>
      <c r="EW649" s="1462" t="e">
        <f t="shared" si="7"/>
        <v>#VALUE!</v>
      </c>
      <c r="EX649" s="1462"/>
      <c r="EY649" s="1462"/>
      <c r="EZ649" s="1462"/>
      <c r="FA649" s="1462"/>
    </row>
    <row r="650" spans="1:157" ht="12.95" customHeight="1">
      <c r="A650" s="22"/>
      <c r="T650" s="22"/>
      <c r="AZ650" s="34"/>
      <c r="BA650" s="34"/>
      <c r="BB650" s="34"/>
      <c r="BC650" s="34"/>
      <c r="BD650" s="34"/>
      <c r="BE650" s="34"/>
      <c r="BF650" s="34"/>
      <c r="BG650" s="34"/>
      <c r="BH650" s="34"/>
      <c r="BI650" s="34"/>
      <c r="BJ650" s="34"/>
      <c r="BK650" s="34"/>
      <c r="BL650" s="34"/>
      <c r="BM650" s="34"/>
      <c r="DX650" s="1462" t="e">
        <f t="shared" si="2"/>
        <v>#VALUE!</v>
      </c>
      <c r="DY650" s="1462"/>
      <c r="DZ650" s="1462"/>
      <c r="EA650" s="1462"/>
      <c r="EB650" s="1462"/>
      <c r="EC650" s="1462" t="e">
        <f t="shared" si="3"/>
        <v>#VALUE!</v>
      </c>
      <c r="ED650" s="1462"/>
      <c r="EE650" s="1462"/>
      <c r="EF650" s="1462"/>
      <c r="EG650" s="1462"/>
      <c r="EH650" s="1462" t="e">
        <f t="shared" si="4"/>
        <v>#VALUE!</v>
      </c>
      <c r="EI650" s="1462"/>
      <c r="EJ650" s="1462"/>
      <c r="EK650" s="1462"/>
      <c r="EL650" s="1462"/>
      <c r="EM650" s="1462" t="e">
        <f t="shared" si="5"/>
        <v>#VALUE!</v>
      </c>
      <c r="EN650" s="1462"/>
      <c r="EO650" s="1462"/>
      <c r="EP650" s="1462"/>
      <c r="EQ650" s="1462"/>
      <c r="ER650" s="1462" t="e">
        <f t="shared" si="6"/>
        <v>#VALUE!</v>
      </c>
      <c r="ES650" s="1462"/>
      <c r="ET650" s="1462"/>
      <c r="EU650" s="1462"/>
      <c r="EV650" s="1462"/>
      <c r="EW650" s="1462" t="e">
        <f t="shared" si="7"/>
        <v>#VALUE!</v>
      </c>
      <c r="EX650" s="1462"/>
      <c r="EY650" s="1462"/>
      <c r="EZ650" s="1462"/>
      <c r="FA650" s="1462"/>
    </row>
    <row r="651" spans="1:157" ht="12.95" customHeight="1">
      <c r="A651" s="55" t="s">
        <v>119</v>
      </c>
      <c r="B651" t="s">
        <v>463</v>
      </c>
      <c r="G651" s="1416" t="str">
        <f>C629</f>
        <v>Santa Clara County - Accrued Deferred Interest</v>
      </c>
      <c r="H651" s="1416"/>
      <c r="I651" s="1416"/>
      <c r="J651" s="1416"/>
      <c r="K651" s="1416"/>
      <c r="L651" s="1416"/>
      <c r="M651" s="1416"/>
      <c r="N651" s="1416"/>
      <c r="O651" s="1416"/>
      <c r="P651" s="1416"/>
      <c r="Q651" s="1416"/>
      <c r="R651" s="1416"/>
      <c r="T651" s="55" t="s">
        <v>581</v>
      </c>
      <c r="U651" t="s">
        <v>463</v>
      </c>
      <c r="Z651" s="1416" t="str">
        <f>C630</f>
        <v>City of Morgan Hill</v>
      </c>
      <c r="AA651" s="1416"/>
      <c r="AB651" s="1416"/>
      <c r="AC651" s="1416"/>
      <c r="AD651" s="1416"/>
      <c r="AE651" s="1416"/>
      <c r="AF651" s="1416"/>
      <c r="AG651" s="1416"/>
      <c r="AH651" s="1416"/>
      <c r="AI651" s="1416"/>
      <c r="AJ651" s="1416"/>
      <c r="AK651" s="1416"/>
      <c r="AZ651" s="34"/>
      <c r="BA651" s="34"/>
      <c r="BB651" s="34"/>
      <c r="BC651" s="34"/>
      <c r="BD651" s="34"/>
      <c r="BE651" s="34"/>
      <c r="BF651" s="34"/>
      <c r="BG651" s="34"/>
      <c r="BH651" s="34"/>
      <c r="BI651" s="34"/>
      <c r="BJ651" s="34"/>
      <c r="BK651" s="34"/>
      <c r="BL651" s="34"/>
      <c r="BM651" s="34"/>
      <c r="DX651" s="1462" t="e">
        <f t="shared" si="2"/>
        <v>#VALUE!</v>
      </c>
      <c r="DY651" s="1462"/>
      <c r="DZ651" s="1462"/>
      <c r="EA651" s="1462"/>
      <c r="EB651" s="1462"/>
      <c r="EC651" s="1462" t="e">
        <f t="shared" si="3"/>
        <v>#VALUE!</v>
      </c>
      <c r="ED651" s="1462"/>
      <c r="EE651" s="1462"/>
      <c r="EF651" s="1462"/>
      <c r="EG651" s="1462"/>
      <c r="EH651" s="1462" t="e">
        <f t="shared" si="4"/>
        <v>#VALUE!</v>
      </c>
      <c r="EI651" s="1462"/>
      <c r="EJ651" s="1462"/>
      <c r="EK651" s="1462"/>
      <c r="EL651" s="1462"/>
      <c r="EM651" s="1462" t="e">
        <f t="shared" si="5"/>
        <v>#VALUE!</v>
      </c>
      <c r="EN651" s="1462"/>
      <c r="EO651" s="1462"/>
      <c r="EP651" s="1462"/>
      <c r="EQ651" s="1462"/>
      <c r="ER651" s="1462" t="e">
        <f t="shared" si="6"/>
        <v>#VALUE!</v>
      </c>
      <c r="ES651" s="1462"/>
      <c r="ET651" s="1462"/>
      <c r="EU651" s="1462"/>
      <c r="EV651" s="1462"/>
      <c r="EW651" s="1462" t="e">
        <f t="shared" si="7"/>
        <v>#VALUE!</v>
      </c>
      <c r="EX651" s="1462"/>
      <c r="EY651" s="1462"/>
      <c r="EZ651" s="1462"/>
      <c r="FA651" s="1462"/>
    </row>
    <row r="652" spans="1:157" ht="12.95" customHeight="1">
      <c r="A652" s="22"/>
      <c r="B652" t="s">
        <v>85</v>
      </c>
      <c r="G652" s="1348" t="s">
        <v>2731</v>
      </c>
      <c r="H652" s="1348"/>
      <c r="I652" s="1348"/>
      <c r="J652" s="1348"/>
      <c r="K652" s="1348"/>
      <c r="L652" s="1348"/>
      <c r="M652" s="1348"/>
      <c r="N652" s="1348"/>
      <c r="O652" s="1348"/>
      <c r="P652" s="1348"/>
      <c r="Q652" s="1348"/>
      <c r="R652" s="1348"/>
      <c r="T652" s="22"/>
      <c r="U652" t="s">
        <v>85</v>
      </c>
      <c r="Z652" s="1348" t="s">
        <v>2736</v>
      </c>
      <c r="AA652" s="1348"/>
      <c r="AB652" s="1348"/>
      <c r="AC652" s="1348"/>
      <c r="AD652" s="1348"/>
      <c r="AE652" s="1348"/>
      <c r="AF652" s="1348"/>
      <c r="AG652" s="1348"/>
      <c r="AH652" s="1348"/>
      <c r="AI652" s="1348"/>
      <c r="AJ652" s="1348"/>
      <c r="AK652" s="1348"/>
      <c r="AZ652" s="34"/>
      <c r="BA652" s="34"/>
      <c r="BB652" s="34"/>
      <c r="BC652" s="34"/>
      <c r="BD652" s="34"/>
      <c r="BE652" s="34"/>
      <c r="BF652" s="34"/>
      <c r="BG652" s="34"/>
      <c r="BH652" s="34"/>
      <c r="BI652" s="34"/>
      <c r="BJ652" s="34"/>
      <c r="BK652" s="34"/>
      <c r="BL652" s="34"/>
      <c r="BM652" s="34"/>
      <c r="DX652" s="1462" t="e">
        <f t="shared" si="2"/>
        <v>#VALUE!</v>
      </c>
      <c r="DY652" s="1462"/>
      <c r="DZ652" s="1462"/>
      <c r="EA652" s="1462"/>
      <c r="EB652" s="1462"/>
      <c r="EC652" s="1462" t="e">
        <f t="shared" si="3"/>
        <v>#VALUE!</v>
      </c>
      <c r="ED652" s="1462"/>
      <c r="EE652" s="1462"/>
      <c r="EF652" s="1462"/>
      <c r="EG652" s="1462"/>
      <c r="EH652" s="1462" t="e">
        <f t="shared" si="4"/>
        <v>#VALUE!</v>
      </c>
      <c r="EI652" s="1462"/>
      <c r="EJ652" s="1462"/>
      <c r="EK652" s="1462"/>
      <c r="EL652" s="1462"/>
      <c r="EM652" s="1462" t="e">
        <f t="shared" si="5"/>
        <v>#VALUE!</v>
      </c>
      <c r="EN652" s="1462"/>
      <c r="EO652" s="1462"/>
      <c r="EP652" s="1462"/>
      <c r="EQ652" s="1462"/>
      <c r="ER652" s="1462" t="e">
        <f t="shared" si="6"/>
        <v>#VALUE!</v>
      </c>
      <c r="ES652" s="1462"/>
      <c r="ET652" s="1462"/>
      <c r="EU652" s="1462"/>
      <c r="EV652" s="1462"/>
      <c r="EW652" s="1462" t="e">
        <f t="shared" si="7"/>
        <v>#VALUE!</v>
      </c>
      <c r="EX652" s="1462"/>
      <c r="EY652" s="1462"/>
      <c r="EZ652" s="1462"/>
      <c r="FA652" s="1462"/>
    </row>
    <row r="653" spans="1:157" ht="12.95" customHeight="1">
      <c r="A653" s="22"/>
      <c r="B653" t="s">
        <v>580</v>
      </c>
      <c r="G653" s="1461" t="s">
        <v>2732</v>
      </c>
      <c r="H653" s="1461"/>
      <c r="I653" s="1461"/>
      <c r="J653" s="1461"/>
      <c r="K653" s="1461"/>
      <c r="L653" s="1461"/>
      <c r="M653" s="1461"/>
      <c r="N653" s="1461"/>
      <c r="O653" s="1461"/>
      <c r="P653" s="1461"/>
      <c r="Q653" s="1461"/>
      <c r="R653" s="1461"/>
      <c r="T653" s="22"/>
      <c r="U653" t="s">
        <v>580</v>
      </c>
      <c r="Z653" s="1461" t="s">
        <v>2738</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DX653" s="1462" t="e">
        <f t="shared" si="2"/>
        <v>#VALUE!</v>
      </c>
      <c r="DY653" s="1462"/>
      <c r="DZ653" s="1462"/>
      <c r="EA653" s="1462"/>
      <c r="EB653" s="1462"/>
      <c r="EC653" s="1462" t="e">
        <f t="shared" si="3"/>
        <v>#VALUE!</v>
      </c>
      <c r="ED653" s="1462"/>
      <c r="EE653" s="1462"/>
      <c r="EF653" s="1462"/>
      <c r="EG653" s="1462"/>
      <c r="EH653" s="1462" t="e">
        <f t="shared" si="4"/>
        <v>#VALUE!</v>
      </c>
      <c r="EI653" s="1462"/>
      <c r="EJ653" s="1462"/>
      <c r="EK653" s="1462"/>
      <c r="EL653" s="1462"/>
      <c r="EM653" s="1462" t="e">
        <f t="shared" si="5"/>
        <v>#VALUE!</v>
      </c>
      <c r="EN653" s="1462"/>
      <c r="EO653" s="1462"/>
      <c r="EP653" s="1462"/>
      <c r="EQ653" s="1462"/>
      <c r="ER653" s="1462" t="e">
        <f t="shared" si="6"/>
        <v>#VALUE!</v>
      </c>
      <c r="ES653" s="1462"/>
      <c r="ET653" s="1462"/>
      <c r="EU653" s="1462"/>
      <c r="EV653" s="1462"/>
      <c r="EW653" s="1462" t="e">
        <f t="shared" si="7"/>
        <v>#VALUE!</v>
      </c>
      <c r="EX653" s="1462"/>
      <c r="EY653" s="1462"/>
      <c r="EZ653" s="1462"/>
      <c r="FA653" s="1462"/>
    </row>
    <row r="654" spans="1:157" ht="12.95" customHeight="1">
      <c r="A654" s="22"/>
      <c r="B654" t="s">
        <v>17</v>
      </c>
      <c r="G654" s="1461" t="s">
        <v>2733</v>
      </c>
      <c r="H654" s="1461"/>
      <c r="I654" s="1461"/>
      <c r="J654" s="1461"/>
      <c r="K654" s="1461"/>
      <c r="L654" s="1461"/>
      <c r="M654" s="1461"/>
      <c r="N654" s="1461"/>
      <c r="O654" s="1461"/>
      <c r="P654" s="1461"/>
      <c r="Q654" s="1461"/>
      <c r="R654" s="1461"/>
      <c r="T654" s="22"/>
      <c r="U654" t="s">
        <v>17</v>
      </c>
      <c r="Z654" s="1461" t="s">
        <v>2737</v>
      </c>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DX654" s="1462" t="e">
        <f t="shared" si="2"/>
        <v>#VALUE!</v>
      </c>
      <c r="DY654" s="1462"/>
      <c r="DZ654" s="1462"/>
      <c r="EA654" s="1462"/>
      <c r="EB654" s="1462"/>
      <c r="EC654" s="1462" t="e">
        <f t="shared" si="3"/>
        <v>#VALUE!</v>
      </c>
      <c r="ED654" s="1462"/>
      <c r="EE654" s="1462"/>
      <c r="EF654" s="1462"/>
      <c r="EG654" s="1462"/>
      <c r="EH654" s="1462" t="e">
        <f t="shared" si="4"/>
        <v>#VALUE!</v>
      </c>
      <c r="EI654" s="1462"/>
      <c r="EJ654" s="1462"/>
      <c r="EK654" s="1462"/>
      <c r="EL654" s="1462"/>
      <c r="EM654" s="1462" t="e">
        <f t="shared" si="5"/>
        <v>#VALUE!</v>
      </c>
      <c r="EN654" s="1462"/>
      <c r="EO654" s="1462"/>
      <c r="EP654" s="1462"/>
      <c r="EQ654" s="1462"/>
      <c r="ER654" s="1462" t="e">
        <f t="shared" si="6"/>
        <v>#VALUE!</v>
      </c>
      <c r="ES654" s="1462"/>
      <c r="ET654" s="1462"/>
      <c r="EU654" s="1462"/>
      <c r="EV654" s="1462"/>
      <c r="EW654" s="1462" t="e">
        <f t="shared" si="7"/>
        <v>#VALUE!</v>
      </c>
      <c r="EX654" s="1462"/>
      <c r="EY654" s="1462"/>
      <c r="EZ654" s="1462"/>
      <c r="FA654" s="1462"/>
    </row>
    <row r="655" spans="1:157" ht="12.95" customHeight="1">
      <c r="A655" s="22"/>
      <c r="B655" t="s">
        <v>315</v>
      </c>
      <c r="G655" s="1415">
        <v>4082786400</v>
      </c>
      <c r="H655" s="1415"/>
      <c r="I655" s="1415"/>
      <c r="J655" s="1415"/>
      <c r="K655" s="1415"/>
      <c r="L655" s="1415"/>
      <c r="O655" s="33" t="s">
        <v>205</v>
      </c>
      <c r="P655" s="1460"/>
      <c r="Q655" s="1460"/>
      <c r="R655" s="1460"/>
      <c r="T655" s="22"/>
      <c r="U655" t="s">
        <v>315</v>
      </c>
      <c r="Z655" s="1415">
        <v>4083104637</v>
      </c>
      <c r="AA655" s="1415"/>
      <c r="AB655" s="1415"/>
      <c r="AC655" s="1415"/>
      <c r="AD655" s="1415"/>
      <c r="AE655" s="1415"/>
      <c r="AH655" s="33" t="s">
        <v>205</v>
      </c>
      <c r="AI655" s="1460"/>
      <c r="AJ655" s="1460"/>
      <c r="AK655" s="1460"/>
      <c r="AZ655" s="34"/>
      <c r="BA655" s="34"/>
      <c r="BB655" s="34"/>
      <c r="BC655" s="34"/>
      <c r="BD655" s="34"/>
      <c r="BE655" s="34"/>
      <c r="BF655" s="34"/>
      <c r="BG655" s="34"/>
      <c r="BH655" s="34"/>
      <c r="BI655" s="34"/>
      <c r="BJ655" s="34"/>
      <c r="BK655" s="34"/>
      <c r="BL655" s="34"/>
      <c r="BM655" s="34"/>
      <c r="DX655" s="1462" t="e">
        <f t="shared" si="2"/>
        <v>#VALUE!</v>
      </c>
      <c r="DY655" s="1462"/>
      <c r="DZ655" s="1462"/>
      <c r="EA655" s="1462"/>
      <c r="EB655" s="1462"/>
      <c r="EC655" s="1462" t="e">
        <f t="shared" si="3"/>
        <v>#VALUE!</v>
      </c>
      <c r="ED655" s="1462"/>
      <c r="EE655" s="1462"/>
      <c r="EF655" s="1462"/>
      <c r="EG655" s="1462"/>
      <c r="EH655" s="1462" t="e">
        <f t="shared" si="4"/>
        <v>#VALUE!</v>
      </c>
      <c r="EI655" s="1462"/>
      <c r="EJ655" s="1462"/>
      <c r="EK655" s="1462"/>
      <c r="EL655" s="1462"/>
      <c r="EM655" s="1462" t="e">
        <f t="shared" si="5"/>
        <v>#VALUE!</v>
      </c>
      <c r="EN655" s="1462"/>
      <c r="EO655" s="1462"/>
      <c r="EP655" s="1462"/>
      <c r="EQ655" s="1462"/>
      <c r="ER655" s="1462" t="e">
        <f t="shared" si="6"/>
        <v>#VALUE!</v>
      </c>
      <c r="ES655" s="1462"/>
      <c r="ET655" s="1462"/>
      <c r="EU655" s="1462"/>
      <c r="EV655" s="1462"/>
      <c r="EW655" s="1462" t="e">
        <f t="shared" si="7"/>
        <v>#VALUE!</v>
      </c>
      <c r="EX655" s="1462"/>
      <c r="EY655" s="1462"/>
      <c r="EZ655" s="1462"/>
      <c r="FA655" s="1462"/>
    </row>
    <row r="656" spans="1:157" ht="12.95" customHeight="1">
      <c r="A656" s="22"/>
      <c r="B656" t="s">
        <v>18</v>
      </c>
      <c r="H656" s="1348" t="s">
        <v>2742</v>
      </c>
      <c r="I656" s="1348"/>
      <c r="J656" s="1348"/>
      <c r="K656" s="1348"/>
      <c r="L656" s="1348"/>
      <c r="M656" s="1348"/>
      <c r="N656" s="1348"/>
      <c r="O656" s="1348"/>
      <c r="P656" s="1348"/>
      <c r="Q656" s="1348"/>
      <c r="R656" s="1348"/>
      <c r="T656" s="22"/>
      <c r="U656" t="s">
        <v>18</v>
      </c>
      <c r="AA656" s="1348" t="s">
        <v>2742</v>
      </c>
      <c r="AB656" s="1348"/>
      <c r="AC656" s="1348"/>
      <c r="AD656" s="1348"/>
      <c r="AE656" s="1348"/>
      <c r="AF656" s="1348"/>
      <c r="AG656" s="1348"/>
      <c r="AH656" s="1348"/>
      <c r="AI656" s="1348"/>
      <c r="AJ656" s="1348"/>
      <c r="AK656" s="1348"/>
      <c r="AZ656" s="34"/>
      <c r="BA656" s="34"/>
      <c r="BB656" s="34"/>
      <c r="BC656" s="34"/>
      <c r="BD656" s="34"/>
      <c r="BE656" s="34"/>
      <c r="BF656" s="34"/>
      <c r="BG656" s="34"/>
      <c r="BH656" s="34"/>
      <c r="BI656" s="34"/>
      <c r="BJ656" s="34"/>
      <c r="BK656" s="34"/>
      <c r="BL656" s="34"/>
      <c r="BM656" s="34"/>
      <c r="DX656" s="1462" t="e">
        <f t="shared" si="2"/>
        <v>#VALUE!</v>
      </c>
      <c r="DY656" s="1462"/>
      <c r="DZ656" s="1462"/>
      <c r="EA656" s="1462"/>
      <c r="EB656" s="1462"/>
      <c r="EC656" s="1462" t="e">
        <f t="shared" si="3"/>
        <v>#VALUE!</v>
      </c>
      <c r="ED656" s="1462"/>
      <c r="EE656" s="1462"/>
      <c r="EF656" s="1462"/>
      <c r="EG656" s="1462"/>
      <c r="EH656" s="1462" t="e">
        <f t="shared" si="4"/>
        <v>#VALUE!</v>
      </c>
      <c r="EI656" s="1462"/>
      <c r="EJ656" s="1462"/>
      <c r="EK656" s="1462"/>
      <c r="EL656" s="1462"/>
      <c r="EM656" s="1462" t="e">
        <f t="shared" si="5"/>
        <v>#VALUE!</v>
      </c>
      <c r="EN656" s="1462"/>
      <c r="EO656" s="1462"/>
      <c r="EP656" s="1462"/>
      <c r="EQ656" s="1462"/>
      <c r="ER656" s="1462" t="e">
        <f t="shared" si="6"/>
        <v>#VALUE!</v>
      </c>
      <c r="ES656" s="1462"/>
      <c r="ET656" s="1462"/>
      <c r="EU656" s="1462"/>
      <c r="EV656" s="1462"/>
      <c r="EW656" s="1462" t="e">
        <f t="shared" si="7"/>
        <v>#VALUE!</v>
      </c>
      <c r="EX656" s="1462"/>
      <c r="EY656" s="1462"/>
      <c r="EZ656" s="1462"/>
      <c r="FA656" s="1462"/>
    </row>
    <row r="657" spans="1:157" ht="12.95" customHeight="1">
      <c r="A657" s="22"/>
      <c r="B657" t="s">
        <v>20</v>
      </c>
      <c r="N657" s="1334" t="s">
        <v>545</v>
      </c>
      <c r="O657" s="1334"/>
      <c r="T657" s="22"/>
      <c r="U657" t="s">
        <v>20</v>
      </c>
      <c r="AG657" s="1334" t="s">
        <v>545</v>
      </c>
      <c r="AH657" s="1334"/>
      <c r="AZ657" s="34"/>
      <c r="BA657" s="34"/>
      <c r="BB657" s="34"/>
      <c r="BC657" s="34"/>
      <c r="BD657" s="34"/>
      <c r="BE657" s="34"/>
      <c r="BF657" s="34"/>
      <c r="BG657" s="34"/>
      <c r="BH657" s="34"/>
      <c r="BI657" s="34"/>
      <c r="BJ657" s="34"/>
      <c r="BK657" s="34"/>
      <c r="BL657" s="34"/>
      <c r="BM657" s="34"/>
      <c r="DX657" s="1462" t="e">
        <f t="shared" si="2"/>
        <v>#VALUE!</v>
      </c>
      <c r="DY657" s="1462"/>
      <c r="DZ657" s="1462"/>
      <c r="EA657" s="1462"/>
      <c r="EB657" s="1462"/>
      <c r="EC657" s="1462" t="e">
        <f t="shared" si="3"/>
        <v>#VALUE!</v>
      </c>
      <c r="ED657" s="1462"/>
      <c r="EE657" s="1462"/>
      <c r="EF657" s="1462"/>
      <c r="EG657" s="1462"/>
      <c r="EH657" s="1462" t="e">
        <f t="shared" si="4"/>
        <v>#VALUE!</v>
      </c>
      <c r="EI657" s="1462"/>
      <c r="EJ657" s="1462"/>
      <c r="EK657" s="1462"/>
      <c r="EL657" s="1462"/>
      <c r="EM657" s="1462" t="e">
        <f t="shared" si="5"/>
        <v>#VALUE!</v>
      </c>
      <c r="EN657" s="1462"/>
      <c r="EO657" s="1462"/>
      <c r="EP657" s="1462"/>
      <c r="EQ657" s="1462"/>
      <c r="ER657" s="1462" t="e">
        <f t="shared" si="6"/>
        <v>#VALUE!</v>
      </c>
      <c r="ES657" s="1462"/>
      <c r="ET657" s="1462"/>
      <c r="EU657" s="1462"/>
      <c r="EV657" s="1462"/>
      <c r="EW657" s="1462" t="e">
        <f t="shared" si="7"/>
        <v>#VALUE!</v>
      </c>
      <c r="EX657" s="1462"/>
      <c r="EY657" s="1462"/>
      <c r="EZ657" s="1462"/>
      <c r="FA657" s="1462"/>
    </row>
    <row r="658" spans="1:157" ht="12.95" customHeight="1">
      <c r="A658" s="22"/>
      <c r="T658" s="22"/>
      <c r="AZ658" s="34"/>
      <c r="BA658" s="34"/>
      <c r="BB658" s="34"/>
      <c r="BC658" s="34"/>
      <c r="BD658" s="34"/>
      <c r="BE658" s="34"/>
      <c r="BF658" s="34"/>
      <c r="BG658" s="34"/>
      <c r="BH658" s="34"/>
      <c r="BI658" s="34"/>
      <c r="BJ658" s="34"/>
      <c r="BK658" s="34"/>
      <c r="BL658" s="34"/>
      <c r="BM658" s="34"/>
      <c r="DX658" s="1462" t="e">
        <f t="shared" si="2"/>
        <v>#VALUE!</v>
      </c>
      <c r="DY658" s="1462"/>
      <c r="DZ658" s="1462"/>
      <c r="EA658" s="1462"/>
      <c r="EB658" s="1462"/>
      <c r="EC658" s="1462" t="e">
        <f t="shared" si="3"/>
        <v>#VALUE!</v>
      </c>
      <c r="ED658" s="1462"/>
      <c r="EE658" s="1462"/>
      <c r="EF658" s="1462"/>
      <c r="EG658" s="1462"/>
      <c r="EH658" s="1462" t="e">
        <f t="shared" si="4"/>
        <v>#VALUE!</v>
      </c>
      <c r="EI658" s="1462"/>
      <c r="EJ658" s="1462"/>
      <c r="EK658" s="1462"/>
      <c r="EL658" s="1462"/>
      <c r="EM658" s="1462" t="e">
        <f t="shared" si="5"/>
        <v>#VALUE!</v>
      </c>
      <c r="EN658" s="1462"/>
      <c r="EO658" s="1462"/>
      <c r="EP658" s="1462"/>
      <c r="EQ658" s="1462"/>
      <c r="ER658" s="1462" t="e">
        <f t="shared" si="6"/>
        <v>#VALUE!</v>
      </c>
      <c r="ES658" s="1462"/>
      <c r="ET658" s="1462"/>
      <c r="EU658" s="1462"/>
      <c r="EV658" s="1462"/>
      <c r="EW658" s="1462" t="e">
        <f t="shared" si="7"/>
        <v>#VALUE!</v>
      </c>
      <c r="EX658" s="1462"/>
      <c r="EY658" s="1462"/>
      <c r="EZ658" s="1462"/>
      <c r="FA658" s="1462"/>
    </row>
    <row r="659" spans="1:157" ht="12.95" customHeight="1">
      <c r="A659" s="55" t="s">
        <v>763</v>
      </c>
      <c r="B659" t="s">
        <v>463</v>
      </c>
      <c r="G659" s="1416" t="str">
        <f>C631</f>
        <v>City of Morgan Hill - Accrued Derferred Interest</v>
      </c>
      <c r="H659" s="1416"/>
      <c r="I659" s="1416"/>
      <c r="J659" s="1416"/>
      <c r="K659" s="1416"/>
      <c r="L659" s="1416"/>
      <c r="M659" s="1416"/>
      <c r="N659" s="1416"/>
      <c r="O659" s="1416"/>
      <c r="P659" s="1416"/>
      <c r="Q659" s="1416"/>
      <c r="R659" s="1416"/>
      <c r="T659" s="55" t="s">
        <v>584</v>
      </c>
      <c r="U659" t="s">
        <v>463</v>
      </c>
      <c r="Z659" s="1416" t="str">
        <f>C632</f>
        <v>Deferred Developer Fee</v>
      </c>
      <c r="AA659" s="1416"/>
      <c r="AB659" s="1416"/>
      <c r="AC659" s="1416"/>
      <c r="AD659" s="1416"/>
      <c r="AE659" s="1416"/>
      <c r="AF659" s="1416"/>
      <c r="AG659" s="1416"/>
      <c r="AH659" s="1416"/>
      <c r="AI659" s="1416"/>
      <c r="AJ659" s="1416"/>
      <c r="AK659" s="1416"/>
      <c r="AZ659" s="34"/>
      <c r="BA659" s="34"/>
      <c r="BB659" s="34"/>
      <c r="BC659" s="34"/>
      <c r="BD659" s="34"/>
      <c r="BE659" s="34"/>
      <c r="BF659" s="34"/>
      <c r="BG659" s="34"/>
      <c r="BH659" s="34"/>
      <c r="BI659" s="34"/>
      <c r="BJ659" s="34"/>
      <c r="BK659" s="34"/>
      <c r="BL659" s="34"/>
      <c r="BM659" s="34"/>
      <c r="DX659" s="1462" t="e">
        <f t="shared" si="2"/>
        <v>#VALUE!</v>
      </c>
      <c r="DY659" s="1462"/>
      <c r="DZ659" s="1462"/>
      <c r="EA659" s="1462"/>
      <c r="EB659" s="1462"/>
      <c r="EC659" s="1462" t="e">
        <f t="shared" si="3"/>
        <v>#VALUE!</v>
      </c>
      <c r="ED659" s="1462"/>
      <c r="EE659" s="1462"/>
      <c r="EF659" s="1462"/>
      <c r="EG659" s="1462"/>
      <c r="EH659" s="1462" t="e">
        <f t="shared" si="4"/>
        <v>#VALUE!</v>
      </c>
      <c r="EI659" s="1462"/>
      <c r="EJ659" s="1462"/>
      <c r="EK659" s="1462"/>
      <c r="EL659" s="1462"/>
      <c r="EM659" s="1462" t="e">
        <f t="shared" si="5"/>
        <v>#VALUE!</v>
      </c>
      <c r="EN659" s="1462"/>
      <c r="EO659" s="1462"/>
      <c r="EP659" s="1462"/>
      <c r="EQ659" s="1462"/>
      <c r="ER659" s="1462" t="e">
        <f t="shared" si="6"/>
        <v>#VALUE!</v>
      </c>
      <c r="ES659" s="1462"/>
      <c r="ET659" s="1462"/>
      <c r="EU659" s="1462"/>
      <c r="EV659" s="1462"/>
      <c r="EW659" s="1462" t="e">
        <f t="shared" si="7"/>
        <v>#VALUE!</v>
      </c>
      <c r="EX659" s="1462"/>
      <c r="EY659" s="1462"/>
      <c r="EZ659" s="1462"/>
      <c r="FA659" s="1462"/>
    </row>
    <row r="660" spans="1:157" ht="12.95" customHeight="1">
      <c r="A660" s="22"/>
      <c r="B660" t="s">
        <v>85</v>
      </c>
      <c r="G660" s="1348" t="s">
        <v>2736</v>
      </c>
      <c r="H660" s="1348"/>
      <c r="I660" s="1348"/>
      <c r="J660" s="1348"/>
      <c r="K660" s="1348"/>
      <c r="L660" s="1348"/>
      <c r="M660" s="1348"/>
      <c r="N660" s="1348"/>
      <c r="O660" s="1348"/>
      <c r="P660" s="1348"/>
      <c r="Q660" s="1348"/>
      <c r="R660" s="1348"/>
      <c r="T660" s="22"/>
      <c r="U660" t="s">
        <v>85</v>
      </c>
      <c r="Z660" s="1348" t="s">
        <v>2618</v>
      </c>
      <c r="AA660" s="1348"/>
      <c r="AB660" s="1348"/>
      <c r="AC660" s="1348"/>
      <c r="AD660" s="1348"/>
      <c r="AE660" s="1348"/>
      <c r="AF660" s="1348"/>
      <c r="AG660" s="1348"/>
      <c r="AH660" s="1348"/>
      <c r="AI660" s="1348"/>
      <c r="AJ660" s="1348"/>
      <c r="AK660" s="1348"/>
      <c r="AZ660" s="34"/>
      <c r="BA660" s="34"/>
      <c r="BB660" s="34"/>
      <c r="BC660" s="34"/>
      <c r="BD660" s="34"/>
      <c r="BE660" s="34"/>
      <c r="BF660" s="34"/>
      <c r="BG660" s="34"/>
      <c r="BH660" s="34"/>
      <c r="BI660" s="34"/>
      <c r="BJ660" s="34"/>
      <c r="BK660" s="34"/>
      <c r="BL660" s="34"/>
      <c r="BM660" s="34"/>
      <c r="DX660" s="1462" t="e">
        <f t="shared" si="2"/>
        <v>#VALUE!</v>
      </c>
      <c r="DY660" s="1462"/>
      <c r="DZ660" s="1462"/>
      <c r="EA660" s="1462"/>
      <c r="EB660" s="1462"/>
      <c r="EC660" s="1462" t="e">
        <f t="shared" si="3"/>
        <v>#VALUE!</v>
      </c>
      <c r="ED660" s="1462"/>
      <c r="EE660" s="1462"/>
      <c r="EF660" s="1462"/>
      <c r="EG660" s="1462"/>
      <c r="EH660" s="1462" t="e">
        <f t="shared" si="4"/>
        <v>#VALUE!</v>
      </c>
      <c r="EI660" s="1462"/>
      <c r="EJ660" s="1462"/>
      <c r="EK660" s="1462"/>
      <c r="EL660" s="1462"/>
      <c r="EM660" s="1462" t="e">
        <f t="shared" si="5"/>
        <v>#VALUE!</v>
      </c>
      <c r="EN660" s="1462"/>
      <c r="EO660" s="1462"/>
      <c r="EP660" s="1462"/>
      <c r="EQ660" s="1462"/>
      <c r="ER660" s="1462" t="e">
        <f t="shared" si="6"/>
        <v>#VALUE!</v>
      </c>
      <c r="ES660" s="1462"/>
      <c r="ET660" s="1462"/>
      <c r="EU660" s="1462"/>
      <c r="EV660" s="1462"/>
      <c r="EW660" s="1462" t="e">
        <f t="shared" si="7"/>
        <v>#VALUE!</v>
      </c>
      <c r="EX660" s="1462"/>
      <c r="EY660" s="1462"/>
      <c r="EZ660" s="1462"/>
      <c r="FA660" s="1462"/>
    </row>
    <row r="661" spans="1:157" ht="12.95" customHeight="1">
      <c r="A661" s="22"/>
      <c r="B661" t="s">
        <v>580</v>
      </c>
      <c r="G661" s="1348" t="s">
        <v>2738</v>
      </c>
      <c r="H661" s="1348"/>
      <c r="I661" s="1348"/>
      <c r="J661" s="1348"/>
      <c r="K661" s="1348"/>
      <c r="L661" s="1348"/>
      <c r="M661" s="1348"/>
      <c r="N661" s="1348"/>
      <c r="O661" s="1348"/>
      <c r="P661" s="1348"/>
      <c r="Q661" s="1348"/>
      <c r="R661" s="1348"/>
      <c r="T661" s="22"/>
      <c r="U661" t="s">
        <v>580</v>
      </c>
      <c r="Z661" s="1461" t="s">
        <v>2637</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462" t="e">
        <f t="shared" si="2"/>
        <v>#VALUE!</v>
      </c>
      <c r="DY661" s="1462"/>
      <c r="DZ661" s="1462"/>
      <c r="EA661" s="1462"/>
      <c r="EB661" s="1462"/>
      <c r="EC661" s="1462" t="e">
        <f t="shared" si="3"/>
        <v>#VALUE!</v>
      </c>
      <c r="ED661" s="1462"/>
      <c r="EE661" s="1462"/>
      <c r="EF661" s="1462"/>
      <c r="EG661" s="1462"/>
      <c r="EH661" s="1462" t="e">
        <f t="shared" si="4"/>
        <v>#VALUE!</v>
      </c>
      <c r="EI661" s="1462"/>
      <c r="EJ661" s="1462"/>
      <c r="EK661" s="1462"/>
      <c r="EL661" s="1462"/>
      <c r="EM661" s="1462" t="e">
        <f t="shared" si="5"/>
        <v>#VALUE!</v>
      </c>
      <c r="EN661" s="1462"/>
      <c r="EO661" s="1462"/>
      <c r="EP661" s="1462"/>
      <c r="EQ661" s="1462"/>
      <c r="ER661" s="1462" t="e">
        <f t="shared" si="6"/>
        <v>#VALUE!</v>
      </c>
      <c r="ES661" s="1462"/>
      <c r="ET661" s="1462"/>
      <c r="EU661" s="1462"/>
      <c r="EV661" s="1462"/>
      <c r="EW661" s="1462" t="e">
        <f t="shared" si="7"/>
        <v>#VALUE!</v>
      </c>
      <c r="EX661" s="1462"/>
      <c r="EY661" s="1462"/>
      <c r="EZ661" s="1462"/>
      <c r="FA661" s="1462"/>
    </row>
    <row r="662" spans="1:157" ht="12.95" customHeight="1">
      <c r="A662" s="22"/>
      <c r="B662" t="s">
        <v>17</v>
      </c>
      <c r="G662" s="1348" t="s">
        <v>2737</v>
      </c>
      <c r="H662" s="1348"/>
      <c r="I662" s="1348"/>
      <c r="J662" s="1348"/>
      <c r="K662" s="1348"/>
      <c r="L662" s="1348"/>
      <c r="M662" s="1348"/>
      <c r="N662" s="1348"/>
      <c r="O662" s="1348"/>
      <c r="P662" s="1348"/>
      <c r="Q662" s="1348"/>
      <c r="R662" s="1348"/>
      <c r="T662" s="22"/>
      <c r="U662" t="s">
        <v>17</v>
      </c>
      <c r="Z662" s="1522" t="s">
        <v>2612</v>
      </c>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2" t="e">
        <f t="shared" si="2"/>
        <v>#VALUE!</v>
      </c>
      <c r="DY662" s="1462"/>
      <c r="DZ662" s="1462"/>
      <c r="EA662" s="1462"/>
      <c r="EB662" s="1462"/>
      <c r="EC662" s="1462" t="e">
        <f t="shared" si="3"/>
        <v>#VALUE!</v>
      </c>
      <c r="ED662" s="1462"/>
      <c r="EE662" s="1462"/>
      <c r="EF662" s="1462"/>
      <c r="EG662" s="1462"/>
      <c r="EH662" s="1462" t="e">
        <f t="shared" si="4"/>
        <v>#VALUE!</v>
      </c>
      <c r="EI662" s="1462"/>
      <c r="EJ662" s="1462"/>
      <c r="EK662" s="1462"/>
      <c r="EL662" s="1462"/>
      <c r="EM662" s="1462" t="e">
        <f t="shared" si="5"/>
        <v>#VALUE!</v>
      </c>
      <c r="EN662" s="1462"/>
      <c r="EO662" s="1462"/>
      <c r="EP662" s="1462"/>
      <c r="EQ662" s="1462"/>
      <c r="ER662" s="1462" t="e">
        <f t="shared" si="6"/>
        <v>#VALUE!</v>
      </c>
      <c r="ES662" s="1462"/>
      <c r="ET662" s="1462"/>
      <c r="EU662" s="1462"/>
      <c r="EV662" s="1462"/>
      <c r="EW662" s="1462" t="e">
        <f t="shared" si="7"/>
        <v>#VALUE!</v>
      </c>
      <c r="EX662" s="1462"/>
      <c r="EY662" s="1462"/>
      <c r="EZ662" s="1462"/>
      <c r="FA662" s="1462"/>
    </row>
    <row r="663" spans="1:157" ht="12.95" customHeight="1">
      <c r="A663" s="22"/>
      <c r="B663" t="s">
        <v>315</v>
      </c>
      <c r="G663" s="1415">
        <v>4083104637</v>
      </c>
      <c r="H663" s="1415"/>
      <c r="I663" s="1415"/>
      <c r="J663" s="1415"/>
      <c r="K663" s="1415"/>
      <c r="L663" s="1415"/>
      <c r="O663" s="33" t="s">
        <v>205</v>
      </c>
      <c r="P663" s="1460"/>
      <c r="Q663" s="1460"/>
      <c r="R663" s="1460"/>
      <c r="T663" s="22"/>
      <c r="U663" t="s">
        <v>315</v>
      </c>
      <c r="Z663" s="1415">
        <v>5102478103</v>
      </c>
      <c r="AA663" s="1415"/>
      <c r="AB663" s="1415"/>
      <c r="AC663" s="1415"/>
      <c r="AD663" s="1415"/>
      <c r="AE663" s="1415"/>
      <c r="AH663" s="33" t="s">
        <v>205</v>
      </c>
      <c r="AI663" s="1460"/>
      <c r="AJ663" s="1460"/>
      <c r="AK663" s="146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2" t="e">
        <f t="shared" si="2"/>
        <v>#VALUE!</v>
      </c>
      <c r="DY663" s="1462"/>
      <c r="DZ663" s="1462"/>
      <c r="EA663" s="1462"/>
      <c r="EB663" s="1462"/>
      <c r="EC663" s="1462" t="e">
        <f t="shared" si="3"/>
        <v>#VALUE!</v>
      </c>
      <c r="ED663" s="1462"/>
      <c r="EE663" s="1462"/>
      <c r="EF663" s="1462"/>
      <c r="EG663" s="1462"/>
      <c r="EH663" s="1462" t="e">
        <f t="shared" si="4"/>
        <v>#VALUE!</v>
      </c>
      <c r="EI663" s="1462"/>
      <c r="EJ663" s="1462"/>
      <c r="EK663" s="1462"/>
      <c r="EL663" s="1462"/>
      <c r="EM663" s="1462" t="e">
        <f t="shared" si="5"/>
        <v>#VALUE!</v>
      </c>
      <c r="EN663" s="1462"/>
      <c r="EO663" s="1462"/>
      <c r="EP663" s="1462"/>
      <c r="EQ663" s="1462"/>
      <c r="ER663" s="1462" t="e">
        <f t="shared" si="6"/>
        <v>#VALUE!</v>
      </c>
      <c r="ES663" s="1462"/>
      <c r="ET663" s="1462"/>
      <c r="EU663" s="1462"/>
      <c r="EV663" s="1462"/>
      <c r="EW663" s="1462" t="e">
        <f t="shared" si="7"/>
        <v>#VALUE!</v>
      </c>
      <c r="EX663" s="1462"/>
      <c r="EY663" s="1462"/>
      <c r="EZ663" s="1462"/>
      <c r="FA663" s="1462"/>
    </row>
    <row r="664" spans="1:157" ht="12.95" customHeight="1">
      <c r="A664" s="22"/>
      <c r="B664" t="s">
        <v>18</v>
      </c>
      <c r="H664" s="1348" t="s">
        <v>2735</v>
      </c>
      <c r="I664" s="1348"/>
      <c r="J664" s="1348"/>
      <c r="K664" s="1348"/>
      <c r="L664" s="1348"/>
      <c r="M664" s="1348"/>
      <c r="N664" s="1348"/>
      <c r="O664" s="1348"/>
      <c r="P664" s="1348"/>
      <c r="Q664" s="1348"/>
      <c r="R664" s="1348"/>
      <c r="T664" s="22"/>
      <c r="U664" t="s">
        <v>18</v>
      </c>
      <c r="AA664" s="1348" t="s">
        <v>2324</v>
      </c>
      <c r="AB664" s="1348"/>
      <c r="AC664" s="1348"/>
      <c r="AD664" s="1348"/>
      <c r="AE664" s="1348"/>
      <c r="AF664" s="1348"/>
      <c r="AG664" s="1348"/>
      <c r="AH664" s="1348"/>
      <c r="AI664" s="1348"/>
      <c r="AJ664" s="1348"/>
      <c r="AK664" s="134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2" t="e">
        <f t="shared" si="2"/>
        <v>#VALUE!</v>
      </c>
      <c r="DY664" s="1462"/>
      <c r="DZ664" s="1462"/>
      <c r="EA664" s="1462"/>
      <c r="EB664" s="1462"/>
      <c r="EC664" s="1462" t="e">
        <f t="shared" si="3"/>
        <v>#VALUE!</v>
      </c>
      <c r="ED664" s="1462"/>
      <c r="EE664" s="1462"/>
      <c r="EF664" s="1462"/>
      <c r="EG664" s="1462"/>
      <c r="EH664" s="1462" t="e">
        <f t="shared" si="4"/>
        <v>#VALUE!</v>
      </c>
      <c r="EI664" s="1462"/>
      <c r="EJ664" s="1462"/>
      <c r="EK664" s="1462"/>
      <c r="EL664" s="1462"/>
      <c r="EM664" s="1462" t="e">
        <f t="shared" si="5"/>
        <v>#VALUE!</v>
      </c>
      <c r="EN664" s="1462"/>
      <c r="EO664" s="1462"/>
      <c r="EP664" s="1462"/>
      <c r="EQ664" s="1462"/>
      <c r="ER664" s="1462" t="e">
        <f t="shared" si="6"/>
        <v>#VALUE!</v>
      </c>
      <c r="ES664" s="1462"/>
      <c r="ET664" s="1462"/>
      <c r="EU664" s="1462"/>
      <c r="EV664" s="1462"/>
      <c r="EW664" s="1462" t="e">
        <f t="shared" si="7"/>
        <v>#VALUE!</v>
      </c>
      <c r="EX664" s="1462"/>
      <c r="EY664" s="1462"/>
      <c r="EZ664" s="1462"/>
      <c r="FA664" s="1462"/>
    </row>
    <row r="665" spans="1:157" ht="12.95" customHeight="1">
      <c r="A665" s="22"/>
      <c r="B665" t="s">
        <v>20</v>
      </c>
      <c r="N665" s="1334" t="s">
        <v>545</v>
      </c>
      <c r="O665" s="1334"/>
      <c r="T665" s="22"/>
      <c r="U665" t="s">
        <v>20</v>
      </c>
      <c r="AG665" s="1334" t="s">
        <v>545</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2" t="e">
        <f t="shared" si="2"/>
        <v>#VALUE!</v>
      </c>
      <c r="DY665" s="1462"/>
      <c r="DZ665" s="1462"/>
      <c r="EA665" s="1462"/>
      <c r="EB665" s="1462"/>
      <c r="EC665" s="1462" t="e">
        <f t="shared" si="3"/>
        <v>#VALUE!</v>
      </c>
      <c r="ED665" s="1462"/>
      <c r="EE665" s="1462"/>
      <c r="EF665" s="1462"/>
      <c r="EG665" s="1462"/>
      <c r="EH665" s="1462" t="e">
        <f t="shared" si="4"/>
        <v>#VALUE!</v>
      </c>
      <c r="EI665" s="1462"/>
      <c r="EJ665" s="1462"/>
      <c r="EK665" s="1462"/>
      <c r="EL665" s="1462"/>
      <c r="EM665" s="1462" t="e">
        <f t="shared" si="5"/>
        <v>#VALUE!</v>
      </c>
      <c r="EN665" s="1462"/>
      <c r="EO665" s="1462"/>
      <c r="EP665" s="1462"/>
      <c r="EQ665" s="1462"/>
      <c r="ER665" s="1462" t="e">
        <f t="shared" si="6"/>
        <v>#VALUE!</v>
      </c>
      <c r="ES665" s="1462"/>
      <c r="ET665" s="1462"/>
      <c r="EU665" s="1462"/>
      <c r="EV665" s="1462"/>
      <c r="EW665" s="1462" t="e">
        <f t="shared" si="7"/>
        <v>#VALUE!</v>
      </c>
      <c r="EX665" s="1462"/>
      <c r="EY665" s="1462"/>
      <c r="EZ665" s="1462"/>
      <c r="FA665" s="1462"/>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2" t="e">
        <f t="shared" si="2"/>
        <v>#VALUE!</v>
      </c>
      <c r="DY666" s="1462"/>
      <c r="DZ666" s="1462"/>
      <c r="EA666" s="1462"/>
      <c r="EB666" s="1462"/>
      <c r="EC666" s="1462" t="e">
        <f t="shared" si="3"/>
        <v>#VALUE!</v>
      </c>
      <c r="ED666" s="1462"/>
      <c r="EE666" s="1462"/>
      <c r="EF666" s="1462"/>
      <c r="EG666" s="1462"/>
      <c r="EH666" s="1462" t="e">
        <f t="shared" si="4"/>
        <v>#VALUE!</v>
      </c>
      <c r="EI666" s="1462"/>
      <c r="EJ666" s="1462"/>
      <c r="EK666" s="1462"/>
      <c r="EL666" s="1462"/>
      <c r="EM666" s="1462" t="e">
        <f t="shared" si="5"/>
        <v>#VALUE!</v>
      </c>
      <c r="EN666" s="1462"/>
      <c r="EO666" s="1462"/>
      <c r="EP666" s="1462"/>
      <c r="EQ666" s="1462"/>
      <c r="ER666" s="1462" t="e">
        <f t="shared" si="6"/>
        <v>#VALUE!</v>
      </c>
      <c r="ES666" s="1462"/>
      <c r="ET666" s="1462"/>
      <c r="EU666" s="1462"/>
      <c r="EV666" s="1462"/>
      <c r="EW666" s="1462" t="e">
        <f t="shared" si="7"/>
        <v>#VALUE!</v>
      </c>
      <c r="EX666" s="1462"/>
      <c r="EY666" s="1462"/>
      <c r="EZ666" s="1462"/>
      <c r="FA666" s="1462"/>
    </row>
    <row r="667" spans="1:157" ht="12.95" customHeight="1">
      <c r="A667" s="55" t="s">
        <v>455</v>
      </c>
      <c r="B667" t="s">
        <v>463</v>
      </c>
      <c r="G667" s="1416">
        <f>C633</f>
        <v>0</v>
      </c>
      <c r="H667" s="1416"/>
      <c r="I667" s="1416"/>
      <c r="J667" s="1416"/>
      <c r="K667" s="1416"/>
      <c r="L667" s="1416"/>
      <c r="M667" s="1416"/>
      <c r="N667" s="1416"/>
      <c r="O667" s="1416"/>
      <c r="P667" s="1416"/>
      <c r="Q667" s="1416"/>
      <c r="R667" s="1416"/>
      <c r="T667" s="55" t="s">
        <v>456</v>
      </c>
      <c r="U667" t="s">
        <v>463</v>
      </c>
      <c r="Z667" s="1416">
        <f>C634</f>
        <v>0</v>
      </c>
      <c r="AA667" s="1416"/>
      <c r="AB667" s="1416"/>
      <c r="AC667" s="1416"/>
      <c r="AD667" s="1416"/>
      <c r="AE667" s="1416"/>
      <c r="AF667" s="1416"/>
      <c r="AG667" s="1416"/>
      <c r="AH667" s="1416"/>
      <c r="AI667" s="1416"/>
      <c r="AJ667" s="1416"/>
      <c r="AK667" s="141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2" t="e">
        <f t="shared" si="2"/>
        <v>#VALUE!</v>
      </c>
      <c r="DY667" s="1462"/>
      <c r="DZ667" s="1462"/>
      <c r="EA667" s="1462"/>
      <c r="EB667" s="1462"/>
      <c r="EC667" s="1462" t="e">
        <f t="shared" si="3"/>
        <v>#VALUE!</v>
      </c>
      <c r="ED667" s="1462"/>
      <c r="EE667" s="1462"/>
      <c r="EF667" s="1462"/>
      <c r="EG667" s="1462"/>
      <c r="EH667" s="1462" t="e">
        <f t="shared" si="4"/>
        <v>#VALUE!</v>
      </c>
      <c r="EI667" s="1462"/>
      <c r="EJ667" s="1462"/>
      <c r="EK667" s="1462"/>
      <c r="EL667" s="1462"/>
      <c r="EM667" s="1462" t="e">
        <f t="shared" si="5"/>
        <v>#VALUE!</v>
      </c>
      <c r="EN667" s="1462"/>
      <c r="EO667" s="1462"/>
      <c r="EP667" s="1462"/>
      <c r="EQ667" s="1462"/>
      <c r="ER667" s="1462" t="e">
        <f t="shared" si="6"/>
        <v>#VALUE!</v>
      </c>
      <c r="ES667" s="1462"/>
      <c r="ET667" s="1462"/>
      <c r="EU667" s="1462"/>
      <c r="EV667" s="1462"/>
      <c r="EW667" s="1462" t="e">
        <f t="shared" si="7"/>
        <v>#VALUE!</v>
      </c>
      <c r="EX667" s="1462"/>
      <c r="EY667" s="1462"/>
      <c r="EZ667" s="1462"/>
      <c r="FA667" s="1462"/>
    </row>
    <row r="668" spans="1:157" ht="12.95" customHeight="1">
      <c r="A668" s="22"/>
      <c r="B668" t="s">
        <v>85</v>
      </c>
      <c r="G668" s="1348"/>
      <c r="H668" s="1348"/>
      <c r="I668" s="1348"/>
      <c r="J668" s="1348"/>
      <c r="K668" s="1348"/>
      <c r="L668" s="1348"/>
      <c r="M668" s="1348"/>
      <c r="N668" s="1348"/>
      <c r="O668" s="1348"/>
      <c r="P668" s="1348"/>
      <c r="Q668" s="1348"/>
      <c r="R668" s="1348"/>
      <c r="T668" s="22"/>
      <c r="U668" t="s">
        <v>85</v>
      </c>
      <c r="Z668" s="1348"/>
      <c r="AA668" s="1348"/>
      <c r="AB668" s="1348"/>
      <c r="AC668" s="1348"/>
      <c r="AD668" s="1348"/>
      <c r="AE668" s="1348"/>
      <c r="AF668" s="1348"/>
      <c r="AG668" s="1348"/>
      <c r="AH668" s="1348"/>
      <c r="AI668" s="1348"/>
      <c r="AJ668" s="1348"/>
      <c r="AK668" s="134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2" t="e">
        <f t="shared" si="2"/>
        <v>#VALUE!</v>
      </c>
      <c r="DY668" s="1462"/>
      <c r="DZ668" s="1462"/>
      <c r="EA668" s="1462"/>
      <c r="EB668" s="1462"/>
      <c r="EC668" s="1462" t="e">
        <f t="shared" si="3"/>
        <v>#VALUE!</v>
      </c>
      <c r="ED668" s="1462"/>
      <c r="EE668" s="1462"/>
      <c r="EF668" s="1462"/>
      <c r="EG668" s="1462"/>
      <c r="EH668" s="1462" t="e">
        <f t="shared" si="4"/>
        <v>#VALUE!</v>
      </c>
      <c r="EI668" s="1462"/>
      <c r="EJ668" s="1462"/>
      <c r="EK668" s="1462"/>
      <c r="EL668" s="1462"/>
      <c r="EM668" s="1462" t="e">
        <f t="shared" si="5"/>
        <v>#VALUE!</v>
      </c>
      <c r="EN668" s="1462"/>
      <c r="EO668" s="1462"/>
      <c r="EP668" s="1462"/>
      <c r="EQ668" s="1462"/>
      <c r="ER668" s="1462" t="e">
        <f t="shared" si="6"/>
        <v>#VALUE!</v>
      </c>
      <c r="ES668" s="1462"/>
      <c r="ET668" s="1462"/>
      <c r="EU668" s="1462"/>
      <c r="EV668" s="1462"/>
      <c r="EW668" s="1462" t="e">
        <f t="shared" si="7"/>
        <v>#VALUE!</v>
      </c>
      <c r="EX668" s="1462"/>
      <c r="EY668" s="1462"/>
      <c r="EZ668" s="1462"/>
      <c r="FA668" s="1462"/>
    </row>
    <row r="669" spans="1:157" ht="12.95" customHeight="1">
      <c r="A669" s="22"/>
      <c r="B669" t="s">
        <v>580</v>
      </c>
      <c r="G669" s="1348"/>
      <c r="H669" s="1348"/>
      <c r="I669" s="1348"/>
      <c r="J669" s="1348"/>
      <c r="K669" s="1348"/>
      <c r="L669" s="1348"/>
      <c r="M669" s="1348"/>
      <c r="N669" s="1348"/>
      <c r="O669" s="1348"/>
      <c r="P669" s="1348"/>
      <c r="Q669" s="1348"/>
      <c r="R669" s="1348"/>
      <c r="T669" s="22"/>
      <c r="U669" t="s">
        <v>580</v>
      </c>
      <c r="Z669" s="1461"/>
      <c r="AA669" s="1461"/>
      <c r="AB669" s="1461"/>
      <c r="AC669" s="1461"/>
      <c r="AD669" s="1461"/>
      <c r="AE669" s="1461"/>
      <c r="AF669" s="1461"/>
      <c r="AG669" s="1461"/>
      <c r="AH669" s="1461"/>
      <c r="AI669" s="1461"/>
      <c r="AJ669" s="1461"/>
      <c r="AK669" s="146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2" t="e">
        <f t="shared" si="2"/>
        <v>#VALUE!</v>
      </c>
      <c r="DY669" s="1462"/>
      <c r="DZ669" s="1462"/>
      <c r="EA669" s="1462"/>
      <c r="EB669" s="1462"/>
      <c r="EC669" s="1462" t="e">
        <f t="shared" si="3"/>
        <v>#VALUE!</v>
      </c>
      <c r="ED669" s="1462"/>
      <c r="EE669" s="1462"/>
      <c r="EF669" s="1462"/>
      <c r="EG669" s="1462"/>
      <c r="EH669" s="1462" t="e">
        <f t="shared" si="4"/>
        <v>#VALUE!</v>
      </c>
      <c r="EI669" s="1462"/>
      <c r="EJ669" s="1462"/>
      <c r="EK669" s="1462"/>
      <c r="EL669" s="1462"/>
      <c r="EM669" s="1462" t="e">
        <f t="shared" si="5"/>
        <v>#VALUE!</v>
      </c>
      <c r="EN669" s="1462"/>
      <c r="EO669" s="1462"/>
      <c r="EP669" s="1462"/>
      <c r="EQ669" s="1462"/>
      <c r="ER669" s="1462" t="e">
        <f t="shared" si="6"/>
        <v>#VALUE!</v>
      </c>
      <c r="ES669" s="1462"/>
      <c r="ET669" s="1462"/>
      <c r="EU669" s="1462"/>
      <c r="EV669" s="1462"/>
      <c r="EW669" s="1462" t="e">
        <f t="shared" si="7"/>
        <v>#VALUE!</v>
      </c>
      <c r="EX669" s="1462"/>
      <c r="EY669" s="1462"/>
      <c r="EZ669" s="1462"/>
      <c r="FA669" s="1462"/>
    </row>
    <row r="670" spans="1:157" ht="12.95" customHeight="1">
      <c r="A670" s="22"/>
      <c r="B670" t="s">
        <v>17</v>
      </c>
      <c r="G670" s="1348"/>
      <c r="H670" s="1348"/>
      <c r="I670" s="1348"/>
      <c r="J670" s="1348"/>
      <c r="K670" s="1348"/>
      <c r="L670" s="1348"/>
      <c r="M670" s="1348"/>
      <c r="N670" s="1348"/>
      <c r="O670" s="1348"/>
      <c r="P670" s="1348"/>
      <c r="Q670" s="1348"/>
      <c r="R670" s="1348"/>
      <c r="T670" s="22"/>
      <c r="U670" t="s">
        <v>17</v>
      </c>
      <c r="Z670" s="1461"/>
      <c r="AA670" s="1461"/>
      <c r="AB670" s="1461"/>
      <c r="AC670" s="1461"/>
      <c r="AD670" s="1461"/>
      <c r="AE670" s="1461"/>
      <c r="AF670" s="1461"/>
      <c r="AG670" s="1461"/>
      <c r="AH670" s="1461"/>
      <c r="AI670" s="1461"/>
      <c r="AJ670" s="1461"/>
      <c r="AK670" s="146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2">
        <f>SUMIF(DX635:EB669,"&gt;0")</f>
        <v>1090</v>
      </c>
      <c r="DY670" s="1462"/>
      <c r="DZ670" s="1462"/>
      <c r="EA670" s="1462"/>
      <c r="EB670" s="1462"/>
      <c r="EC670" s="1462">
        <f>SUMIF(EC635:EG669,"&gt;0")</f>
        <v>1625.8125</v>
      </c>
      <c r="ED670" s="1462"/>
      <c r="EE670" s="1462"/>
      <c r="EF670" s="1462"/>
      <c r="EG670" s="1462"/>
      <c r="EH670" s="1462">
        <f>SUMIF(EH635:EL669,"&gt;0")</f>
        <v>1407.8235294117649</v>
      </c>
      <c r="EI670" s="1462"/>
      <c r="EJ670" s="1462"/>
      <c r="EK670" s="1462"/>
      <c r="EL670" s="1462"/>
      <c r="EM670" s="1462">
        <f>SUMIF(EM635:EQ669,"&gt;0")</f>
        <v>1842.1764705882354</v>
      </c>
      <c r="EN670" s="1462"/>
      <c r="EO670" s="1462"/>
      <c r="EP670" s="1462"/>
      <c r="EQ670" s="1462"/>
      <c r="ER670" s="1462">
        <f>SUMIF(ER635:EV669,"&gt;0")</f>
        <v>0</v>
      </c>
      <c r="ES670" s="1462"/>
      <c r="ET670" s="1462"/>
      <c r="EU670" s="1462"/>
      <c r="EV670" s="1462"/>
      <c r="EW670" s="1462">
        <f>SUMIF(EW635:FA669,"&gt;0")</f>
        <v>0</v>
      </c>
      <c r="EX670" s="1462"/>
      <c r="EY670" s="1462"/>
      <c r="EZ670" s="1462"/>
      <c r="FA670" s="1462"/>
    </row>
    <row r="671" spans="1:157" ht="12.95" customHeight="1">
      <c r="A671" s="22"/>
      <c r="B671" t="s">
        <v>315</v>
      </c>
      <c r="G671" s="1415"/>
      <c r="H671" s="1415"/>
      <c r="I671" s="1415"/>
      <c r="J671" s="1415"/>
      <c r="K671" s="1415"/>
      <c r="L671" s="1415"/>
      <c r="O671" s="33" t="s">
        <v>205</v>
      </c>
      <c r="P671" s="1460"/>
      <c r="Q671" s="1460"/>
      <c r="R671" s="1460"/>
      <c r="T671" s="22"/>
      <c r="U671" t="s">
        <v>315</v>
      </c>
      <c r="Z671" s="1415"/>
      <c r="AA671" s="1415"/>
      <c r="AB671" s="1415"/>
      <c r="AC671" s="1415"/>
      <c r="AD671" s="1415"/>
      <c r="AE671" s="1415"/>
      <c r="AH671" s="33" t="s">
        <v>205</v>
      </c>
      <c r="AI671" s="1460"/>
      <c r="AJ671" s="1460"/>
      <c r="AK671" s="146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48"/>
      <c r="I672" s="1348"/>
      <c r="J672" s="1348"/>
      <c r="K672" s="1348"/>
      <c r="L672" s="1348"/>
      <c r="M672" s="1348"/>
      <c r="N672" s="1348"/>
      <c r="O672" s="1348"/>
      <c r="P672" s="1348"/>
      <c r="Q672" s="1348"/>
      <c r="R672" s="1348"/>
      <c r="T672" s="22"/>
      <c r="U672" t="s">
        <v>18</v>
      </c>
      <c r="AA672" s="1348"/>
      <c r="AB672" s="1348"/>
      <c r="AC672" s="1348"/>
      <c r="AD672" s="1348"/>
      <c r="AE672" s="1348"/>
      <c r="AF672" s="1348"/>
      <c r="AG672" s="1348"/>
      <c r="AH672" s="1348"/>
      <c r="AI672" s="1348"/>
      <c r="AJ672" s="1348"/>
      <c r="AK672" s="134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669</v>
      </c>
      <c r="O673" s="1334"/>
      <c r="T673" s="22"/>
      <c r="U673" t="s">
        <v>20</v>
      </c>
      <c r="AG673" s="1334" t="s">
        <v>669</v>
      </c>
      <c r="AH673" s="1334"/>
      <c r="AZ673" s="3"/>
    </row>
    <row r="674" spans="1:52" ht="12.95" customHeight="1">
      <c r="A674" s="22"/>
      <c r="T674" s="22"/>
      <c r="AZ674" s="3"/>
    </row>
    <row r="675" spans="1:52" ht="12.95" customHeight="1">
      <c r="A675" s="55" t="s">
        <v>461</v>
      </c>
      <c r="B675" t="s">
        <v>463</v>
      </c>
      <c r="G675" s="1416">
        <f>C635</f>
        <v>0</v>
      </c>
      <c r="H675" s="1416"/>
      <c r="I675" s="1416"/>
      <c r="J675" s="1416"/>
      <c r="K675" s="1416"/>
      <c r="L675" s="1416"/>
      <c r="M675" s="1416"/>
      <c r="N675" s="1416"/>
      <c r="O675" s="1416"/>
      <c r="P675" s="1416"/>
      <c r="Q675" s="1416"/>
      <c r="R675" s="1416"/>
      <c r="T675" s="55" t="s">
        <v>646</v>
      </c>
      <c r="U675" t="s">
        <v>463</v>
      </c>
      <c r="Z675" s="1416">
        <f>C636</f>
        <v>0</v>
      </c>
      <c r="AA675" s="1416"/>
      <c r="AB675" s="1416"/>
      <c r="AC675" s="1416"/>
      <c r="AD675" s="1416"/>
      <c r="AE675" s="1416"/>
      <c r="AF675" s="1416"/>
      <c r="AG675" s="1416"/>
      <c r="AH675" s="1416"/>
      <c r="AI675" s="1416"/>
      <c r="AJ675" s="1416"/>
      <c r="AK675" s="1416"/>
      <c r="AZ675" s="3"/>
    </row>
    <row r="676" spans="1:52" ht="12.95" customHeight="1">
      <c r="A676" s="22"/>
      <c r="B676" t="s">
        <v>85</v>
      </c>
      <c r="G676" s="1348"/>
      <c r="H676" s="1348"/>
      <c r="I676" s="1348"/>
      <c r="J676" s="1348"/>
      <c r="K676" s="1348"/>
      <c r="L676" s="1348"/>
      <c r="M676" s="1348"/>
      <c r="N676" s="1348"/>
      <c r="O676" s="1348"/>
      <c r="P676" s="1348"/>
      <c r="Q676" s="1348"/>
      <c r="R676" s="1348"/>
      <c r="T676" s="22"/>
      <c r="U676" t="s">
        <v>85</v>
      </c>
      <c r="Z676" s="1348"/>
      <c r="AA676" s="1348"/>
      <c r="AB676" s="1348"/>
      <c r="AC676" s="1348"/>
      <c r="AD676" s="1348"/>
      <c r="AE676" s="1348"/>
      <c r="AF676" s="1348"/>
      <c r="AG676" s="1348"/>
      <c r="AH676" s="1348"/>
      <c r="AI676" s="1348"/>
      <c r="AJ676" s="1348"/>
      <c r="AK676" s="1348"/>
      <c r="AZ676" s="3"/>
    </row>
    <row r="677" spans="1:52" ht="12.95" customHeight="1">
      <c r="A677" s="22"/>
      <c r="B677" t="s">
        <v>580</v>
      </c>
      <c r="G677" s="1348"/>
      <c r="H677" s="1348"/>
      <c r="I677" s="1348"/>
      <c r="J677" s="1348"/>
      <c r="K677" s="1348"/>
      <c r="L677" s="1348"/>
      <c r="M677" s="1348"/>
      <c r="N677" s="1348"/>
      <c r="O677" s="1348"/>
      <c r="P677" s="1348"/>
      <c r="Q677" s="1348"/>
      <c r="R677" s="1348"/>
      <c r="T677" s="22"/>
      <c r="U677" t="s">
        <v>580</v>
      </c>
      <c r="Z677" s="1461"/>
      <c r="AA677" s="1461"/>
      <c r="AB677" s="1461"/>
      <c r="AC677" s="1461"/>
      <c r="AD677" s="1461"/>
      <c r="AE677" s="1461"/>
      <c r="AF677" s="1461"/>
      <c r="AG677" s="1461"/>
      <c r="AH677" s="1461"/>
      <c r="AI677" s="1461"/>
      <c r="AJ677" s="1461"/>
      <c r="AK677" s="1461"/>
      <c r="AZ677" s="3"/>
    </row>
    <row r="678" spans="1:52" ht="12.95" customHeight="1">
      <c r="A678" s="22"/>
      <c r="B678" t="s">
        <v>17</v>
      </c>
      <c r="G678" s="1348"/>
      <c r="H678" s="1348"/>
      <c r="I678" s="1348"/>
      <c r="J678" s="1348"/>
      <c r="K678" s="1348"/>
      <c r="L678" s="1348"/>
      <c r="M678" s="1348"/>
      <c r="N678" s="1348"/>
      <c r="O678" s="1348"/>
      <c r="P678" s="1348"/>
      <c r="Q678" s="1348"/>
      <c r="R678" s="1348"/>
      <c r="T678" s="22"/>
      <c r="U678" t="s">
        <v>17</v>
      </c>
      <c r="Z678" s="1461"/>
      <c r="AA678" s="1461"/>
      <c r="AB678" s="1461"/>
      <c r="AC678" s="1461"/>
      <c r="AD678" s="1461"/>
      <c r="AE678" s="1461"/>
      <c r="AF678" s="1461"/>
      <c r="AG678" s="1461"/>
      <c r="AH678" s="1461"/>
      <c r="AI678" s="1461"/>
      <c r="AJ678" s="1461"/>
      <c r="AK678" s="1461"/>
      <c r="AZ678" s="3"/>
    </row>
    <row r="679" spans="1:52" ht="12.95" customHeight="1">
      <c r="A679" s="22"/>
      <c r="B679" t="s">
        <v>315</v>
      </c>
      <c r="G679" s="1415"/>
      <c r="H679" s="1415"/>
      <c r="I679" s="1415"/>
      <c r="J679" s="1415"/>
      <c r="K679" s="1415"/>
      <c r="L679" s="1415"/>
      <c r="O679" s="33" t="s">
        <v>205</v>
      </c>
      <c r="P679" s="1460"/>
      <c r="Q679" s="1460"/>
      <c r="R679" s="1460"/>
      <c r="T679" s="22"/>
      <c r="U679" t="s">
        <v>315</v>
      </c>
      <c r="Z679" s="1415"/>
      <c r="AA679" s="1415"/>
      <c r="AB679" s="1415"/>
      <c r="AC679" s="1415"/>
      <c r="AD679" s="1415"/>
      <c r="AE679" s="1415"/>
      <c r="AH679" s="33" t="s">
        <v>205</v>
      </c>
      <c r="AI679" s="1460"/>
      <c r="AJ679" s="1460"/>
      <c r="AK679" s="1460"/>
      <c r="AZ679" s="3"/>
    </row>
    <row r="680" spans="1:52" ht="12.95" customHeight="1">
      <c r="A680" s="22"/>
      <c r="B680" t="s">
        <v>18</v>
      </c>
      <c r="H680" s="1348"/>
      <c r="I680" s="1348"/>
      <c r="J680" s="1348"/>
      <c r="K680" s="1348"/>
      <c r="L680" s="1348"/>
      <c r="M680" s="1348"/>
      <c r="N680" s="1348"/>
      <c r="O680" s="1348"/>
      <c r="P680" s="1348"/>
      <c r="Q680" s="1348"/>
      <c r="R680" s="1348"/>
      <c r="T680" s="22"/>
      <c r="U680" t="s">
        <v>18</v>
      </c>
      <c r="AA680" s="1348"/>
      <c r="AB680" s="1348"/>
      <c r="AC680" s="1348"/>
      <c r="AD680" s="1348"/>
      <c r="AE680" s="1348"/>
      <c r="AF680" s="1348"/>
      <c r="AG680" s="1348"/>
      <c r="AH680" s="1348"/>
      <c r="AI680" s="1348"/>
      <c r="AJ680" s="1348"/>
      <c r="AK680" s="1348"/>
      <c r="AZ680" s="3"/>
    </row>
    <row r="681" spans="1:52" ht="12.95" customHeight="1">
      <c r="A681" s="22"/>
      <c r="B681" t="s">
        <v>20</v>
      </c>
      <c r="N681" s="1334" t="s">
        <v>669</v>
      </c>
      <c r="O681" s="1334"/>
      <c r="T681" s="22"/>
      <c r="U681" t="s">
        <v>20</v>
      </c>
      <c r="AG681" s="1334" t="s">
        <v>669</v>
      </c>
      <c r="AH681" s="1334"/>
      <c r="AZ681" s="3"/>
    </row>
    <row r="682" spans="1:52" ht="12.95" customHeight="1">
      <c r="A682" s="22"/>
      <c r="T682" s="22"/>
      <c r="AZ682" s="3"/>
    </row>
    <row r="683" spans="1:52" ht="12.95" customHeight="1">
      <c r="A683" s="55" t="s">
        <v>361</v>
      </c>
      <c r="B683" t="s">
        <v>463</v>
      </c>
      <c r="G683" s="1416">
        <f>C637</f>
        <v>0</v>
      </c>
      <c r="H683" s="1416"/>
      <c r="I683" s="1416"/>
      <c r="J683" s="1416"/>
      <c r="K683" s="1416"/>
      <c r="L683" s="1416"/>
      <c r="M683" s="1416"/>
      <c r="N683" s="1416"/>
      <c r="O683" s="1416"/>
      <c r="P683" s="1416"/>
      <c r="Q683" s="1416"/>
      <c r="R683" s="1416"/>
      <c r="T683" s="55" t="s">
        <v>362</v>
      </c>
      <c r="U683" t="s">
        <v>463</v>
      </c>
      <c r="Z683" s="1416">
        <f>C638</f>
        <v>0</v>
      </c>
      <c r="AA683" s="1416"/>
      <c r="AB683" s="1416"/>
      <c r="AC683" s="1416"/>
      <c r="AD683" s="1416"/>
      <c r="AE683" s="1416"/>
      <c r="AF683" s="1416"/>
      <c r="AG683" s="1416"/>
      <c r="AH683" s="1416"/>
      <c r="AI683" s="1416"/>
      <c r="AJ683" s="1416"/>
      <c r="AK683" s="1416"/>
      <c r="AZ683" s="3"/>
    </row>
    <row r="684" spans="1:52" ht="12.95" customHeight="1">
      <c r="B684" t="s">
        <v>85</v>
      </c>
      <c r="G684" s="1348"/>
      <c r="H684" s="1348"/>
      <c r="I684" s="1348"/>
      <c r="J684" s="1348"/>
      <c r="K684" s="1348"/>
      <c r="L684" s="1348"/>
      <c r="M684" s="1348"/>
      <c r="N684" s="1348"/>
      <c r="O684" s="1348"/>
      <c r="P684" s="1348"/>
      <c r="Q684" s="1348"/>
      <c r="R684" s="1348"/>
      <c r="T684" s="22"/>
      <c r="U684" t="s">
        <v>85</v>
      </c>
      <c r="Z684" s="1348"/>
      <c r="AA684" s="1348"/>
      <c r="AB684" s="1348"/>
      <c r="AC684" s="1348"/>
      <c r="AD684" s="1348"/>
      <c r="AE684" s="1348"/>
      <c r="AF684" s="1348"/>
      <c r="AG684" s="1348"/>
      <c r="AH684" s="1348"/>
      <c r="AI684" s="1348"/>
      <c r="AJ684" s="1348"/>
      <c r="AK684" s="1348"/>
      <c r="AZ684" s="3"/>
    </row>
    <row r="685" spans="1:52" ht="12.95" customHeight="1">
      <c r="B685" t="s">
        <v>580</v>
      </c>
      <c r="G685" s="1348"/>
      <c r="H685" s="1348"/>
      <c r="I685" s="1348"/>
      <c r="J685" s="1348"/>
      <c r="K685" s="1348"/>
      <c r="L685" s="1348"/>
      <c r="M685" s="1348"/>
      <c r="N685" s="1348"/>
      <c r="O685" s="1348"/>
      <c r="P685" s="1348"/>
      <c r="Q685" s="1348"/>
      <c r="R685" s="1348"/>
      <c r="U685" t="s">
        <v>580</v>
      </c>
      <c r="Z685" s="1461"/>
      <c r="AA685" s="1461"/>
      <c r="AB685" s="1461"/>
      <c r="AC685" s="1461"/>
      <c r="AD685" s="1461"/>
      <c r="AE685" s="1461"/>
      <c r="AF685" s="1461"/>
      <c r="AG685" s="1461"/>
      <c r="AH685" s="1461"/>
      <c r="AI685" s="1461"/>
      <c r="AJ685" s="1461"/>
      <c r="AK685" s="1461"/>
      <c r="AZ685" s="3"/>
    </row>
    <row r="686" spans="1:52" ht="12.95" customHeight="1">
      <c r="B686" t="s">
        <v>17</v>
      </c>
      <c r="G686" s="1348"/>
      <c r="H686" s="1348"/>
      <c r="I686" s="1348"/>
      <c r="J686" s="1348"/>
      <c r="K686" s="1348"/>
      <c r="L686" s="1348"/>
      <c r="M686" s="1348"/>
      <c r="N686" s="1348"/>
      <c r="O686" s="1348"/>
      <c r="P686" s="1348"/>
      <c r="Q686" s="1348"/>
      <c r="R686" s="1348"/>
      <c r="U686" t="s">
        <v>17</v>
      </c>
      <c r="Z686" s="1461"/>
      <c r="AA686" s="1461"/>
      <c r="AB686" s="1461"/>
      <c r="AC686" s="1461"/>
      <c r="AD686" s="1461"/>
      <c r="AE686" s="1461"/>
      <c r="AF686" s="1461"/>
      <c r="AG686" s="1461"/>
      <c r="AH686" s="1461"/>
      <c r="AI686" s="1461"/>
      <c r="AJ686" s="1461"/>
      <c r="AK686" s="1461"/>
      <c r="AZ686" s="3"/>
    </row>
    <row r="687" spans="1:52" ht="12.95" customHeight="1">
      <c r="B687" t="s">
        <v>315</v>
      </c>
      <c r="G687" s="1415"/>
      <c r="H687" s="1415"/>
      <c r="I687" s="1415"/>
      <c r="J687" s="1415"/>
      <c r="K687" s="1415"/>
      <c r="L687" s="1415"/>
      <c r="O687" s="33" t="s">
        <v>205</v>
      </c>
      <c r="P687" s="1460"/>
      <c r="Q687" s="1460"/>
      <c r="R687" s="1460"/>
      <c r="U687" t="s">
        <v>315</v>
      </c>
      <c r="Z687" s="1415"/>
      <c r="AA687" s="1415"/>
      <c r="AB687" s="1415"/>
      <c r="AC687" s="1415"/>
      <c r="AD687" s="1415"/>
      <c r="AE687" s="1415"/>
      <c r="AH687" s="33" t="s">
        <v>205</v>
      </c>
      <c r="AI687" s="1460"/>
      <c r="AJ687" s="1460"/>
      <c r="AK687" s="1460"/>
      <c r="AZ687" s="3"/>
    </row>
    <row r="688" spans="1:52" ht="12.95" customHeight="1">
      <c r="B688" t="s">
        <v>18</v>
      </c>
      <c r="H688" s="1348"/>
      <c r="I688" s="1348"/>
      <c r="J688" s="1348"/>
      <c r="K688" s="1348"/>
      <c r="L688" s="1348"/>
      <c r="M688" s="1348"/>
      <c r="N688" s="1348"/>
      <c r="O688" s="1348"/>
      <c r="P688" s="1348"/>
      <c r="Q688" s="1348"/>
      <c r="R688" s="1348"/>
      <c r="U688" t="s">
        <v>18</v>
      </c>
      <c r="AA688" s="1348"/>
      <c r="AB688" s="1348"/>
      <c r="AC688" s="1348"/>
      <c r="AD688" s="1348"/>
      <c r="AE688" s="1348"/>
      <c r="AF688" s="1348"/>
      <c r="AG688" s="1348"/>
      <c r="AH688" s="1348"/>
      <c r="AI688" s="1348"/>
      <c r="AJ688" s="1348"/>
      <c r="AK688" s="1348"/>
      <c r="AZ688" s="3"/>
    </row>
    <row r="689" spans="1:67" ht="12.95" customHeight="1">
      <c r="B689" t="s">
        <v>20</v>
      </c>
      <c r="N689" s="1334" t="s">
        <v>669</v>
      </c>
      <c r="O689" s="1334"/>
      <c r="U689" t="s">
        <v>20</v>
      </c>
      <c r="AG689" s="1334" t="s">
        <v>669</v>
      </c>
      <c r="AH689" s="1334"/>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4" t="s">
        <v>545</v>
      </c>
      <c r="AF693" s="1334"/>
      <c r="AZ693" s="3"/>
    </row>
    <row r="694" spans="1:67" ht="12.95" customHeight="1">
      <c r="B694" s="135"/>
      <c r="C694" s="135"/>
      <c r="D694" s="136" t="s">
        <v>437</v>
      </c>
      <c r="E694" s="135"/>
      <c r="F694" s="135"/>
      <c r="G694" s="135"/>
      <c r="H694" s="135"/>
      <c r="AE694" s="1334" t="s">
        <v>669</v>
      </c>
      <c r="AF694" s="1334"/>
      <c r="AZ694" s="3"/>
    </row>
    <row r="695" spans="1:67" ht="12.95" customHeight="1">
      <c r="B695" s="135"/>
      <c r="C695" s="135"/>
      <c r="D695" s="136" t="s">
        <v>920</v>
      </c>
      <c r="E695" s="135"/>
      <c r="F695" s="135"/>
      <c r="G695" s="135"/>
      <c r="H695" s="135"/>
      <c r="AE695" s="1678">
        <v>45685</v>
      </c>
      <c r="AF695" s="1678"/>
      <c r="AG695" s="1678"/>
      <c r="AH695" s="1678"/>
      <c r="AI695" s="1678"/>
    </row>
    <row r="696" spans="1:67" ht="12.95" customHeight="1">
      <c r="B696" s="135"/>
      <c r="C696" s="135"/>
      <c r="D696" s="318" t="s">
        <v>983</v>
      </c>
      <c r="E696" s="135"/>
      <c r="F696" s="135"/>
      <c r="G696" s="135"/>
      <c r="H696" s="135"/>
      <c r="AE696" s="1708">
        <v>45755</v>
      </c>
      <c r="AF696" s="1708"/>
      <c r="AG696" s="1708"/>
      <c r="AH696" s="1708"/>
      <c r="AI696" s="1708"/>
    </row>
    <row r="697" spans="1:67" ht="12.95" customHeight="1">
      <c r="B697" s="135"/>
      <c r="C697" s="135"/>
    </row>
    <row r="698" spans="1:67" ht="12.95" customHeight="1">
      <c r="B698" s="135"/>
      <c r="C698" s="135"/>
      <c r="D698" s="136" t="s">
        <v>816</v>
      </c>
      <c r="E698" s="135"/>
      <c r="F698" s="135"/>
      <c r="G698" s="135"/>
      <c r="H698" s="135"/>
      <c r="AE698" s="1678">
        <v>45901</v>
      </c>
      <c r="AF698" s="1678"/>
      <c r="AG698" s="1678"/>
      <c r="AH698" s="1678"/>
      <c r="AI698" s="1678"/>
    </row>
    <row r="699" spans="1:67" ht="12.95" customHeight="1">
      <c r="B699" s="135"/>
      <c r="C699" s="135"/>
      <c r="D699" s="136" t="s">
        <v>435</v>
      </c>
      <c r="E699" s="135"/>
      <c r="F699" s="135"/>
      <c r="G699" s="135"/>
      <c r="H699" s="135"/>
      <c r="AE699" s="1668">
        <v>0.52859999999999996</v>
      </c>
      <c r="AF699" s="1668"/>
      <c r="AG699" s="1668"/>
      <c r="AH699" s="1668"/>
      <c r="AI699" s="1668"/>
    </row>
    <row r="700" spans="1:67" ht="12.95" customHeight="1">
      <c r="B700" s="135"/>
      <c r="C700" s="135"/>
      <c r="D700" s="136" t="s">
        <v>436</v>
      </c>
      <c r="E700" s="135"/>
      <c r="F700" s="135"/>
      <c r="G700" s="135"/>
      <c r="H700" s="135"/>
      <c r="W700" s="1416" t="str">
        <f>H335</f>
        <v>California Municipal Finance Authority</v>
      </c>
      <c r="X700" s="1416"/>
      <c r="Y700" s="1416"/>
      <c r="Z700" s="1416"/>
      <c r="AA700" s="1416"/>
      <c r="AB700" s="1416"/>
      <c r="AC700" s="1416"/>
      <c r="AD700" s="1416"/>
      <c r="AE700" s="1416"/>
      <c r="AF700" s="1416"/>
      <c r="AG700" s="1416"/>
      <c r="AH700" s="1416"/>
      <c r="AI700" s="1416"/>
      <c r="AJ700" s="1416"/>
      <c r="AK700" s="1416"/>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4" t="s">
        <v>669</v>
      </c>
      <c r="AF702" s="1334"/>
      <c r="AZ702" s="4" t="s">
        <v>323</v>
      </c>
    </row>
    <row r="703" spans="1:67" ht="12.95" customHeight="1">
      <c r="B703" s="135"/>
      <c r="C703" s="135"/>
      <c r="D703" s="136" t="s">
        <v>442</v>
      </c>
      <c r="E703" s="135"/>
      <c r="F703" s="135"/>
      <c r="G703" s="135"/>
      <c r="H703" s="135"/>
      <c r="W703" s="1348"/>
      <c r="X703" s="1348"/>
      <c r="Y703" s="1348"/>
      <c r="Z703" s="1348"/>
      <c r="AA703" s="1348"/>
      <c r="AB703" s="1348"/>
      <c r="AC703" s="1348"/>
      <c r="AD703" s="1348"/>
      <c r="AE703" s="1348"/>
      <c r="AF703" s="1348"/>
      <c r="AG703" s="1348"/>
      <c r="AH703" s="1348"/>
      <c r="AI703" s="1348"/>
      <c r="AJ703" s="1348"/>
      <c r="AK703" s="1348"/>
      <c r="AZ703" s="4" t="s">
        <v>324</v>
      </c>
    </row>
    <row r="704" spans="1:67" ht="12.95" customHeight="1">
      <c r="B704" s="135"/>
      <c r="C704" s="135"/>
      <c r="D704" s="136" t="s">
        <v>87</v>
      </c>
      <c r="E704" s="135"/>
      <c r="F704" s="135"/>
      <c r="G704" s="135"/>
      <c r="H704" s="135"/>
      <c r="J704" s="1348"/>
      <c r="K704" s="1348"/>
      <c r="L704" s="1348"/>
      <c r="M704" s="1348"/>
      <c r="N704" s="1348"/>
      <c r="O704" s="1348"/>
      <c r="P704" s="1348"/>
      <c r="Q704" s="1348"/>
      <c r="R704" s="1348"/>
      <c r="S704" s="1348"/>
      <c r="T704" s="1348"/>
      <c r="U704" s="1348"/>
      <c r="V704" s="1348"/>
      <c r="W704" s="1348"/>
      <c r="X704" s="1348"/>
      <c r="AZ704" s="4" t="s">
        <v>163</v>
      </c>
      <c r="BB704" s="34"/>
      <c r="BC704" s="34"/>
      <c r="BD704" s="34"/>
      <c r="BE704" s="3"/>
      <c r="BF704" s="3"/>
      <c r="BJ704" s="3"/>
      <c r="BK704" s="3"/>
      <c r="BL704" s="3"/>
      <c r="BM704" s="3"/>
      <c r="BN704" s="34"/>
      <c r="BO704" s="34"/>
    </row>
    <row r="705" spans="1:185" ht="12.95" customHeight="1">
      <c r="B705" s="135"/>
      <c r="C705" s="135"/>
      <c r="D705" s="136" t="s">
        <v>88</v>
      </c>
      <c r="J705" s="1415"/>
      <c r="K705" s="1415"/>
      <c r="L705" s="1415"/>
      <c r="M705" s="1415"/>
      <c r="N705" s="1415"/>
      <c r="O705" s="1415"/>
      <c r="P705" s="4" t="s">
        <v>205</v>
      </c>
      <c r="Q705" s="4"/>
      <c r="R705" s="1460"/>
      <c r="S705" s="1460"/>
      <c r="T705" s="146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48" t="s">
        <v>306</v>
      </c>
      <c r="X706" s="1348"/>
      <c r="Y706" s="1348"/>
      <c r="Z706" s="1348"/>
      <c r="AA706" s="1348"/>
      <c r="AB706" s="1348"/>
      <c r="AC706" s="1348"/>
      <c r="AD706" s="1348"/>
      <c r="AE706" s="1348"/>
      <c r="AF706" s="1348"/>
      <c r="AG706" s="1348"/>
      <c r="AH706" s="1348"/>
      <c r="AI706" s="1348"/>
      <c r="AJ706" s="1348"/>
      <c r="AK706" s="134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48" t="s">
        <v>333</v>
      </c>
      <c r="F707" s="1348"/>
      <c r="G707" s="1348"/>
      <c r="H707" s="1348"/>
      <c r="I707" s="1348"/>
      <c r="J707" s="1348"/>
      <c r="K707" s="1348"/>
      <c r="L707" s="1348"/>
      <c r="M707" s="1348"/>
      <c r="N707" s="1348"/>
      <c r="O707" s="1348"/>
      <c r="P707" s="1348"/>
      <c r="Q707" s="1348"/>
      <c r="R707" s="1348"/>
      <c r="S707" s="1348"/>
      <c r="T707" s="1348"/>
      <c r="U707" s="1348"/>
      <c r="V707" s="1348"/>
      <c r="W707" s="1348"/>
      <c r="X707" s="1348"/>
      <c r="Y707" s="1348"/>
      <c r="Z707" s="1348"/>
      <c r="AA707" s="1348"/>
      <c r="AB707" s="1348"/>
      <c r="AC707" s="1348"/>
      <c r="AD707" s="1348"/>
      <c r="AE707" s="1348"/>
      <c r="AF707" s="1348"/>
      <c r="AG707" s="1348"/>
      <c r="AH707" s="1348"/>
      <c r="AI707" s="1348"/>
      <c r="AJ707" s="1348"/>
      <c r="AK707" s="134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04" t="s">
        <v>388</v>
      </c>
      <c r="C714" s="1605"/>
      <c r="D714" s="1605"/>
      <c r="E714" s="1605"/>
      <c r="F714" s="1606"/>
      <c r="G714" s="1604" t="s">
        <v>284</v>
      </c>
      <c r="H714" s="1605"/>
      <c r="I714" s="1605"/>
      <c r="J714" s="1606"/>
      <c r="K714" s="1709" t="s">
        <v>1679</v>
      </c>
      <c r="L714" s="1710"/>
      <c r="M714" s="1710"/>
      <c r="N714" s="1711"/>
      <c r="O714" s="1604" t="s">
        <v>447</v>
      </c>
      <c r="P714" s="1605"/>
      <c r="Q714" s="1605"/>
      <c r="R714" s="1605"/>
      <c r="S714" s="1606"/>
      <c r="T714" s="1663" t="s">
        <v>1950</v>
      </c>
      <c r="U714" s="1605"/>
      <c r="V714" s="1605"/>
      <c r="W714" s="1606"/>
      <c r="X714" s="1663" t="s">
        <v>1952</v>
      </c>
      <c r="Y714" s="1605"/>
      <c r="Z714" s="1605"/>
      <c r="AA714" s="1605"/>
      <c r="AB714" s="1606"/>
      <c r="AC714" s="1663" t="s">
        <v>1951</v>
      </c>
      <c r="AD714" s="1605"/>
      <c r="AE714" s="1605"/>
      <c r="AF714" s="1605"/>
      <c r="AG714" s="1606"/>
      <c r="AH714" s="1663" t="s">
        <v>1953</v>
      </c>
      <c r="AI714" s="1605"/>
      <c r="AJ714" s="1606"/>
      <c r="AK714" s="1663" t="s">
        <v>1980</v>
      </c>
      <c r="AL714" s="1605"/>
      <c r="AM714" s="1605"/>
      <c r="AN714" s="1605"/>
      <c r="AO714" s="160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607"/>
      <c r="C715" s="1608"/>
      <c r="D715" s="1608"/>
      <c r="E715" s="1608"/>
      <c r="F715" s="1609"/>
      <c r="G715" s="1607"/>
      <c r="H715" s="1608"/>
      <c r="I715" s="1608"/>
      <c r="J715" s="1609"/>
      <c r="K715" s="1712"/>
      <c r="L715" s="1713"/>
      <c r="M715" s="1713"/>
      <c r="N715" s="1714"/>
      <c r="O715" s="1607"/>
      <c r="P715" s="1608"/>
      <c r="Q715" s="1608"/>
      <c r="R715" s="1608"/>
      <c r="S715" s="1609"/>
      <c r="T715" s="1607"/>
      <c r="U715" s="1608"/>
      <c r="V715" s="1608"/>
      <c r="W715" s="1609"/>
      <c r="X715" s="1607"/>
      <c r="Y715" s="1608"/>
      <c r="Z715" s="1608"/>
      <c r="AA715" s="1608"/>
      <c r="AB715" s="1609"/>
      <c r="AC715" s="1607"/>
      <c r="AD715" s="1608"/>
      <c r="AE715" s="1608"/>
      <c r="AF715" s="1608"/>
      <c r="AG715" s="1609"/>
      <c r="AH715" s="1607"/>
      <c r="AI715" s="1608"/>
      <c r="AJ715" s="1609"/>
      <c r="AK715" s="1607"/>
      <c r="AL715" s="1608"/>
      <c r="AM715" s="1608"/>
      <c r="AN715" s="1608"/>
      <c r="AO715" s="160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607"/>
      <c r="C716" s="1608"/>
      <c r="D716" s="1608"/>
      <c r="E716" s="1608"/>
      <c r="F716" s="1609"/>
      <c r="G716" s="1607"/>
      <c r="H716" s="1608"/>
      <c r="I716" s="1608"/>
      <c r="J716" s="1609"/>
      <c r="K716" s="1712"/>
      <c r="L716" s="1713"/>
      <c r="M716" s="1713"/>
      <c r="N716" s="1714"/>
      <c r="O716" s="1607"/>
      <c r="P716" s="1608"/>
      <c r="Q716" s="1608"/>
      <c r="R716" s="1608"/>
      <c r="S716" s="1609"/>
      <c r="T716" s="1607"/>
      <c r="U716" s="1608"/>
      <c r="V716" s="1608"/>
      <c r="W716" s="1609"/>
      <c r="X716" s="1607"/>
      <c r="Y716" s="1608"/>
      <c r="Z716" s="1608"/>
      <c r="AA716" s="1608"/>
      <c r="AB716" s="1609"/>
      <c r="AC716" s="1607"/>
      <c r="AD716" s="1608"/>
      <c r="AE716" s="1608"/>
      <c r="AF716" s="1608"/>
      <c r="AG716" s="1609"/>
      <c r="AH716" s="1607"/>
      <c r="AI716" s="1608"/>
      <c r="AJ716" s="1609"/>
      <c r="AK716" s="1607"/>
      <c r="AL716" s="1608"/>
      <c r="AM716" s="1608"/>
      <c r="AN716" s="1608"/>
      <c r="AO716" s="1609"/>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610"/>
      <c r="C717" s="1611"/>
      <c r="D717" s="1611"/>
      <c r="E717" s="1611"/>
      <c r="F717" s="1612"/>
      <c r="G717" s="1610"/>
      <c r="H717" s="1611"/>
      <c r="I717" s="1611"/>
      <c r="J717" s="1612"/>
      <c r="K717" s="1712"/>
      <c r="L717" s="1713"/>
      <c r="M717" s="1713"/>
      <c r="N717" s="1714"/>
      <c r="O717" s="1610"/>
      <c r="P717" s="1611"/>
      <c r="Q717" s="1611"/>
      <c r="R717" s="1611"/>
      <c r="S717" s="1612"/>
      <c r="T717" s="1610"/>
      <c r="U717" s="1611"/>
      <c r="V717" s="1611"/>
      <c r="W717" s="1612"/>
      <c r="X717" s="1610"/>
      <c r="Y717" s="1611"/>
      <c r="Z717" s="1611"/>
      <c r="AA717" s="1611"/>
      <c r="AB717" s="1612"/>
      <c r="AC717" s="1610"/>
      <c r="AD717" s="1611"/>
      <c r="AE717" s="1611"/>
      <c r="AF717" s="1611"/>
      <c r="AG717" s="1612"/>
      <c r="AH717" s="1610"/>
      <c r="AI717" s="1611"/>
      <c r="AJ717" s="1612"/>
      <c r="AK717" s="1610"/>
      <c r="AL717" s="1611"/>
      <c r="AM717" s="1611"/>
      <c r="AN717" s="1611"/>
      <c r="AO717" s="161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35"/>
      <c r="CJ717" s="1436"/>
      <c r="CK717" s="121" t="s">
        <v>475</v>
      </c>
      <c r="CL717" s="122"/>
      <c r="CM717" s="1435"/>
      <c r="CN717" s="1436"/>
      <c r="CO717" s="3"/>
      <c r="CP717" s="1375" t="s">
        <v>633</v>
      </c>
      <c r="CQ717" s="1376"/>
      <c r="CR717" s="1376"/>
      <c r="CS717" s="1376"/>
      <c r="CT717" s="1377"/>
      <c r="CU717" s="1472" t="s">
        <v>324</v>
      </c>
      <c r="CV717" s="1472"/>
      <c r="CW717" s="1472"/>
      <c r="CX717" s="1472"/>
      <c r="CY717" s="1472"/>
      <c r="CZ717" s="1472" t="s">
        <v>163</v>
      </c>
      <c r="DA717" s="1472"/>
      <c r="DB717" s="1472"/>
      <c r="DC717" s="1472"/>
      <c r="DD717" s="1472"/>
      <c r="DE717" s="1472" t="s">
        <v>164</v>
      </c>
      <c r="DF717" s="1472"/>
      <c r="DG717" s="1472"/>
      <c r="DH717" s="1472"/>
      <c r="DI717" s="1472"/>
      <c r="DJ717" s="1472" t="s">
        <v>460</v>
      </c>
      <c r="DK717" s="1472"/>
      <c r="DL717" s="1472"/>
      <c r="DM717" s="1472"/>
      <c r="DN717" s="1472"/>
      <c r="DO717" s="1472" t="s">
        <v>30</v>
      </c>
      <c r="DP717" s="1472"/>
      <c r="DQ717" s="1472"/>
      <c r="DR717" s="1472"/>
      <c r="DS717" s="1472"/>
      <c r="DT717" s="89"/>
      <c r="DU717" s="1472" t="s">
        <v>633</v>
      </c>
      <c r="DV717" s="1472"/>
      <c r="DW717" s="1472"/>
      <c r="DX717" s="1472"/>
      <c r="DY717" s="1472"/>
      <c r="DZ717" s="1472" t="s">
        <v>324</v>
      </c>
      <c r="EA717" s="1472"/>
      <c r="EB717" s="1472"/>
      <c r="EC717" s="1472"/>
      <c r="ED717" s="1472"/>
      <c r="EE717" s="1472" t="s">
        <v>163</v>
      </c>
      <c r="EF717" s="1472"/>
      <c r="EG717" s="1472"/>
      <c r="EH717" s="1472"/>
      <c r="EI717" s="1472"/>
      <c r="EJ717" s="1472" t="s">
        <v>164</v>
      </c>
      <c r="EK717" s="1472"/>
      <c r="EL717" s="1472"/>
      <c r="EM717" s="1472"/>
      <c r="EN717" s="1472"/>
      <c r="EO717" s="1472" t="s">
        <v>460</v>
      </c>
      <c r="EP717" s="1472"/>
      <c r="EQ717" s="1472"/>
      <c r="ER717" s="1472"/>
      <c r="ES717" s="1472"/>
      <c r="ET717" s="1472" t="s">
        <v>30</v>
      </c>
      <c r="EU717" s="1472"/>
      <c r="EV717" s="1472"/>
      <c r="EW717" s="1472"/>
      <c r="EX717" s="1472"/>
      <c r="EY717" s="4"/>
      <c r="EZ717" s="1472" t="s">
        <v>633</v>
      </c>
      <c r="FA717" s="1472"/>
      <c r="FB717" s="1472"/>
      <c r="FC717" s="1472"/>
      <c r="FD717" s="1472"/>
      <c r="FE717" s="1472" t="s">
        <v>324</v>
      </c>
      <c r="FF717" s="1472"/>
      <c r="FG717" s="1472"/>
      <c r="FH717" s="1472"/>
      <c r="FI717" s="1472"/>
      <c r="FJ717" s="1472" t="s">
        <v>163</v>
      </c>
      <c r="FK717" s="1472"/>
      <c r="FL717" s="1472"/>
      <c r="FM717" s="1472"/>
      <c r="FN717" s="1472"/>
      <c r="FO717" s="1472" t="s">
        <v>164</v>
      </c>
      <c r="FP717" s="1472"/>
      <c r="FQ717" s="1472"/>
      <c r="FR717" s="1472"/>
      <c r="FS717" s="1472"/>
      <c r="FT717" s="1472" t="s">
        <v>460</v>
      </c>
      <c r="FU717" s="1472"/>
      <c r="FV717" s="1472"/>
      <c r="FW717" s="1472"/>
      <c r="FX717" s="1472"/>
      <c r="FY717" s="1472" t="s">
        <v>30</v>
      </c>
      <c r="FZ717" s="1472"/>
      <c r="GA717" s="1472"/>
      <c r="GB717" s="1472"/>
      <c r="GC717" s="1472"/>
    </row>
    <row r="718" spans="1:185" ht="12.95" customHeight="1">
      <c r="A718" s="4"/>
      <c r="B718" s="1342" t="s">
        <v>323</v>
      </c>
      <c r="C718" s="1343"/>
      <c r="D718" s="1343"/>
      <c r="E718" s="1343"/>
      <c r="F718" s="1344"/>
      <c r="G718" s="1339">
        <v>10</v>
      </c>
      <c r="H718" s="1340"/>
      <c r="I718" s="1340"/>
      <c r="J718" s="1341"/>
      <c r="K718" s="1355">
        <v>424</v>
      </c>
      <c r="L718" s="1356"/>
      <c r="M718" s="1356"/>
      <c r="N718" s="1357"/>
      <c r="O718" s="1358">
        <v>918</v>
      </c>
      <c r="P718" s="1359"/>
      <c r="Q718" s="1359"/>
      <c r="R718" s="1359"/>
      <c r="S718" s="1360"/>
      <c r="T718" s="1358">
        <v>50</v>
      </c>
      <c r="U718" s="1359"/>
      <c r="V718" s="1359"/>
      <c r="W718" s="1360"/>
      <c r="X718" s="1352">
        <f t="shared" ref="X718:X741" si="8">O718+T718</f>
        <v>968</v>
      </c>
      <c r="Y718" s="1353"/>
      <c r="Z718" s="1353"/>
      <c r="AA718" s="1353"/>
      <c r="AB718" s="1354"/>
      <c r="AC718" s="1345">
        <v>0.3</v>
      </c>
      <c r="AD718" s="1346"/>
      <c r="AE718" s="1346"/>
      <c r="AF718" s="1346"/>
      <c r="AG718" s="1347"/>
      <c r="AH718" s="1349">
        <f>IF($AC718&gt;0,($X718/$AZ718), "")</f>
        <v>0.30006199628022318</v>
      </c>
      <c r="AI718" s="1350"/>
      <c r="AJ718" s="1351"/>
      <c r="AK718" s="1342" t="s">
        <v>2101</v>
      </c>
      <c r="AL718" s="1343"/>
      <c r="AM718" s="1343"/>
      <c r="AN718" s="1343"/>
      <c r="AO718" s="1344"/>
      <c r="AP718" s="3"/>
      <c r="AQ718" s="3"/>
      <c r="AR718" s="3"/>
      <c r="AS718" s="3"/>
      <c r="AZ718" s="118">
        <f>IF($G718=0,"N/A",VLOOKUP($T$189,TC_Rent,(MATCH($B718,bedrooms,FALSE)),FALSE))</f>
        <v>3226</v>
      </c>
      <c r="BA718" s="3"/>
      <c r="BB718" s="3"/>
      <c r="BC718" s="3"/>
      <c r="BD718" s="3"/>
      <c r="BE718" s="205"/>
      <c r="BF718" s="294">
        <f t="shared" ref="BF718:BF752" si="9">G718</f>
        <v>10</v>
      </c>
      <c r="BG718" s="298">
        <f t="shared" ref="BG718:BG752" si="10">IF($BF$753=0,0,BF718/$BF$753)</f>
        <v>0.15384615384615385</v>
      </c>
      <c r="BH718" s="299">
        <f t="shared" ref="BH718:BH752" si="11">IF(BG718=0,"",BG718*AC718)</f>
        <v>4.6153846153846156E-2</v>
      </c>
      <c r="BI718" s="3"/>
      <c r="BJ718" s="3"/>
      <c r="BK718" s="3"/>
      <c r="BL718" s="3"/>
      <c r="BM718" s="3"/>
      <c r="BN718" s="3"/>
      <c r="BS718" s="294">
        <f t="shared" ref="BS718:BS752" si="12">G718</f>
        <v>10</v>
      </c>
      <c r="BT718" s="298">
        <f t="shared" ref="BT718:BT752" si="13">IF($BS$753=0,0,BS718/$BS$753)</f>
        <v>0.15384615384615385</v>
      </c>
      <c r="BU718" s="299">
        <f t="shared" ref="BU718:BU752" si="14">IF(BT718=0,"",BT718*AH718)</f>
        <v>4.6163384043111259E-2</v>
      </c>
      <c r="CC718" s="3"/>
      <c r="CD718" s="3"/>
      <c r="CE718" s="3"/>
      <c r="CF718" s="3"/>
      <c r="CG718" s="1433">
        <f>IF(AND(AC718&lt;=0.5,AC718&gt;=0.36),1,0)</f>
        <v>0</v>
      </c>
      <c r="CH718" s="1434"/>
      <c r="CI718" s="1435">
        <f>IF(CG718=1,G718,0)</f>
        <v>0</v>
      </c>
      <c r="CJ718" s="1436"/>
      <c r="CK718" s="1433">
        <f t="shared" ref="CK718:CK752" si="15">IF(AND(AC718&lt;=0.35,AC718&gt;0),1,0)</f>
        <v>1</v>
      </c>
      <c r="CL718" s="1434"/>
      <c r="CM718" s="1435">
        <f t="shared" ref="CM718:CM752" si="16">IF(CK718=1,G718,0)</f>
        <v>10</v>
      </c>
      <c r="CN718" s="1436"/>
      <c r="CO718" s="3"/>
      <c r="CP718" s="1463">
        <f t="shared" ref="CP718:CP752" si="17">IF(B718="SRO/Studio",G718,0)</f>
        <v>10</v>
      </c>
      <c r="CQ718" s="1464"/>
      <c r="CR718" s="1464"/>
      <c r="CS718" s="1464"/>
      <c r="CT718" s="1465"/>
      <c r="CU718" s="1467">
        <f t="shared" ref="CU718:CU752" si="18">IF(B718="1 Bedroom",G718,0)</f>
        <v>0</v>
      </c>
      <c r="CV718" s="1467"/>
      <c r="CW718" s="1467"/>
      <c r="CX718" s="1467"/>
      <c r="CY718" s="1467"/>
      <c r="CZ718" s="1467">
        <f t="shared" ref="CZ718:CZ752" si="19">IF(B718="2 Bedrooms",G718,0)</f>
        <v>0</v>
      </c>
      <c r="DA718" s="1467"/>
      <c r="DB718" s="1467"/>
      <c r="DC718" s="1467"/>
      <c r="DD718" s="1467"/>
      <c r="DE718" s="1467">
        <f t="shared" ref="DE718:DE752" si="20">IF(B718="3 Bedrooms",G718,0)</f>
        <v>0</v>
      </c>
      <c r="DF718" s="1467"/>
      <c r="DG718" s="1467"/>
      <c r="DH718" s="1467"/>
      <c r="DI718" s="1467"/>
      <c r="DJ718" s="1467">
        <f t="shared" ref="DJ718:DJ752" si="21">IF(B718="4 Bedrooms",G718,0)</f>
        <v>0</v>
      </c>
      <c r="DK718" s="1467"/>
      <c r="DL718" s="1467"/>
      <c r="DM718" s="1467"/>
      <c r="DN718" s="1467"/>
      <c r="DO718" s="1467">
        <f t="shared" ref="DO718:DO752" si="22">IF(B718="5 Bedrooms",G718,0)</f>
        <v>0</v>
      </c>
      <c r="DP718" s="1467"/>
      <c r="DQ718" s="1467"/>
      <c r="DR718" s="1467"/>
      <c r="DS718" s="1467"/>
      <c r="DT718" s="6"/>
      <c r="DU718" s="1466">
        <f t="shared" ref="DU718:DU752" si="23">IF(AND(B718="SRO/Studio",AC718&lt;=0.3),G718,0)</f>
        <v>10</v>
      </c>
      <c r="DV718" s="1466"/>
      <c r="DW718" s="1466"/>
      <c r="DX718" s="1466"/>
      <c r="DY718" s="1466"/>
      <c r="DZ718" s="1466">
        <f t="shared" ref="DZ718:DZ752" si="24">IF(AND(B718="1 Bedroom",AC718&lt;=0.3),G718,0)</f>
        <v>0</v>
      </c>
      <c r="EA718" s="1466"/>
      <c r="EB718" s="1466"/>
      <c r="EC718" s="1466"/>
      <c r="ED718" s="1466"/>
      <c r="EE718" s="1466">
        <f t="shared" ref="EE718:EE752" si="25">IF(AND(B718="2 Bedrooms",AC718&lt;=0.3),G718,0)</f>
        <v>0</v>
      </c>
      <c r="EF718" s="1466"/>
      <c r="EG718" s="1466"/>
      <c r="EH718" s="1466"/>
      <c r="EI718" s="1466"/>
      <c r="EJ718" s="1466">
        <f t="shared" ref="EJ718:EJ752" si="26">IF(AND(B718="3 Bedrooms",AC718&lt;=0.3),G718,0)</f>
        <v>0</v>
      </c>
      <c r="EK718" s="1466"/>
      <c r="EL718" s="1466"/>
      <c r="EM718" s="1466"/>
      <c r="EN718" s="1466"/>
      <c r="EO718" s="1466">
        <f t="shared" ref="EO718:EO752" si="27">IF(AND(B718="4 Bedrooms",AC718&lt;=0.3),G718,0)</f>
        <v>0</v>
      </c>
      <c r="EP718" s="1466"/>
      <c r="EQ718" s="1466"/>
      <c r="ER718" s="1466"/>
      <c r="ES718" s="1466"/>
      <c r="ET718" s="1466">
        <f t="shared" ref="ET718:ET752" si="28">IF(AND(B718="5 Bedrooms",AC718&lt;=0.3),G718,0)</f>
        <v>0</v>
      </c>
      <c r="EU718" s="1466"/>
      <c r="EV718" s="1466"/>
      <c r="EW718" s="1466"/>
      <c r="EX718" s="1466"/>
      <c r="EY718" s="4"/>
      <c r="EZ718" s="1433">
        <f t="shared" ref="EZ718:EZ752" si="29">IF(CP718&gt;0,O718,"")</f>
        <v>918</v>
      </c>
      <c r="FA718" s="1473"/>
      <c r="FB718" s="1473"/>
      <c r="FC718" s="1473"/>
      <c r="FD718" s="1434"/>
      <c r="FE718" s="1433" t="str">
        <f t="shared" ref="FE718:FE752" si="30">IF(CU718&gt;0,O718,"")</f>
        <v/>
      </c>
      <c r="FF718" s="1473"/>
      <c r="FG718" s="1473"/>
      <c r="FH718" s="1473"/>
      <c r="FI718" s="1434"/>
      <c r="FJ718" s="1433" t="str">
        <f t="shared" ref="FJ718:FJ752" si="31">IF(CZ718&gt;0,O718,"")</f>
        <v/>
      </c>
      <c r="FK718" s="1473"/>
      <c r="FL718" s="1473"/>
      <c r="FM718" s="1473"/>
      <c r="FN718" s="1434"/>
      <c r="FO718" s="1433" t="str">
        <f t="shared" ref="FO718:FO752" si="32">IF(DE718&gt;0,O718,"")</f>
        <v/>
      </c>
      <c r="FP718" s="1473"/>
      <c r="FQ718" s="1473"/>
      <c r="FR718" s="1473"/>
      <c r="FS718" s="1434"/>
      <c r="FT718" s="1433" t="str">
        <f t="shared" ref="FT718:FT752" si="33">IF(DJ718&gt;0,O718,"")</f>
        <v/>
      </c>
      <c r="FU718" s="1473"/>
      <c r="FV718" s="1473"/>
      <c r="FW718" s="1473"/>
      <c r="FX718" s="1434"/>
      <c r="FY718" s="1433" t="str">
        <f t="shared" ref="FY718:FY752" si="34">IF(DO718&gt;0,O718,"")</f>
        <v/>
      </c>
      <c r="FZ718" s="1473"/>
      <c r="GA718" s="1473"/>
      <c r="GB718" s="1473"/>
      <c r="GC718" s="1434"/>
    </row>
    <row r="719" spans="1:185" ht="12.95" customHeight="1">
      <c r="A719" s="4"/>
      <c r="B719" s="1342" t="s">
        <v>323</v>
      </c>
      <c r="C719" s="1343"/>
      <c r="D719" s="1343"/>
      <c r="E719" s="1343"/>
      <c r="F719" s="1344"/>
      <c r="G719" s="1339">
        <v>1</v>
      </c>
      <c r="H719" s="1340"/>
      <c r="I719" s="1340"/>
      <c r="J719" s="1341"/>
      <c r="K719" s="1355">
        <v>424</v>
      </c>
      <c r="L719" s="1356"/>
      <c r="M719" s="1356"/>
      <c r="N719" s="1357"/>
      <c r="O719" s="1358">
        <v>918</v>
      </c>
      <c r="P719" s="1359"/>
      <c r="Q719" s="1359"/>
      <c r="R719" s="1359"/>
      <c r="S719" s="1360"/>
      <c r="T719" s="1358">
        <v>50</v>
      </c>
      <c r="U719" s="1359"/>
      <c r="V719" s="1359"/>
      <c r="W719" s="1360"/>
      <c r="X719" s="1352">
        <f t="shared" si="8"/>
        <v>968</v>
      </c>
      <c r="Y719" s="1353"/>
      <c r="Z719" s="1353"/>
      <c r="AA719" s="1353"/>
      <c r="AB719" s="1354"/>
      <c r="AC719" s="1345">
        <v>0.3</v>
      </c>
      <c r="AD719" s="1346"/>
      <c r="AE719" s="1346"/>
      <c r="AF719" s="1346"/>
      <c r="AG719" s="1347"/>
      <c r="AH719" s="1349">
        <f t="shared" ref="AH719:AH752" si="35">IF($AC719&gt;0,($X719/$AZ719), "")</f>
        <v>0.30006199628022318</v>
      </c>
      <c r="AI719" s="1350"/>
      <c r="AJ719" s="1351"/>
      <c r="AK719" s="1342" t="s">
        <v>591</v>
      </c>
      <c r="AL719" s="1343"/>
      <c r="AM719" s="1343"/>
      <c r="AN719" s="1343"/>
      <c r="AO719" s="1344"/>
      <c r="AP719" s="3"/>
      <c r="AQ719" s="3"/>
      <c r="AR719" s="3"/>
      <c r="AS719" s="3"/>
      <c r="AZ719" s="118">
        <f>IF($G719=0,"N/A",VLOOKUP($T$189,TC_Rent,(MATCH($B719,bedrooms,FALSE)),FALSE))</f>
        <v>3226</v>
      </c>
      <c r="BA719" s="3"/>
      <c r="BB719" s="3"/>
      <c r="BC719" s="3"/>
      <c r="BD719" s="3"/>
      <c r="BE719" s="205"/>
      <c r="BF719" s="295">
        <f t="shared" si="9"/>
        <v>1</v>
      </c>
      <c r="BG719" s="298">
        <f t="shared" si="10"/>
        <v>1.5384615384615385E-2</v>
      </c>
      <c r="BH719" s="299">
        <f t="shared" si="11"/>
        <v>4.6153846153846158E-3</v>
      </c>
      <c r="BI719" s="3"/>
      <c r="BJ719" s="3"/>
      <c r="BK719" s="3"/>
      <c r="BL719" s="3"/>
      <c r="BM719" s="3"/>
      <c r="BN719" s="3"/>
      <c r="BS719" s="295">
        <f t="shared" si="12"/>
        <v>1</v>
      </c>
      <c r="BT719" s="298">
        <f t="shared" si="13"/>
        <v>1.5384615384615385E-2</v>
      </c>
      <c r="BU719" s="299">
        <f t="shared" si="14"/>
        <v>4.6163384043111265E-3</v>
      </c>
      <c r="CC719" s="3"/>
      <c r="CD719" s="3"/>
      <c r="CE719" s="3"/>
      <c r="CF719" s="3"/>
      <c r="CG719" s="1433">
        <f t="shared" ref="CG719:CG752" si="36">IF(AND(AC719&lt;=0.5,AC719&gt;=0.36),1,0)</f>
        <v>0</v>
      </c>
      <c r="CH719" s="1434"/>
      <c r="CI719" s="1435">
        <f t="shared" ref="CI719:CI752" si="37">IF(CG719=1,G719,0)</f>
        <v>0</v>
      </c>
      <c r="CJ719" s="1436"/>
      <c r="CK719" s="1433">
        <f t="shared" si="15"/>
        <v>1</v>
      </c>
      <c r="CL719" s="1434"/>
      <c r="CM719" s="1435">
        <f t="shared" si="16"/>
        <v>1</v>
      </c>
      <c r="CN719" s="1436"/>
      <c r="CO719" s="3"/>
      <c r="CP719" s="1463">
        <f t="shared" si="17"/>
        <v>1</v>
      </c>
      <c r="CQ719" s="1464"/>
      <c r="CR719" s="1464"/>
      <c r="CS719" s="1464"/>
      <c r="CT719" s="1465"/>
      <c r="CU719" s="1467">
        <f t="shared" si="18"/>
        <v>0</v>
      </c>
      <c r="CV719" s="1467"/>
      <c r="CW719" s="1467"/>
      <c r="CX719" s="1467"/>
      <c r="CY719" s="1467"/>
      <c r="CZ719" s="1467">
        <f t="shared" si="19"/>
        <v>0</v>
      </c>
      <c r="DA719" s="1467"/>
      <c r="DB719" s="1467"/>
      <c r="DC719" s="1467"/>
      <c r="DD719" s="1467"/>
      <c r="DE719" s="1467">
        <f t="shared" si="20"/>
        <v>0</v>
      </c>
      <c r="DF719" s="1467"/>
      <c r="DG719" s="1467"/>
      <c r="DH719" s="1467"/>
      <c r="DI719" s="1467"/>
      <c r="DJ719" s="1467">
        <f t="shared" si="21"/>
        <v>0</v>
      </c>
      <c r="DK719" s="1467"/>
      <c r="DL719" s="1467"/>
      <c r="DM719" s="1467"/>
      <c r="DN719" s="1467"/>
      <c r="DO719" s="1467">
        <f t="shared" si="22"/>
        <v>0</v>
      </c>
      <c r="DP719" s="1467"/>
      <c r="DQ719" s="1467"/>
      <c r="DR719" s="1467"/>
      <c r="DS719" s="1467"/>
      <c r="DT719" s="6"/>
      <c r="DU719" s="1466">
        <f t="shared" si="23"/>
        <v>1</v>
      </c>
      <c r="DV719" s="1466"/>
      <c r="DW719" s="1466"/>
      <c r="DX719" s="1466"/>
      <c r="DY719" s="1466"/>
      <c r="DZ719" s="1466">
        <f t="shared" si="24"/>
        <v>0</v>
      </c>
      <c r="EA719" s="1466"/>
      <c r="EB719" s="1466"/>
      <c r="EC719" s="1466"/>
      <c r="ED719" s="1466"/>
      <c r="EE719" s="1466">
        <f t="shared" si="25"/>
        <v>0</v>
      </c>
      <c r="EF719" s="1466"/>
      <c r="EG719" s="1466"/>
      <c r="EH719" s="1466"/>
      <c r="EI719" s="1466"/>
      <c r="EJ719" s="1466">
        <f t="shared" si="26"/>
        <v>0</v>
      </c>
      <c r="EK719" s="1466"/>
      <c r="EL719" s="1466"/>
      <c r="EM719" s="1466"/>
      <c r="EN719" s="1466"/>
      <c r="EO719" s="1466">
        <f t="shared" si="27"/>
        <v>0</v>
      </c>
      <c r="EP719" s="1466"/>
      <c r="EQ719" s="1466"/>
      <c r="ER719" s="1466"/>
      <c r="ES719" s="1466"/>
      <c r="ET719" s="1466">
        <f t="shared" si="28"/>
        <v>0</v>
      </c>
      <c r="EU719" s="1466"/>
      <c r="EV719" s="1466"/>
      <c r="EW719" s="1466"/>
      <c r="EX719" s="1466"/>
      <c r="EY719" s="4"/>
      <c r="EZ719" s="1433">
        <f t="shared" si="29"/>
        <v>918</v>
      </c>
      <c r="FA719" s="1473"/>
      <c r="FB719" s="1473"/>
      <c r="FC719" s="1473"/>
      <c r="FD719" s="1434"/>
      <c r="FE719" s="1433" t="str">
        <f t="shared" si="30"/>
        <v/>
      </c>
      <c r="FF719" s="1473"/>
      <c r="FG719" s="1473"/>
      <c r="FH719" s="1473"/>
      <c r="FI719" s="1434"/>
      <c r="FJ719" s="1433" t="str">
        <f t="shared" si="31"/>
        <v/>
      </c>
      <c r="FK719" s="1473"/>
      <c r="FL719" s="1473"/>
      <c r="FM719" s="1473"/>
      <c r="FN719" s="1434"/>
      <c r="FO719" s="1433" t="str">
        <f t="shared" si="32"/>
        <v/>
      </c>
      <c r="FP719" s="1473"/>
      <c r="FQ719" s="1473"/>
      <c r="FR719" s="1473"/>
      <c r="FS719" s="1434"/>
      <c r="FT719" s="1433" t="str">
        <f t="shared" si="33"/>
        <v/>
      </c>
      <c r="FU719" s="1473"/>
      <c r="FV719" s="1473"/>
      <c r="FW719" s="1473"/>
      <c r="FX719" s="1434"/>
      <c r="FY719" s="1433" t="str">
        <f t="shared" si="34"/>
        <v/>
      </c>
      <c r="FZ719" s="1473"/>
      <c r="GA719" s="1473"/>
      <c r="GB719" s="1473"/>
      <c r="GC719" s="1434"/>
    </row>
    <row r="720" spans="1:185" ht="12.95" customHeight="1">
      <c r="A720" s="4"/>
      <c r="B720" s="1342" t="s">
        <v>323</v>
      </c>
      <c r="C720" s="1343"/>
      <c r="D720" s="1343"/>
      <c r="E720" s="1343"/>
      <c r="F720" s="1344"/>
      <c r="G720" s="1339">
        <v>4</v>
      </c>
      <c r="H720" s="1340"/>
      <c r="I720" s="1340"/>
      <c r="J720" s="1341"/>
      <c r="K720" s="1355">
        <v>424</v>
      </c>
      <c r="L720" s="1356"/>
      <c r="M720" s="1356"/>
      <c r="N720" s="1357"/>
      <c r="O720" s="1358">
        <v>1563</v>
      </c>
      <c r="P720" s="1359"/>
      <c r="Q720" s="1359"/>
      <c r="R720" s="1359"/>
      <c r="S720" s="1360"/>
      <c r="T720" s="1358">
        <v>50</v>
      </c>
      <c r="U720" s="1359"/>
      <c r="V720" s="1359"/>
      <c r="W720" s="1360"/>
      <c r="X720" s="1352">
        <f t="shared" si="8"/>
        <v>1613</v>
      </c>
      <c r="Y720" s="1353"/>
      <c r="Z720" s="1353"/>
      <c r="AA720" s="1353"/>
      <c r="AB720" s="1354"/>
      <c r="AC720" s="1345">
        <v>0.5</v>
      </c>
      <c r="AD720" s="1346"/>
      <c r="AE720" s="1346"/>
      <c r="AF720" s="1346"/>
      <c r="AG720" s="1347"/>
      <c r="AH720" s="1349">
        <f t="shared" si="35"/>
        <v>0.5</v>
      </c>
      <c r="AI720" s="1350"/>
      <c r="AJ720" s="1351"/>
      <c r="AK720" s="1342" t="s">
        <v>591</v>
      </c>
      <c r="AL720" s="1343"/>
      <c r="AM720" s="1343"/>
      <c r="AN720" s="1343"/>
      <c r="AO720" s="1344"/>
      <c r="AP720" s="3"/>
      <c r="AQ720" s="3"/>
      <c r="AR720" s="3"/>
      <c r="AS720" s="3"/>
      <c r="AZ720" s="118">
        <f>IF($G720=0,"N/A",VLOOKUP($T$189,TC_Rent,(MATCH($B720,bedrooms,FALSE)),FALSE))</f>
        <v>3226</v>
      </c>
      <c r="BA720" s="3"/>
      <c r="BB720" s="3"/>
      <c r="BC720" s="3"/>
      <c r="BD720" s="3"/>
      <c r="BE720" s="205"/>
      <c r="BF720" s="295">
        <f t="shared" si="9"/>
        <v>4</v>
      </c>
      <c r="BG720" s="298">
        <f t="shared" si="10"/>
        <v>6.1538461538461542E-2</v>
      </c>
      <c r="BH720" s="299">
        <f t="shared" si="11"/>
        <v>3.0769230769230771E-2</v>
      </c>
      <c r="BI720" s="3"/>
      <c r="BJ720" s="3"/>
      <c r="BK720" s="3"/>
      <c r="BL720" s="3"/>
      <c r="BM720" s="3"/>
      <c r="BN720" s="3"/>
      <c r="BS720" s="295">
        <f t="shared" si="12"/>
        <v>4</v>
      </c>
      <c r="BT720" s="298">
        <f t="shared" si="13"/>
        <v>6.1538461538461542E-2</v>
      </c>
      <c r="BU720" s="299">
        <f t="shared" si="14"/>
        <v>3.0769230769230771E-2</v>
      </c>
      <c r="CC720" s="3"/>
      <c r="CD720" s="3"/>
      <c r="CE720" s="3"/>
      <c r="CF720" s="3"/>
      <c r="CG720" s="1433">
        <f t="shared" si="36"/>
        <v>1</v>
      </c>
      <c r="CH720" s="1434"/>
      <c r="CI720" s="1435">
        <f t="shared" si="37"/>
        <v>4</v>
      </c>
      <c r="CJ720" s="1436"/>
      <c r="CK720" s="1433">
        <f t="shared" si="15"/>
        <v>0</v>
      </c>
      <c r="CL720" s="1434"/>
      <c r="CM720" s="1435">
        <f t="shared" si="16"/>
        <v>0</v>
      </c>
      <c r="CN720" s="1436"/>
      <c r="CO720" s="3"/>
      <c r="CP720" s="1463">
        <f t="shared" si="17"/>
        <v>4</v>
      </c>
      <c r="CQ720" s="1464"/>
      <c r="CR720" s="1464"/>
      <c r="CS720" s="1464"/>
      <c r="CT720" s="1465"/>
      <c r="CU720" s="1467">
        <f t="shared" si="18"/>
        <v>0</v>
      </c>
      <c r="CV720" s="1467"/>
      <c r="CW720" s="1467"/>
      <c r="CX720" s="1467"/>
      <c r="CY720" s="1467"/>
      <c r="CZ720" s="1467">
        <f t="shared" si="19"/>
        <v>0</v>
      </c>
      <c r="DA720" s="1467"/>
      <c r="DB720" s="1467"/>
      <c r="DC720" s="1467"/>
      <c r="DD720" s="1467"/>
      <c r="DE720" s="1467">
        <f t="shared" si="20"/>
        <v>0</v>
      </c>
      <c r="DF720" s="1467"/>
      <c r="DG720" s="1467"/>
      <c r="DH720" s="1467"/>
      <c r="DI720" s="1467"/>
      <c r="DJ720" s="1467">
        <f t="shared" si="21"/>
        <v>0</v>
      </c>
      <c r="DK720" s="1467"/>
      <c r="DL720" s="1467"/>
      <c r="DM720" s="1467"/>
      <c r="DN720" s="1467"/>
      <c r="DO720" s="1467">
        <f t="shared" si="22"/>
        <v>0</v>
      </c>
      <c r="DP720" s="1467"/>
      <c r="DQ720" s="1467"/>
      <c r="DR720" s="1467"/>
      <c r="DS720" s="1467"/>
      <c r="DT720" s="6"/>
      <c r="DU720" s="1466">
        <f t="shared" si="23"/>
        <v>0</v>
      </c>
      <c r="DV720" s="1466"/>
      <c r="DW720" s="1466"/>
      <c r="DX720" s="1466"/>
      <c r="DY720" s="1466"/>
      <c r="DZ720" s="1466">
        <f t="shared" si="24"/>
        <v>0</v>
      </c>
      <c r="EA720" s="1466"/>
      <c r="EB720" s="1466"/>
      <c r="EC720" s="1466"/>
      <c r="ED720" s="1466"/>
      <c r="EE720" s="1466">
        <f t="shared" si="25"/>
        <v>0</v>
      </c>
      <c r="EF720" s="1466"/>
      <c r="EG720" s="1466"/>
      <c r="EH720" s="1466"/>
      <c r="EI720" s="1466"/>
      <c r="EJ720" s="1466">
        <f t="shared" si="26"/>
        <v>0</v>
      </c>
      <c r="EK720" s="1466"/>
      <c r="EL720" s="1466"/>
      <c r="EM720" s="1466"/>
      <c r="EN720" s="1466"/>
      <c r="EO720" s="1466">
        <f t="shared" si="27"/>
        <v>0</v>
      </c>
      <c r="EP720" s="1466"/>
      <c r="EQ720" s="1466"/>
      <c r="ER720" s="1466"/>
      <c r="ES720" s="1466"/>
      <c r="ET720" s="1466">
        <f t="shared" si="28"/>
        <v>0</v>
      </c>
      <c r="EU720" s="1466"/>
      <c r="EV720" s="1466"/>
      <c r="EW720" s="1466"/>
      <c r="EX720" s="1466"/>
      <c r="EZ720" s="1433">
        <f t="shared" si="29"/>
        <v>1563</v>
      </c>
      <c r="FA720" s="1473"/>
      <c r="FB720" s="1473"/>
      <c r="FC720" s="1473"/>
      <c r="FD720" s="1434"/>
      <c r="FE720" s="1433" t="str">
        <f t="shared" si="30"/>
        <v/>
      </c>
      <c r="FF720" s="1473"/>
      <c r="FG720" s="1473"/>
      <c r="FH720" s="1473"/>
      <c r="FI720" s="1434"/>
      <c r="FJ720" s="1433" t="str">
        <f t="shared" si="31"/>
        <v/>
      </c>
      <c r="FK720" s="1473"/>
      <c r="FL720" s="1473"/>
      <c r="FM720" s="1473"/>
      <c r="FN720" s="1434"/>
      <c r="FO720" s="1433" t="str">
        <f t="shared" si="32"/>
        <v/>
      </c>
      <c r="FP720" s="1473"/>
      <c r="FQ720" s="1473"/>
      <c r="FR720" s="1473"/>
      <c r="FS720" s="1434"/>
      <c r="FT720" s="1433" t="str">
        <f t="shared" si="33"/>
        <v/>
      </c>
      <c r="FU720" s="1473"/>
      <c r="FV720" s="1473"/>
      <c r="FW720" s="1473"/>
      <c r="FX720" s="1434"/>
      <c r="FY720" s="1433" t="str">
        <f t="shared" si="34"/>
        <v/>
      </c>
      <c r="FZ720" s="1473"/>
      <c r="GA720" s="1473"/>
      <c r="GB720" s="1473"/>
      <c r="GC720" s="1434"/>
    </row>
    <row r="721" spans="1:185" ht="12.95" customHeight="1">
      <c r="B721" s="1342" t="s">
        <v>324</v>
      </c>
      <c r="C721" s="1343"/>
      <c r="D721" s="1343"/>
      <c r="E721" s="1343"/>
      <c r="F721" s="1344"/>
      <c r="G721" s="1339">
        <v>1</v>
      </c>
      <c r="H721" s="1340"/>
      <c r="I721" s="1340"/>
      <c r="J721" s="1341"/>
      <c r="K721" s="1355">
        <v>630</v>
      </c>
      <c r="L721" s="1356"/>
      <c r="M721" s="1356"/>
      <c r="N721" s="1357"/>
      <c r="O721" s="1358">
        <v>978</v>
      </c>
      <c r="P721" s="1359"/>
      <c r="Q721" s="1359"/>
      <c r="R721" s="1359"/>
      <c r="S721" s="1360"/>
      <c r="T721" s="1358">
        <v>59</v>
      </c>
      <c r="U721" s="1359"/>
      <c r="V721" s="1359"/>
      <c r="W721" s="1360"/>
      <c r="X721" s="1352">
        <f t="shared" si="8"/>
        <v>1037</v>
      </c>
      <c r="Y721" s="1353"/>
      <c r="Z721" s="1353"/>
      <c r="AA721" s="1353"/>
      <c r="AB721" s="1354"/>
      <c r="AC721" s="1345">
        <v>0.3</v>
      </c>
      <c r="AD721" s="1346"/>
      <c r="AE721" s="1346"/>
      <c r="AF721" s="1346"/>
      <c r="AG721" s="1347"/>
      <c r="AH721" s="1349">
        <f t="shared" si="35"/>
        <v>0.30005787037037035</v>
      </c>
      <c r="AI721" s="1350"/>
      <c r="AJ721" s="1351"/>
      <c r="AK721" s="1342" t="s">
        <v>591</v>
      </c>
      <c r="AL721" s="1343"/>
      <c r="AM721" s="1343"/>
      <c r="AN721" s="1343"/>
      <c r="AO721" s="1344"/>
      <c r="AP721" s="3"/>
      <c r="AQ721" s="3"/>
      <c r="AR721" s="3"/>
      <c r="AS721" s="3"/>
      <c r="AY721" s="116"/>
      <c r="AZ721" s="118">
        <f>IF($G721=0,"N/A",VLOOKUP($T$189,TC_Rent,(MATCH($B721,bedrooms,FALSE)),FALSE))</f>
        <v>3456</v>
      </c>
      <c r="BA721" s="3"/>
      <c r="BB721" s="3"/>
      <c r="BC721" s="3"/>
      <c r="BD721" s="3"/>
      <c r="BE721" s="205"/>
      <c r="BF721" s="295">
        <f t="shared" si="9"/>
        <v>1</v>
      </c>
      <c r="BG721" s="298">
        <f t="shared" si="10"/>
        <v>1.5384615384615385E-2</v>
      </c>
      <c r="BH721" s="299">
        <f t="shared" si="11"/>
        <v>4.6153846153846158E-3</v>
      </c>
      <c r="BI721" s="3"/>
      <c r="BJ721" s="3"/>
      <c r="BK721" s="3"/>
      <c r="BL721" s="3"/>
      <c r="BM721" s="3"/>
      <c r="BN721" s="3"/>
      <c r="BS721" s="295">
        <f t="shared" si="12"/>
        <v>1</v>
      </c>
      <c r="BT721" s="298">
        <f t="shared" si="13"/>
        <v>1.5384615384615385E-2</v>
      </c>
      <c r="BU721" s="299">
        <f t="shared" si="14"/>
        <v>4.6162749287749286E-3</v>
      </c>
      <c r="CC721" s="3"/>
      <c r="CD721" s="3"/>
      <c r="CE721" s="3"/>
      <c r="CF721" s="3"/>
      <c r="CG721" s="1433">
        <f t="shared" si="36"/>
        <v>0</v>
      </c>
      <c r="CH721" s="1434"/>
      <c r="CI721" s="1435">
        <f t="shared" si="37"/>
        <v>0</v>
      </c>
      <c r="CJ721" s="1436"/>
      <c r="CK721" s="1433">
        <f t="shared" si="15"/>
        <v>1</v>
      </c>
      <c r="CL721" s="1434"/>
      <c r="CM721" s="1435">
        <f t="shared" si="16"/>
        <v>1</v>
      </c>
      <c r="CN721" s="1436"/>
      <c r="CO721" s="3"/>
      <c r="CP721" s="1463">
        <f t="shared" si="17"/>
        <v>0</v>
      </c>
      <c r="CQ721" s="1464"/>
      <c r="CR721" s="1464"/>
      <c r="CS721" s="1464"/>
      <c r="CT721" s="1465"/>
      <c r="CU721" s="1467">
        <f t="shared" si="18"/>
        <v>1</v>
      </c>
      <c r="CV721" s="1467"/>
      <c r="CW721" s="1467"/>
      <c r="CX721" s="1467"/>
      <c r="CY721" s="1467"/>
      <c r="CZ721" s="1467">
        <f t="shared" si="19"/>
        <v>0</v>
      </c>
      <c r="DA721" s="1467"/>
      <c r="DB721" s="1467"/>
      <c r="DC721" s="1467"/>
      <c r="DD721" s="1467"/>
      <c r="DE721" s="1467">
        <f t="shared" si="20"/>
        <v>0</v>
      </c>
      <c r="DF721" s="1467"/>
      <c r="DG721" s="1467"/>
      <c r="DH721" s="1467"/>
      <c r="DI721" s="1467"/>
      <c r="DJ721" s="1467">
        <f t="shared" si="21"/>
        <v>0</v>
      </c>
      <c r="DK721" s="1467"/>
      <c r="DL721" s="1467"/>
      <c r="DM721" s="1467"/>
      <c r="DN721" s="1467"/>
      <c r="DO721" s="1467">
        <f t="shared" si="22"/>
        <v>0</v>
      </c>
      <c r="DP721" s="1467"/>
      <c r="DQ721" s="1467"/>
      <c r="DR721" s="1467"/>
      <c r="DS721" s="1467"/>
      <c r="DT721" s="6"/>
      <c r="DU721" s="1466">
        <f t="shared" si="23"/>
        <v>0</v>
      </c>
      <c r="DV721" s="1466"/>
      <c r="DW721" s="1466"/>
      <c r="DX721" s="1466"/>
      <c r="DY721" s="1466"/>
      <c r="DZ721" s="1466">
        <f t="shared" si="24"/>
        <v>1</v>
      </c>
      <c r="EA721" s="1466"/>
      <c r="EB721" s="1466"/>
      <c r="EC721" s="1466"/>
      <c r="ED721" s="1466"/>
      <c r="EE721" s="1466">
        <f t="shared" si="25"/>
        <v>0</v>
      </c>
      <c r="EF721" s="1466"/>
      <c r="EG721" s="1466"/>
      <c r="EH721" s="1466"/>
      <c r="EI721" s="1466"/>
      <c r="EJ721" s="1466">
        <f t="shared" si="26"/>
        <v>0</v>
      </c>
      <c r="EK721" s="1466"/>
      <c r="EL721" s="1466"/>
      <c r="EM721" s="1466"/>
      <c r="EN721" s="1466"/>
      <c r="EO721" s="1466">
        <f t="shared" si="27"/>
        <v>0</v>
      </c>
      <c r="EP721" s="1466"/>
      <c r="EQ721" s="1466"/>
      <c r="ER721" s="1466"/>
      <c r="ES721" s="1466"/>
      <c r="ET721" s="1466">
        <f t="shared" si="28"/>
        <v>0</v>
      </c>
      <c r="EU721" s="1466"/>
      <c r="EV721" s="1466"/>
      <c r="EW721" s="1466"/>
      <c r="EX721" s="1466"/>
      <c r="EZ721" s="1433" t="str">
        <f t="shared" si="29"/>
        <v/>
      </c>
      <c r="FA721" s="1473"/>
      <c r="FB721" s="1473"/>
      <c r="FC721" s="1473"/>
      <c r="FD721" s="1434"/>
      <c r="FE721" s="1433">
        <f t="shared" si="30"/>
        <v>978</v>
      </c>
      <c r="FF721" s="1473"/>
      <c r="FG721" s="1473"/>
      <c r="FH721" s="1473"/>
      <c r="FI721" s="1434"/>
      <c r="FJ721" s="1433" t="str">
        <f t="shared" si="31"/>
        <v/>
      </c>
      <c r="FK721" s="1473"/>
      <c r="FL721" s="1473"/>
      <c r="FM721" s="1473"/>
      <c r="FN721" s="1434"/>
      <c r="FO721" s="1433" t="str">
        <f t="shared" si="32"/>
        <v/>
      </c>
      <c r="FP721" s="1473"/>
      <c r="FQ721" s="1473"/>
      <c r="FR721" s="1473"/>
      <c r="FS721" s="1434"/>
      <c r="FT721" s="1433" t="str">
        <f t="shared" si="33"/>
        <v/>
      </c>
      <c r="FU721" s="1473"/>
      <c r="FV721" s="1473"/>
      <c r="FW721" s="1473"/>
      <c r="FX721" s="1434"/>
      <c r="FY721" s="1433" t="str">
        <f t="shared" si="34"/>
        <v/>
      </c>
      <c r="FZ721" s="1473"/>
      <c r="GA721" s="1473"/>
      <c r="GB721" s="1473"/>
      <c r="GC721" s="1434"/>
    </row>
    <row r="722" spans="1:185" ht="12.95" customHeight="1">
      <c r="B722" s="1342" t="s">
        <v>324</v>
      </c>
      <c r="C722" s="1343"/>
      <c r="D722" s="1343"/>
      <c r="E722" s="1343"/>
      <c r="F722" s="1344"/>
      <c r="G722" s="1339">
        <v>7</v>
      </c>
      <c r="H722" s="1340"/>
      <c r="I722" s="1340"/>
      <c r="J722" s="1341"/>
      <c r="K722" s="1355">
        <v>630</v>
      </c>
      <c r="L722" s="1356"/>
      <c r="M722" s="1356"/>
      <c r="N722" s="1357"/>
      <c r="O722" s="1358">
        <v>1669</v>
      </c>
      <c r="P722" s="1359"/>
      <c r="Q722" s="1359"/>
      <c r="R722" s="1359"/>
      <c r="S722" s="1360"/>
      <c r="T722" s="1358">
        <v>59</v>
      </c>
      <c r="U722" s="1359"/>
      <c r="V722" s="1359"/>
      <c r="W722" s="1360"/>
      <c r="X722" s="1352">
        <f t="shared" si="8"/>
        <v>1728</v>
      </c>
      <c r="Y722" s="1353"/>
      <c r="Z722" s="1353"/>
      <c r="AA722" s="1353"/>
      <c r="AB722" s="1354"/>
      <c r="AC722" s="1345">
        <v>0.5</v>
      </c>
      <c r="AD722" s="1346"/>
      <c r="AE722" s="1346"/>
      <c r="AF722" s="1346"/>
      <c r="AG722" s="1347"/>
      <c r="AH722" s="1349">
        <f t="shared" si="35"/>
        <v>0.5</v>
      </c>
      <c r="AI722" s="1350"/>
      <c r="AJ722" s="1351"/>
      <c r="AK722" s="1342" t="s">
        <v>2698</v>
      </c>
      <c r="AL722" s="1343"/>
      <c r="AM722" s="1343"/>
      <c r="AN722" s="1343"/>
      <c r="AO722" s="1344"/>
      <c r="AP722" s="3"/>
      <c r="AQ722" s="3"/>
      <c r="AR722" s="3"/>
      <c r="AS722" s="3"/>
      <c r="AY722" s="116"/>
      <c r="AZ722" s="118">
        <f>IF($G722=0,"N/A",VLOOKUP($T$189,TC_Rent,(MATCH($B722,bedrooms,FALSE)),FALSE))</f>
        <v>3456</v>
      </c>
      <c r="BA722" s="3"/>
      <c r="BB722" s="3"/>
      <c r="BC722" s="3"/>
      <c r="BD722" s="3"/>
      <c r="BE722" s="205"/>
      <c r="BF722" s="295">
        <f t="shared" si="9"/>
        <v>7</v>
      </c>
      <c r="BG722" s="298">
        <f t="shared" si="10"/>
        <v>0.1076923076923077</v>
      </c>
      <c r="BH722" s="299">
        <f t="shared" si="11"/>
        <v>5.3846153846153849E-2</v>
      </c>
      <c r="BI722" s="3"/>
      <c r="BJ722" s="3"/>
      <c r="BK722" s="3"/>
      <c r="BL722" s="3"/>
      <c r="BM722" s="3"/>
      <c r="BN722" s="3"/>
      <c r="BS722" s="295">
        <f t="shared" si="12"/>
        <v>7</v>
      </c>
      <c r="BT722" s="298">
        <f t="shared" si="13"/>
        <v>0.1076923076923077</v>
      </c>
      <c r="BU722" s="299">
        <f t="shared" si="14"/>
        <v>5.3846153846153849E-2</v>
      </c>
      <c r="CC722" s="3"/>
      <c r="CD722" s="3"/>
      <c r="CE722" s="3"/>
      <c r="CF722" s="3"/>
      <c r="CG722" s="1433">
        <f t="shared" si="36"/>
        <v>1</v>
      </c>
      <c r="CH722" s="1434"/>
      <c r="CI722" s="1435">
        <f t="shared" si="37"/>
        <v>7</v>
      </c>
      <c r="CJ722" s="1436"/>
      <c r="CK722" s="1433">
        <f t="shared" si="15"/>
        <v>0</v>
      </c>
      <c r="CL722" s="1434"/>
      <c r="CM722" s="1435">
        <f t="shared" si="16"/>
        <v>0</v>
      </c>
      <c r="CN722" s="1436"/>
      <c r="CO722" s="3"/>
      <c r="CP722" s="1463">
        <f t="shared" si="17"/>
        <v>0</v>
      </c>
      <c r="CQ722" s="1464"/>
      <c r="CR722" s="1464"/>
      <c r="CS722" s="1464"/>
      <c r="CT722" s="1465"/>
      <c r="CU722" s="1467">
        <f t="shared" si="18"/>
        <v>7</v>
      </c>
      <c r="CV722" s="1467"/>
      <c r="CW722" s="1467"/>
      <c r="CX722" s="1467"/>
      <c r="CY722" s="1467"/>
      <c r="CZ722" s="1467">
        <f t="shared" si="19"/>
        <v>0</v>
      </c>
      <c r="DA722" s="1467"/>
      <c r="DB722" s="1467"/>
      <c r="DC722" s="1467"/>
      <c r="DD722" s="1467"/>
      <c r="DE722" s="1467">
        <f t="shared" si="20"/>
        <v>0</v>
      </c>
      <c r="DF722" s="1467"/>
      <c r="DG722" s="1467"/>
      <c r="DH722" s="1467"/>
      <c r="DI722" s="1467"/>
      <c r="DJ722" s="1467">
        <f t="shared" si="21"/>
        <v>0</v>
      </c>
      <c r="DK722" s="1467"/>
      <c r="DL722" s="1467"/>
      <c r="DM722" s="1467"/>
      <c r="DN722" s="1467"/>
      <c r="DO722" s="1467">
        <f t="shared" si="22"/>
        <v>0</v>
      </c>
      <c r="DP722" s="1467"/>
      <c r="DQ722" s="1467"/>
      <c r="DR722" s="1467"/>
      <c r="DS722" s="1467"/>
      <c r="DT722" s="6"/>
      <c r="DU722" s="1466">
        <f t="shared" si="23"/>
        <v>0</v>
      </c>
      <c r="DV722" s="1466"/>
      <c r="DW722" s="1466"/>
      <c r="DX722" s="1466"/>
      <c r="DY722" s="1466"/>
      <c r="DZ722" s="1466">
        <f t="shared" si="24"/>
        <v>0</v>
      </c>
      <c r="EA722" s="1466"/>
      <c r="EB722" s="1466"/>
      <c r="EC722" s="1466"/>
      <c r="ED722" s="1466"/>
      <c r="EE722" s="1466">
        <f t="shared" si="25"/>
        <v>0</v>
      </c>
      <c r="EF722" s="1466"/>
      <c r="EG722" s="1466"/>
      <c r="EH722" s="1466"/>
      <c r="EI722" s="1466"/>
      <c r="EJ722" s="1466">
        <f t="shared" si="26"/>
        <v>0</v>
      </c>
      <c r="EK722" s="1466"/>
      <c r="EL722" s="1466"/>
      <c r="EM722" s="1466"/>
      <c r="EN722" s="1466"/>
      <c r="EO722" s="1466">
        <f t="shared" si="27"/>
        <v>0</v>
      </c>
      <c r="EP722" s="1466"/>
      <c r="EQ722" s="1466"/>
      <c r="ER722" s="1466"/>
      <c r="ES722" s="1466"/>
      <c r="ET722" s="1466">
        <f t="shared" si="28"/>
        <v>0</v>
      </c>
      <c r="EU722" s="1466"/>
      <c r="EV722" s="1466"/>
      <c r="EW722" s="1466"/>
      <c r="EX722" s="1466"/>
      <c r="EZ722" s="1433" t="str">
        <f t="shared" si="29"/>
        <v/>
      </c>
      <c r="FA722" s="1473"/>
      <c r="FB722" s="1473"/>
      <c r="FC722" s="1473"/>
      <c r="FD722" s="1434"/>
      <c r="FE722" s="1433">
        <f t="shared" si="30"/>
        <v>1669</v>
      </c>
      <c r="FF722" s="1473"/>
      <c r="FG722" s="1473"/>
      <c r="FH722" s="1473"/>
      <c r="FI722" s="1434"/>
      <c r="FJ722" s="1433" t="str">
        <f t="shared" si="31"/>
        <v/>
      </c>
      <c r="FK722" s="1473"/>
      <c r="FL722" s="1473"/>
      <c r="FM722" s="1473"/>
      <c r="FN722" s="1434"/>
      <c r="FO722" s="1433" t="str">
        <f t="shared" si="32"/>
        <v/>
      </c>
      <c r="FP722" s="1473"/>
      <c r="FQ722" s="1473"/>
      <c r="FR722" s="1473"/>
      <c r="FS722" s="1434"/>
      <c r="FT722" s="1433" t="str">
        <f t="shared" si="33"/>
        <v/>
      </c>
      <c r="FU722" s="1473"/>
      <c r="FV722" s="1473"/>
      <c r="FW722" s="1473"/>
      <c r="FX722" s="1434"/>
      <c r="FY722" s="1433" t="str">
        <f t="shared" si="34"/>
        <v/>
      </c>
      <c r="FZ722" s="1473"/>
      <c r="GA722" s="1473"/>
      <c r="GB722" s="1473"/>
      <c r="GC722" s="1434"/>
    </row>
    <row r="723" spans="1:185" ht="12.95" customHeight="1">
      <c r="B723" s="1342" t="s">
        <v>324</v>
      </c>
      <c r="C723" s="1343"/>
      <c r="D723" s="1343"/>
      <c r="E723" s="1343"/>
      <c r="F723" s="1344"/>
      <c r="G723" s="1339">
        <v>8</v>
      </c>
      <c r="H723" s="1340"/>
      <c r="I723" s="1340"/>
      <c r="J723" s="1341"/>
      <c r="K723" s="1355">
        <v>630</v>
      </c>
      <c r="L723" s="1356"/>
      <c r="M723" s="1356"/>
      <c r="N723" s="1357"/>
      <c r="O723" s="1358">
        <v>1669</v>
      </c>
      <c r="P723" s="1359"/>
      <c r="Q723" s="1359"/>
      <c r="R723" s="1359"/>
      <c r="S723" s="1360"/>
      <c r="T723" s="1358">
        <v>59</v>
      </c>
      <c r="U723" s="1359"/>
      <c r="V723" s="1359"/>
      <c r="W723" s="1360"/>
      <c r="X723" s="1352">
        <f t="shared" si="8"/>
        <v>1728</v>
      </c>
      <c r="Y723" s="1353"/>
      <c r="Z723" s="1353"/>
      <c r="AA723" s="1353"/>
      <c r="AB723" s="1354"/>
      <c r="AC723" s="1345">
        <v>0.5</v>
      </c>
      <c r="AD723" s="1346"/>
      <c r="AE723" s="1346"/>
      <c r="AF723" s="1346"/>
      <c r="AG723" s="1347"/>
      <c r="AH723" s="1349">
        <f t="shared" si="35"/>
        <v>0.5</v>
      </c>
      <c r="AI723" s="1350"/>
      <c r="AJ723" s="1351"/>
      <c r="AK723" s="1342" t="s">
        <v>591</v>
      </c>
      <c r="AL723" s="1343"/>
      <c r="AM723" s="1343"/>
      <c r="AN723" s="1343"/>
      <c r="AO723" s="1344"/>
      <c r="AP723" s="3"/>
      <c r="AQ723" s="3"/>
      <c r="AR723" s="3"/>
      <c r="AS723" s="3"/>
      <c r="AY723" s="116"/>
      <c r="AZ723" s="118">
        <f>IF($G723=0,"N/A",VLOOKUP($T$189,TC_Rent,(MATCH($B723,bedrooms,FALSE)),FALSE))</f>
        <v>3456</v>
      </c>
      <c r="BA723" s="3"/>
      <c r="BB723" s="3"/>
      <c r="BC723" s="3"/>
      <c r="BD723" s="3"/>
      <c r="BE723" s="205"/>
      <c r="BF723" s="295">
        <f t="shared" si="9"/>
        <v>8</v>
      </c>
      <c r="BG723" s="298">
        <f t="shared" si="10"/>
        <v>0.12307692307692308</v>
      </c>
      <c r="BH723" s="299">
        <f t="shared" si="11"/>
        <v>6.1538461538461542E-2</v>
      </c>
      <c r="BI723" s="3"/>
      <c r="BJ723" s="3"/>
      <c r="BK723" s="3"/>
      <c r="BL723" s="3"/>
      <c r="BM723" s="3"/>
      <c r="BN723" s="3"/>
      <c r="BS723" s="295">
        <f t="shared" si="12"/>
        <v>8</v>
      </c>
      <c r="BT723" s="298">
        <f t="shared" si="13"/>
        <v>0.12307692307692308</v>
      </c>
      <c r="BU723" s="299">
        <f t="shared" si="14"/>
        <v>6.1538461538461542E-2</v>
      </c>
      <c r="CC723" s="3"/>
      <c r="CD723" s="3"/>
      <c r="CE723" s="3"/>
      <c r="CF723" s="3"/>
      <c r="CG723" s="1433">
        <f t="shared" si="36"/>
        <v>1</v>
      </c>
      <c r="CH723" s="1434"/>
      <c r="CI723" s="1435">
        <f t="shared" si="37"/>
        <v>8</v>
      </c>
      <c r="CJ723" s="1436"/>
      <c r="CK723" s="1433">
        <f t="shared" si="15"/>
        <v>0</v>
      </c>
      <c r="CL723" s="1434"/>
      <c r="CM723" s="1435">
        <f t="shared" si="16"/>
        <v>0</v>
      </c>
      <c r="CN723" s="1436"/>
      <c r="CO723" s="3"/>
      <c r="CP723" s="1463">
        <f t="shared" si="17"/>
        <v>0</v>
      </c>
      <c r="CQ723" s="1464"/>
      <c r="CR723" s="1464"/>
      <c r="CS723" s="1464"/>
      <c r="CT723" s="1465"/>
      <c r="CU723" s="1467">
        <f t="shared" si="18"/>
        <v>8</v>
      </c>
      <c r="CV723" s="1467"/>
      <c r="CW723" s="1467"/>
      <c r="CX723" s="1467"/>
      <c r="CY723" s="1467"/>
      <c r="CZ723" s="1467">
        <f t="shared" si="19"/>
        <v>0</v>
      </c>
      <c r="DA723" s="1467"/>
      <c r="DB723" s="1467"/>
      <c r="DC723" s="1467"/>
      <c r="DD723" s="1467"/>
      <c r="DE723" s="1467">
        <f t="shared" si="20"/>
        <v>0</v>
      </c>
      <c r="DF723" s="1467"/>
      <c r="DG723" s="1467"/>
      <c r="DH723" s="1467"/>
      <c r="DI723" s="1467"/>
      <c r="DJ723" s="1467">
        <f t="shared" si="21"/>
        <v>0</v>
      </c>
      <c r="DK723" s="1467"/>
      <c r="DL723" s="1467"/>
      <c r="DM723" s="1467"/>
      <c r="DN723" s="1467"/>
      <c r="DO723" s="1467">
        <f t="shared" si="22"/>
        <v>0</v>
      </c>
      <c r="DP723" s="1467"/>
      <c r="DQ723" s="1467"/>
      <c r="DR723" s="1467"/>
      <c r="DS723" s="1467"/>
      <c r="DT723" s="6"/>
      <c r="DU723" s="1466">
        <f t="shared" si="23"/>
        <v>0</v>
      </c>
      <c r="DV723" s="1466"/>
      <c r="DW723" s="1466"/>
      <c r="DX723" s="1466"/>
      <c r="DY723" s="1466"/>
      <c r="DZ723" s="1466">
        <f t="shared" si="24"/>
        <v>0</v>
      </c>
      <c r="EA723" s="1466"/>
      <c r="EB723" s="1466"/>
      <c r="EC723" s="1466"/>
      <c r="ED723" s="1466"/>
      <c r="EE723" s="1466">
        <f t="shared" si="25"/>
        <v>0</v>
      </c>
      <c r="EF723" s="1466"/>
      <c r="EG723" s="1466"/>
      <c r="EH723" s="1466"/>
      <c r="EI723" s="1466"/>
      <c r="EJ723" s="1466">
        <f t="shared" si="26"/>
        <v>0</v>
      </c>
      <c r="EK723" s="1466"/>
      <c r="EL723" s="1466"/>
      <c r="EM723" s="1466"/>
      <c r="EN723" s="1466"/>
      <c r="EO723" s="1466">
        <f t="shared" si="27"/>
        <v>0</v>
      </c>
      <c r="EP723" s="1466"/>
      <c r="EQ723" s="1466"/>
      <c r="ER723" s="1466"/>
      <c r="ES723" s="1466"/>
      <c r="ET723" s="1466">
        <f t="shared" si="28"/>
        <v>0</v>
      </c>
      <c r="EU723" s="1466"/>
      <c r="EV723" s="1466"/>
      <c r="EW723" s="1466"/>
      <c r="EX723" s="1466"/>
      <c r="EZ723" s="1433" t="str">
        <f t="shared" si="29"/>
        <v/>
      </c>
      <c r="FA723" s="1473"/>
      <c r="FB723" s="1473"/>
      <c r="FC723" s="1473"/>
      <c r="FD723" s="1434"/>
      <c r="FE723" s="1433">
        <f t="shared" si="30"/>
        <v>1669</v>
      </c>
      <c r="FF723" s="1473"/>
      <c r="FG723" s="1473"/>
      <c r="FH723" s="1473"/>
      <c r="FI723" s="1434"/>
      <c r="FJ723" s="1433" t="str">
        <f t="shared" si="31"/>
        <v/>
      </c>
      <c r="FK723" s="1473"/>
      <c r="FL723" s="1473"/>
      <c r="FM723" s="1473"/>
      <c r="FN723" s="1434"/>
      <c r="FO723" s="1433" t="str">
        <f t="shared" si="32"/>
        <v/>
      </c>
      <c r="FP723" s="1473"/>
      <c r="FQ723" s="1473"/>
      <c r="FR723" s="1473"/>
      <c r="FS723" s="1434"/>
      <c r="FT723" s="1433" t="str">
        <f t="shared" si="33"/>
        <v/>
      </c>
      <c r="FU723" s="1473"/>
      <c r="FV723" s="1473"/>
      <c r="FW723" s="1473"/>
      <c r="FX723" s="1434"/>
      <c r="FY723" s="1433" t="str">
        <f t="shared" si="34"/>
        <v/>
      </c>
      <c r="FZ723" s="1473"/>
      <c r="GA723" s="1473"/>
      <c r="GB723" s="1473"/>
      <c r="GC723" s="1434"/>
    </row>
    <row r="724" spans="1:185" ht="12.95" customHeight="1">
      <c r="B724" s="1342" t="s">
        <v>163</v>
      </c>
      <c r="C724" s="1343"/>
      <c r="D724" s="1343"/>
      <c r="E724" s="1343"/>
      <c r="F724" s="1344"/>
      <c r="G724" s="1339">
        <v>8</v>
      </c>
      <c r="H724" s="1340"/>
      <c r="I724" s="1340"/>
      <c r="J724" s="1341"/>
      <c r="K724" s="1355">
        <v>820</v>
      </c>
      <c r="L724" s="1356"/>
      <c r="M724" s="1356"/>
      <c r="N724" s="1357"/>
      <c r="O724" s="1358">
        <v>1164</v>
      </c>
      <c r="P724" s="1359"/>
      <c r="Q724" s="1359"/>
      <c r="R724" s="1359"/>
      <c r="S724" s="1360"/>
      <c r="T724" s="1358">
        <v>80</v>
      </c>
      <c r="U724" s="1359"/>
      <c r="V724" s="1359"/>
      <c r="W724" s="1360"/>
      <c r="X724" s="1352">
        <f t="shared" si="8"/>
        <v>1244</v>
      </c>
      <c r="Y724" s="1353"/>
      <c r="Z724" s="1353"/>
      <c r="AA724" s="1353"/>
      <c r="AB724" s="1354"/>
      <c r="AC724" s="1345">
        <v>0.3</v>
      </c>
      <c r="AD724" s="1346"/>
      <c r="AE724" s="1346"/>
      <c r="AF724" s="1346"/>
      <c r="AG724" s="1347"/>
      <c r="AH724" s="1349">
        <f t="shared" si="35"/>
        <v>0.30004823926676316</v>
      </c>
      <c r="AI724" s="1350"/>
      <c r="AJ724" s="1351"/>
      <c r="AK724" s="1342" t="s">
        <v>2101</v>
      </c>
      <c r="AL724" s="1343"/>
      <c r="AM724" s="1343"/>
      <c r="AN724" s="1343"/>
      <c r="AO724" s="1344"/>
      <c r="AP724" s="3"/>
      <c r="AQ724" s="3"/>
      <c r="AR724" s="3"/>
      <c r="AS724" s="3"/>
      <c r="AY724" s="116"/>
      <c r="AZ724" s="118">
        <f>IF($G724=0,"N/A",VLOOKUP($T$189,TC_Rent,(MATCH($B724,bedrooms,FALSE)),FALSE))</f>
        <v>4146</v>
      </c>
      <c r="BA724" s="3"/>
      <c r="BB724" s="3"/>
      <c r="BC724" s="3"/>
      <c r="BD724" s="3"/>
      <c r="BE724" s="205"/>
      <c r="BF724" s="295">
        <f t="shared" si="9"/>
        <v>8</v>
      </c>
      <c r="BG724" s="298">
        <f t="shared" si="10"/>
        <v>0.12307692307692308</v>
      </c>
      <c r="BH724" s="299">
        <f t="shared" si="11"/>
        <v>3.6923076923076927E-2</v>
      </c>
      <c r="BI724" s="3"/>
      <c r="BJ724" s="3"/>
      <c r="BK724" s="3"/>
      <c r="BL724" s="3"/>
      <c r="BM724" s="3"/>
      <c r="BN724" s="3"/>
      <c r="BS724" s="295">
        <f t="shared" si="12"/>
        <v>8</v>
      </c>
      <c r="BT724" s="298">
        <f t="shared" si="13"/>
        <v>0.12307692307692308</v>
      </c>
      <c r="BU724" s="299">
        <f t="shared" si="14"/>
        <v>3.692901406360162E-2</v>
      </c>
      <c r="CC724" s="3"/>
      <c r="CE724" s="3"/>
      <c r="CF724" s="3"/>
      <c r="CG724" s="1433">
        <f t="shared" si="36"/>
        <v>0</v>
      </c>
      <c r="CH724" s="1434"/>
      <c r="CI724" s="1435">
        <f t="shared" si="37"/>
        <v>0</v>
      </c>
      <c r="CJ724" s="1436"/>
      <c r="CK724" s="1433">
        <f t="shared" si="15"/>
        <v>1</v>
      </c>
      <c r="CL724" s="1434"/>
      <c r="CM724" s="1435">
        <f t="shared" si="16"/>
        <v>8</v>
      </c>
      <c r="CN724" s="1436"/>
      <c r="CO724" s="3"/>
      <c r="CP724" s="1463">
        <f>IF(B724="SRO/Studio",G724,0)</f>
        <v>0</v>
      </c>
      <c r="CQ724" s="1464"/>
      <c r="CR724" s="1464"/>
      <c r="CS724" s="1464"/>
      <c r="CT724" s="1465"/>
      <c r="CU724" s="1467">
        <f>IF(B724="1 Bedroom",G724,0)</f>
        <v>0</v>
      </c>
      <c r="CV724" s="1467"/>
      <c r="CW724" s="1467"/>
      <c r="CX724" s="1467"/>
      <c r="CY724" s="1467"/>
      <c r="CZ724" s="1467">
        <f>IF(B724="2 Bedrooms",G724,0)</f>
        <v>8</v>
      </c>
      <c r="DA724" s="1467"/>
      <c r="DB724" s="1467"/>
      <c r="DC724" s="1467"/>
      <c r="DD724" s="1467"/>
      <c r="DE724" s="1467">
        <f>IF(B724="3 Bedrooms",G724,0)</f>
        <v>0</v>
      </c>
      <c r="DF724" s="1467"/>
      <c r="DG724" s="1467"/>
      <c r="DH724" s="1467"/>
      <c r="DI724" s="1467"/>
      <c r="DJ724" s="1467">
        <f>IF(B724="4 Bedrooms",G724,0)</f>
        <v>0</v>
      </c>
      <c r="DK724" s="1467"/>
      <c r="DL724" s="1467"/>
      <c r="DM724" s="1467"/>
      <c r="DN724" s="1467"/>
      <c r="DO724" s="1467">
        <f>IF(B724="5 Bedrooms",G724,0)</f>
        <v>0</v>
      </c>
      <c r="DP724" s="1467"/>
      <c r="DQ724" s="1467"/>
      <c r="DR724" s="1467"/>
      <c r="DS724" s="1467"/>
      <c r="DT724" s="6"/>
      <c r="DU724" s="1466">
        <f>IF(AND(B724="SRO/Studio",AC724&lt;=0.3),G724,0)</f>
        <v>0</v>
      </c>
      <c r="DV724" s="1466"/>
      <c r="DW724" s="1466"/>
      <c r="DX724" s="1466"/>
      <c r="DY724" s="1466"/>
      <c r="DZ724" s="1466">
        <f>IF(AND(B724="1 Bedroom",AC724&lt;=0.3),G724,0)</f>
        <v>0</v>
      </c>
      <c r="EA724" s="1466"/>
      <c r="EB724" s="1466"/>
      <c r="EC724" s="1466"/>
      <c r="ED724" s="1466"/>
      <c r="EE724" s="1466">
        <f>IF(AND(B724="2 Bedrooms",AC724&lt;=0.3),G724,0)</f>
        <v>8</v>
      </c>
      <c r="EF724" s="1466"/>
      <c r="EG724" s="1466"/>
      <c r="EH724" s="1466"/>
      <c r="EI724" s="1466"/>
      <c r="EJ724" s="1466">
        <f>IF(AND(B724="3 Bedrooms",AC724&lt;=0.3),G724,0)</f>
        <v>0</v>
      </c>
      <c r="EK724" s="1466"/>
      <c r="EL724" s="1466"/>
      <c r="EM724" s="1466"/>
      <c r="EN724" s="1466"/>
      <c r="EO724" s="1466">
        <f>IF(AND(B724="4 Bedrooms",AC724&lt;=0.3),G724,0)</f>
        <v>0</v>
      </c>
      <c r="EP724" s="1466"/>
      <c r="EQ724" s="1466"/>
      <c r="ER724" s="1466"/>
      <c r="ES724" s="1466"/>
      <c r="ET724" s="1466">
        <f>IF(AND(B724="5 Bedrooms",AC724&lt;=0.3),G724,0)</f>
        <v>0</v>
      </c>
      <c r="EU724" s="1466"/>
      <c r="EV724" s="1466"/>
      <c r="EW724" s="1466"/>
      <c r="EX724" s="1466"/>
      <c r="EZ724" s="1433" t="str">
        <f t="shared" si="29"/>
        <v/>
      </c>
      <c r="FA724" s="1473"/>
      <c r="FB724" s="1473"/>
      <c r="FC724" s="1473"/>
      <c r="FD724" s="1434"/>
      <c r="FE724" s="1433" t="str">
        <f t="shared" si="30"/>
        <v/>
      </c>
      <c r="FF724" s="1473"/>
      <c r="FG724" s="1473"/>
      <c r="FH724" s="1473"/>
      <c r="FI724" s="1434"/>
      <c r="FJ724" s="1433">
        <f t="shared" si="31"/>
        <v>1164</v>
      </c>
      <c r="FK724" s="1473"/>
      <c r="FL724" s="1473"/>
      <c r="FM724" s="1473"/>
      <c r="FN724" s="1434"/>
      <c r="FO724" s="1433" t="str">
        <f t="shared" si="32"/>
        <v/>
      </c>
      <c r="FP724" s="1473"/>
      <c r="FQ724" s="1473"/>
      <c r="FR724" s="1473"/>
      <c r="FS724" s="1434"/>
      <c r="FT724" s="1433" t="str">
        <f t="shared" si="33"/>
        <v/>
      </c>
      <c r="FU724" s="1473"/>
      <c r="FV724" s="1473"/>
      <c r="FW724" s="1473"/>
      <c r="FX724" s="1434"/>
      <c r="FY724" s="1433" t="str">
        <f t="shared" si="34"/>
        <v/>
      </c>
      <c r="FZ724" s="1473"/>
      <c r="GA724" s="1473"/>
      <c r="GB724" s="1473"/>
      <c r="GC724" s="1434"/>
    </row>
    <row r="725" spans="1:185" ht="12.95" customHeight="1">
      <c r="B725" s="1342" t="s">
        <v>163</v>
      </c>
      <c r="C725" s="1343"/>
      <c r="D725" s="1343"/>
      <c r="E725" s="1343"/>
      <c r="F725" s="1344"/>
      <c r="G725" s="1339">
        <v>4</v>
      </c>
      <c r="H725" s="1340"/>
      <c r="I725" s="1340"/>
      <c r="J725" s="1341"/>
      <c r="K725" s="1355">
        <v>820</v>
      </c>
      <c r="L725" s="1356"/>
      <c r="M725" s="1356"/>
      <c r="N725" s="1357"/>
      <c r="O725" s="1358">
        <v>1164</v>
      </c>
      <c r="P725" s="1359"/>
      <c r="Q725" s="1359"/>
      <c r="R725" s="1359"/>
      <c r="S725" s="1360"/>
      <c r="T725" s="1358">
        <v>80</v>
      </c>
      <c r="U725" s="1359"/>
      <c r="V725" s="1359"/>
      <c r="W725" s="1360"/>
      <c r="X725" s="1352">
        <f t="shared" si="8"/>
        <v>1244</v>
      </c>
      <c r="Y725" s="1353"/>
      <c r="Z725" s="1353"/>
      <c r="AA725" s="1353"/>
      <c r="AB725" s="1354"/>
      <c r="AC725" s="1345">
        <v>0.3</v>
      </c>
      <c r="AD725" s="1346"/>
      <c r="AE725" s="1346"/>
      <c r="AF725" s="1346"/>
      <c r="AG725" s="1347"/>
      <c r="AH725" s="1349">
        <f t="shared" si="35"/>
        <v>0.30004823926676316</v>
      </c>
      <c r="AI725" s="1350"/>
      <c r="AJ725" s="1351"/>
      <c r="AK725" s="1342" t="s">
        <v>591</v>
      </c>
      <c r="AL725" s="1343"/>
      <c r="AM725" s="1343"/>
      <c r="AN725" s="1343"/>
      <c r="AO725" s="1344"/>
      <c r="AP725" s="3"/>
      <c r="AQ725" s="3"/>
      <c r="AR725" s="3"/>
      <c r="AS725" s="3"/>
      <c r="AY725" s="1087"/>
      <c r="AZ725" s="118">
        <f>IF($G725=0,"N/A",VLOOKUP($T$189,TC_Rent,(MATCH($B725,bedrooms,FALSE)),FALSE))</f>
        <v>4146</v>
      </c>
      <c r="BA725" s="3"/>
      <c r="BB725" s="3"/>
      <c r="BC725" s="3"/>
      <c r="BD725" s="3"/>
      <c r="BE725" s="205"/>
      <c r="BF725" s="295">
        <f t="shared" si="9"/>
        <v>4</v>
      </c>
      <c r="BG725" s="298">
        <f t="shared" si="10"/>
        <v>6.1538461538461542E-2</v>
      </c>
      <c r="BH725" s="299">
        <f t="shared" si="11"/>
        <v>1.8461538461538463E-2</v>
      </c>
      <c r="BI725" s="3"/>
      <c r="BJ725" s="3"/>
      <c r="BK725" s="3"/>
      <c r="BL725" s="3"/>
      <c r="BM725" s="3"/>
      <c r="BN725" s="3"/>
      <c r="BS725" s="295">
        <f t="shared" si="12"/>
        <v>4</v>
      </c>
      <c r="BT725" s="298">
        <f t="shared" si="13"/>
        <v>6.1538461538461542E-2</v>
      </c>
      <c r="BU725" s="299">
        <f t="shared" si="14"/>
        <v>1.846450703180081E-2</v>
      </c>
      <c r="BV725" s="293"/>
      <c r="BW725" s="3"/>
      <c r="BX725" s="3"/>
      <c r="BY725" s="3"/>
      <c r="BZ725" s="3"/>
      <c r="CA725" s="3"/>
      <c r="CB725" s="3"/>
      <c r="CC725" s="3"/>
      <c r="CE725" s="3"/>
      <c r="CF725" s="3"/>
      <c r="CG725" s="1433">
        <f t="shared" si="36"/>
        <v>0</v>
      </c>
      <c r="CH725" s="1434"/>
      <c r="CI725" s="1435">
        <f t="shared" si="37"/>
        <v>0</v>
      </c>
      <c r="CJ725" s="1436"/>
      <c r="CK725" s="1433">
        <f t="shared" si="15"/>
        <v>1</v>
      </c>
      <c r="CL725" s="1434"/>
      <c r="CM725" s="1435">
        <f t="shared" si="16"/>
        <v>4</v>
      </c>
      <c r="CN725" s="1436"/>
      <c r="CO725" s="3"/>
      <c r="CP725" s="1463">
        <f>IF(B725="SRO/Studio",G725,0)</f>
        <v>0</v>
      </c>
      <c r="CQ725" s="1464"/>
      <c r="CR725" s="1464"/>
      <c r="CS725" s="1464"/>
      <c r="CT725" s="1465"/>
      <c r="CU725" s="1467">
        <f>IF(B725="1 Bedroom",G725,0)</f>
        <v>0</v>
      </c>
      <c r="CV725" s="1467"/>
      <c r="CW725" s="1467"/>
      <c r="CX725" s="1467"/>
      <c r="CY725" s="1467"/>
      <c r="CZ725" s="1467">
        <f>IF(B725="2 Bedrooms",G725,0)</f>
        <v>4</v>
      </c>
      <c r="DA725" s="1467"/>
      <c r="DB725" s="1467"/>
      <c r="DC725" s="1467"/>
      <c r="DD725" s="1467"/>
      <c r="DE725" s="1467">
        <f>IF(B725="3 Bedrooms",G725,0)</f>
        <v>0</v>
      </c>
      <c r="DF725" s="1467"/>
      <c r="DG725" s="1467"/>
      <c r="DH725" s="1467"/>
      <c r="DI725" s="1467"/>
      <c r="DJ725" s="1467">
        <f>IF(B725="4 Bedrooms",G725,0)</f>
        <v>0</v>
      </c>
      <c r="DK725" s="1467"/>
      <c r="DL725" s="1467"/>
      <c r="DM725" s="1467"/>
      <c r="DN725" s="1467"/>
      <c r="DO725" s="1467">
        <f>IF(B725="5 Bedrooms",G725,0)</f>
        <v>0</v>
      </c>
      <c r="DP725" s="1467"/>
      <c r="DQ725" s="1467"/>
      <c r="DR725" s="1467"/>
      <c r="DS725" s="1467"/>
      <c r="DT725" s="6"/>
      <c r="DU725" s="1466">
        <f>IF(AND(B725="SRO/Studio",AC725&lt;=0.3),G725,0)</f>
        <v>0</v>
      </c>
      <c r="DV725" s="1466"/>
      <c r="DW725" s="1466"/>
      <c r="DX725" s="1466"/>
      <c r="DY725" s="1466"/>
      <c r="DZ725" s="1466">
        <f>IF(AND(B725="1 Bedroom",AC725&lt;=0.3),G725,0)</f>
        <v>0</v>
      </c>
      <c r="EA725" s="1466"/>
      <c r="EB725" s="1466"/>
      <c r="EC725" s="1466"/>
      <c r="ED725" s="1466"/>
      <c r="EE725" s="1466">
        <f>IF(AND(B725="2 Bedrooms",AC725&lt;=0.3),G725,0)</f>
        <v>4</v>
      </c>
      <c r="EF725" s="1466"/>
      <c r="EG725" s="1466"/>
      <c r="EH725" s="1466"/>
      <c r="EI725" s="1466"/>
      <c r="EJ725" s="1466">
        <f>IF(AND(B725="3 Bedrooms",AC725&lt;=0.3),G725,0)</f>
        <v>0</v>
      </c>
      <c r="EK725" s="1466"/>
      <c r="EL725" s="1466"/>
      <c r="EM725" s="1466"/>
      <c r="EN725" s="1466"/>
      <c r="EO725" s="1466">
        <f>IF(AND(B725="4 Bedrooms",AC725&lt;=0.3),G725,0)</f>
        <v>0</v>
      </c>
      <c r="EP725" s="1466"/>
      <c r="EQ725" s="1466"/>
      <c r="ER725" s="1466"/>
      <c r="ES725" s="1466"/>
      <c r="ET725" s="1466">
        <f>IF(AND(B725="5 Bedrooms",AC725&lt;=0.3),G725,0)</f>
        <v>0</v>
      </c>
      <c r="EU725" s="1466"/>
      <c r="EV725" s="1466"/>
      <c r="EW725" s="1466"/>
      <c r="EX725" s="1466"/>
      <c r="EZ725" s="1433" t="str">
        <f t="shared" si="29"/>
        <v/>
      </c>
      <c r="FA725" s="1473"/>
      <c r="FB725" s="1473"/>
      <c r="FC725" s="1473"/>
      <c r="FD725" s="1434"/>
      <c r="FE725" s="1433" t="str">
        <f t="shared" si="30"/>
        <v/>
      </c>
      <c r="FF725" s="1473"/>
      <c r="FG725" s="1473"/>
      <c r="FH725" s="1473"/>
      <c r="FI725" s="1434"/>
      <c r="FJ725" s="1433">
        <f t="shared" si="31"/>
        <v>1164</v>
      </c>
      <c r="FK725" s="1473"/>
      <c r="FL725" s="1473"/>
      <c r="FM725" s="1473"/>
      <c r="FN725" s="1434"/>
      <c r="FO725" s="1433" t="str">
        <f t="shared" si="32"/>
        <v/>
      </c>
      <c r="FP725" s="1473"/>
      <c r="FQ725" s="1473"/>
      <c r="FR725" s="1473"/>
      <c r="FS725" s="1434"/>
      <c r="FT725" s="1433" t="str">
        <f t="shared" si="33"/>
        <v/>
      </c>
      <c r="FU725" s="1473"/>
      <c r="FV725" s="1473"/>
      <c r="FW725" s="1473"/>
      <c r="FX725" s="1434"/>
      <c r="FY725" s="1433" t="str">
        <f t="shared" si="34"/>
        <v/>
      </c>
      <c r="FZ725" s="1473"/>
      <c r="GA725" s="1473"/>
      <c r="GB725" s="1473"/>
      <c r="GC725" s="1434"/>
    </row>
    <row r="726" spans="1:185" ht="12.95" customHeight="1">
      <c r="B726" s="1342" t="s">
        <v>163</v>
      </c>
      <c r="C726" s="1343"/>
      <c r="D726" s="1343"/>
      <c r="E726" s="1343"/>
      <c r="F726" s="1344"/>
      <c r="G726" s="1339">
        <v>5</v>
      </c>
      <c r="H726" s="1340"/>
      <c r="I726" s="1340"/>
      <c r="J726" s="1341"/>
      <c r="K726" s="1355">
        <v>820</v>
      </c>
      <c r="L726" s="1356"/>
      <c r="M726" s="1356"/>
      <c r="N726" s="1357"/>
      <c r="O726" s="1358">
        <v>1993</v>
      </c>
      <c r="P726" s="1359"/>
      <c r="Q726" s="1359"/>
      <c r="R726" s="1359"/>
      <c r="S726" s="1360"/>
      <c r="T726" s="1358">
        <v>80</v>
      </c>
      <c r="U726" s="1359"/>
      <c r="V726" s="1359"/>
      <c r="W726" s="1360"/>
      <c r="X726" s="1352">
        <f t="shared" si="8"/>
        <v>2073</v>
      </c>
      <c r="Y726" s="1353"/>
      <c r="Z726" s="1353"/>
      <c r="AA726" s="1353"/>
      <c r="AB726" s="1354"/>
      <c r="AC726" s="1345">
        <v>0.5</v>
      </c>
      <c r="AD726" s="1346"/>
      <c r="AE726" s="1346"/>
      <c r="AF726" s="1346"/>
      <c r="AG726" s="1347"/>
      <c r="AH726" s="1349">
        <f t="shared" si="35"/>
        <v>0.5</v>
      </c>
      <c r="AI726" s="1350"/>
      <c r="AJ726" s="1351"/>
      <c r="AK726" s="1342" t="s">
        <v>591</v>
      </c>
      <c r="AL726" s="1343"/>
      <c r="AM726" s="1343"/>
      <c r="AN726" s="1343"/>
      <c r="AO726" s="1344"/>
      <c r="AP726" s="3"/>
      <c r="AQ726" s="3"/>
      <c r="AR726" s="3"/>
      <c r="AS726" s="3"/>
      <c r="AY726" s="1087"/>
      <c r="AZ726" s="118">
        <f>IF($G726=0,"N/A",VLOOKUP($T$189,TC_Rent,(MATCH($B726,bedrooms,FALSE)),FALSE))</f>
        <v>4146</v>
      </c>
      <c r="BA726" s="3"/>
      <c r="BB726" s="3"/>
      <c r="BC726" s="3"/>
      <c r="BD726" s="3"/>
      <c r="BE726" s="205"/>
      <c r="BF726" s="295">
        <f t="shared" si="9"/>
        <v>5</v>
      </c>
      <c r="BG726" s="298">
        <f t="shared" si="10"/>
        <v>7.6923076923076927E-2</v>
      </c>
      <c r="BH726" s="299">
        <f t="shared" si="11"/>
        <v>3.8461538461538464E-2</v>
      </c>
      <c r="BI726" s="3"/>
      <c r="BJ726" s="3"/>
      <c r="BK726" s="3"/>
      <c r="BL726" s="3"/>
      <c r="BM726" s="3"/>
      <c r="BN726" s="3"/>
      <c r="BS726" s="295">
        <f t="shared" si="12"/>
        <v>5</v>
      </c>
      <c r="BT726" s="298">
        <f t="shared" si="13"/>
        <v>7.6923076923076927E-2</v>
      </c>
      <c r="BU726" s="299">
        <f t="shared" si="14"/>
        <v>3.8461538461538464E-2</v>
      </c>
      <c r="BV726" s="3"/>
      <c r="BW726" s="3"/>
      <c r="BX726" s="3"/>
      <c r="BY726" s="3"/>
      <c r="BZ726" s="3"/>
      <c r="CA726" s="3"/>
      <c r="CB726" s="3"/>
      <c r="CC726" s="3"/>
      <c r="CE726" s="3"/>
      <c r="CF726" s="3"/>
      <c r="CG726" s="1433">
        <f t="shared" si="36"/>
        <v>1</v>
      </c>
      <c r="CH726" s="1434"/>
      <c r="CI726" s="1435">
        <f t="shared" si="37"/>
        <v>5</v>
      </c>
      <c r="CJ726" s="1436"/>
      <c r="CK726" s="1433">
        <f t="shared" si="15"/>
        <v>0</v>
      </c>
      <c r="CL726" s="1434"/>
      <c r="CM726" s="1435">
        <f t="shared" si="16"/>
        <v>0</v>
      </c>
      <c r="CN726" s="1436"/>
      <c r="CO726" s="3"/>
      <c r="CP726" s="1463">
        <f t="shared" si="17"/>
        <v>0</v>
      </c>
      <c r="CQ726" s="1464"/>
      <c r="CR726" s="1464"/>
      <c r="CS726" s="1464"/>
      <c r="CT726" s="1465"/>
      <c r="CU726" s="1467">
        <f t="shared" si="18"/>
        <v>0</v>
      </c>
      <c r="CV726" s="1467"/>
      <c r="CW726" s="1467"/>
      <c r="CX726" s="1467"/>
      <c r="CY726" s="1467"/>
      <c r="CZ726" s="1467">
        <f t="shared" si="19"/>
        <v>5</v>
      </c>
      <c r="DA726" s="1467"/>
      <c r="DB726" s="1467"/>
      <c r="DC726" s="1467"/>
      <c r="DD726" s="1467"/>
      <c r="DE726" s="1467">
        <f t="shared" si="20"/>
        <v>0</v>
      </c>
      <c r="DF726" s="1467"/>
      <c r="DG726" s="1467"/>
      <c r="DH726" s="1467"/>
      <c r="DI726" s="1467"/>
      <c r="DJ726" s="1467">
        <f t="shared" si="21"/>
        <v>0</v>
      </c>
      <c r="DK726" s="1467"/>
      <c r="DL726" s="1467"/>
      <c r="DM726" s="1467"/>
      <c r="DN726" s="1467"/>
      <c r="DO726" s="1467">
        <f t="shared" si="22"/>
        <v>0</v>
      </c>
      <c r="DP726" s="1467"/>
      <c r="DQ726" s="1467"/>
      <c r="DR726" s="1467"/>
      <c r="DS726" s="1467"/>
      <c r="DT726" s="6"/>
      <c r="DU726" s="1466">
        <f t="shared" si="23"/>
        <v>0</v>
      </c>
      <c r="DV726" s="1466"/>
      <c r="DW726" s="1466"/>
      <c r="DX726" s="1466"/>
      <c r="DY726" s="1466"/>
      <c r="DZ726" s="1466">
        <f t="shared" si="24"/>
        <v>0</v>
      </c>
      <c r="EA726" s="1466"/>
      <c r="EB726" s="1466"/>
      <c r="EC726" s="1466"/>
      <c r="ED726" s="1466"/>
      <c r="EE726" s="1466">
        <f t="shared" si="25"/>
        <v>0</v>
      </c>
      <c r="EF726" s="1466"/>
      <c r="EG726" s="1466"/>
      <c r="EH726" s="1466"/>
      <c r="EI726" s="1466"/>
      <c r="EJ726" s="1466">
        <f t="shared" si="26"/>
        <v>0</v>
      </c>
      <c r="EK726" s="1466"/>
      <c r="EL726" s="1466"/>
      <c r="EM726" s="1466"/>
      <c r="EN726" s="1466"/>
      <c r="EO726" s="1466">
        <f t="shared" si="27"/>
        <v>0</v>
      </c>
      <c r="EP726" s="1466"/>
      <c r="EQ726" s="1466"/>
      <c r="ER726" s="1466"/>
      <c r="ES726" s="1466"/>
      <c r="ET726" s="1466">
        <f t="shared" si="28"/>
        <v>0</v>
      </c>
      <c r="EU726" s="1466"/>
      <c r="EV726" s="1466"/>
      <c r="EW726" s="1466"/>
      <c r="EX726" s="1466"/>
      <c r="EY726" s="4"/>
      <c r="EZ726" s="1433" t="str">
        <f t="shared" si="29"/>
        <v/>
      </c>
      <c r="FA726" s="1473"/>
      <c r="FB726" s="1473"/>
      <c r="FC726" s="1473"/>
      <c r="FD726" s="1434"/>
      <c r="FE726" s="1433" t="str">
        <f t="shared" si="30"/>
        <v/>
      </c>
      <c r="FF726" s="1473"/>
      <c r="FG726" s="1473"/>
      <c r="FH726" s="1473"/>
      <c r="FI726" s="1434"/>
      <c r="FJ726" s="1433">
        <f t="shared" si="31"/>
        <v>1993</v>
      </c>
      <c r="FK726" s="1473"/>
      <c r="FL726" s="1473"/>
      <c r="FM726" s="1473"/>
      <c r="FN726" s="1434"/>
      <c r="FO726" s="1433" t="str">
        <f t="shared" si="32"/>
        <v/>
      </c>
      <c r="FP726" s="1473"/>
      <c r="FQ726" s="1473"/>
      <c r="FR726" s="1473"/>
      <c r="FS726" s="1434"/>
      <c r="FT726" s="1433" t="str">
        <f t="shared" si="33"/>
        <v/>
      </c>
      <c r="FU726" s="1473"/>
      <c r="FV726" s="1473"/>
      <c r="FW726" s="1473"/>
      <c r="FX726" s="1434"/>
      <c r="FY726" s="1433" t="str">
        <f t="shared" si="34"/>
        <v/>
      </c>
      <c r="FZ726" s="1473"/>
      <c r="GA726" s="1473"/>
      <c r="GB726" s="1473"/>
      <c r="GC726" s="1434"/>
    </row>
    <row r="727" spans="1:185" ht="12.95" customHeight="1">
      <c r="A727" s="4"/>
      <c r="B727" s="1342" t="s">
        <v>164</v>
      </c>
      <c r="C727" s="1343"/>
      <c r="D727" s="1343"/>
      <c r="E727" s="1343"/>
      <c r="F727" s="1344"/>
      <c r="G727" s="1339">
        <v>8</v>
      </c>
      <c r="H727" s="1340"/>
      <c r="I727" s="1340"/>
      <c r="J727" s="1341"/>
      <c r="K727" s="1355">
        <v>1084</v>
      </c>
      <c r="L727" s="1356"/>
      <c r="M727" s="1356"/>
      <c r="N727" s="1357"/>
      <c r="O727" s="1358">
        <v>1335</v>
      </c>
      <c r="P727" s="1359"/>
      <c r="Q727" s="1359"/>
      <c r="R727" s="1359"/>
      <c r="S727" s="1360"/>
      <c r="T727" s="1358">
        <v>103</v>
      </c>
      <c r="U727" s="1359"/>
      <c r="V727" s="1359"/>
      <c r="W727" s="1360"/>
      <c r="X727" s="1352">
        <f t="shared" si="8"/>
        <v>1438</v>
      </c>
      <c r="Y727" s="1353"/>
      <c r="Z727" s="1353"/>
      <c r="AA727" s="1353"/>
      <c r="AB727" s="1354"/>
      <c r="AC727" s="1345">
        <v>0.3</v>
      </c>
      <c r="AD727" s="1346"/>
      <c r="AE727" s="1346"/>
      <c r="AF727" s="1346"/>
      <c r="AG727" s="1347"/>
      <c r="AH727" s="1349">
        <f t="shared" si="35"/>
        <v>0.30008347245409017</v>
      </c>
      <c r="AI727" s="1350"/>
      <c r="AJ727" s="1351"/>
      <c r="AK727" s="1342" t="s">
        <v>2101</v>
      </c>
      <c r="AL727" s="1343"/>
      <c r="AM727" s="1343"/>
      <c r="AN727" s="1343"/>
      <c r="AO727" s="1344"/>
      <c r="AP727" s="3"/>
      <c r="AQ727" s="3"/>
      <c r="AR727" s="3"/>
      <c r="AS727" s="3"/>
      <c r="AY727" s="1087"/>
      <c r="AZ727" s="118">
        <f>IF($G727=0,"N/A",VLOOKUP($T$189,TC_Rent,(MATCH($B727,bedrooms,FALSE)),FALSE))</f>
        <v>4792</v>
      </c>
      <c r="BA727" s="3"/>
      <c r="BB727" s="3"/>
      <c r="BC727" s="3"/>
      <c r="BD727" s="3"/>
      <c r="BE727" s="205"/>
      <c r="BF727" s="295">
        <f t="shared" si="9"/>
        <v>8</v>
      </c>
      <c r="BG727" s="298">
        <f t="shared" si="10"/>
        <v>0.12307692307692308</v>
      </c>
      <c r="BH727" s="299">
        <f t="shared" si="11"/>
        <v>3.6923076923076927E-2</v>
      </c>
      <c r="BI727" s="3"/>
      <c r="BJ727" s="3"/>
      <c r="BK727" s="3"/>
      <c r="BL727" s="3"/>
      <c r="BM727" s="3"/>
      <c r="BN727" s="3"/>
      <c r="BS727" s="295">
        <f t="shared" si="12"/>
        <v>8</v>
      </c>
      <c r="BT727" s="298">
        <f t="shared" si="13"/>
        <v>0.12307692307692308</v>
      </c>
      <c r="BU727" s="299">
        <f t="shared" si="14"/>
        <v>3.6933350455888025E-2</v>
      </c>
      <c r="BV727" s="3"/>
      <c r="BW727" s="3"/>
      <c r="BX727" s="3"/>
      <c r="BY727" s="3"/>
      <c r="BZ727" s="3"/>
      <c r="CA727" s="3"/>
      <c r="CB727" s="3"/>
      <c r="CC727" s="3"/>
      <c r="CE727" s="3"/>
      <c r="CF727" s="3"/>
      <c r="CG727" s="1433">
        <f t="shared" si="36"/>
        <v>0</v>
      </c>
      <c r="CH727" s="1434"/>
      <c r="CI727" s="1435">
        <f t="shared" si="37"/>
        <v>0</v>
      </c>
      <c r="CJ727" s="1436"/>
      <c r="CK727" s="1433">
        <f t="shared" si="15"/>
        <v>1</v>
      </c>
      <c r="CL727" s="1434"/>
      <c r="CM727" s="1435">
        <f t="shared" si="16"/>
        <v>8</v>
      </c>
      <c r="CN727" s="1436"/>
      <c r="CO727" s="3"/>
      <c r="CP727" s="1463">
        <f t="shared" si="17"/>
        <v>0</v>
      </c>
      <c r="CQ727" s="1464"/>
      <c r="CR727" s="1464"/>
      <c r="CS727" s="1464"/>
      <c r="CT727" s="1465"/>
      <c r="CU727" s="1467">
        <f t="shared" si="18"/>
        <v>0</v>
      </c>
      <c r="CV727" s="1467"/>
      <c r="CW727" s="1467"/>
      <c r="CX727" s="1467"/>
      <c r="CY727" s="1467"/>
      <c r="CZ727" s="1467">
        <f t="shared" si="19"/>
        <v>0</v>
      </c>
      <c r="DA727" s="1467"/>
      <c r="DB727" s="1467"/>
      <c r="DC727" s="1467"/>
      <c r="DD727" s="1467"/>
      <c r="DE727" s="1467">
        <f t="shared" si="20"/>
        <v>8</v>
      </c>
      <c r="DF727" s="1467"/>
      <c r="DG727" s="1467"/>
      <c r="DH727" s="1467"/>
      <c r="DI727" s="1467"/>
      <c r="DJ727" s="1467">
        <f t="shared" si="21"/>
        <v>0</v>
      </c>
      <c r="DK727" s="1467"/>
      <c r="DL727" s="1467"/>
      <c r="DM727" s="1467"/>
      <c r="DN727" s="1467"/>
      <c r="DO727" s="1467">
        <f t="shared" si="22"/>
        <v>0</v>
      </c>
      <c r="DP727" s="1467"/>
      <c r="DQ727" s="1467"/>
      <c r="DR727" s="1467"/>
      <c r="DS727" s="1467"/>
      <c r="DT727" s="6"/>
      <c r="DU727" s="1466">
        <f t="shared" si="23"/>
        <v>0</v>
      </c>
      <c r="DV727" s="1466"/>
      <c r="DW727" s="1466"/>
      <c r="DX727" s="1466"/>
      <c r="DY727" s="1466"/>
      <c r="DZ727" s="1466">
        <f t="shared" si="24"/>
        <v>0</v>
      </c>
      <c r="EA727" s="1466"/>
      <c r="EB727" s="1466"/>
      <c r="EC727" s="1466"/>
      <c r="ED727" s="1466"/>
      <c r="EE727" s="1466">
        <f t="shared" si="25"/>
        <v>0</v>
      </c>
      <c r="EF727" s="1466"/>
      <c r="EG727" s="1466"/>
      <c r="EH727" s="1466"/>
      <c r="EI727" s="1466"/>
      <c r="EJ727" s="1466">
        <f t="shared" si="26"/>
        <v>8</v>
      </c>
      <c r="EK727" s="1466"/>
      <c r="EL727" s="1466"/>
      <c r="EM727" s="1466"/>
      <c r="EN727" s="1466"/>
      <c r="EO727" s="1466">
        <f t="shared" si="27"/>
        <v>0</v>
      </c>
      <c r="EP727" s="1466"/>
      <c r="EQ727" s="1466"/>
      <c r="ER727" s="1466"/>
      <c r="ES727" s="1466"/>
      <c r="ET727" s="1466">
        <f t="shared" si="28"/>
        <v>0</v>
      </c>
      <c r="EU727" s="1466"/>
      <c r="EV727" s="1466"/>
      <c r="EW727" s="1466"/>
      <c r="EX727" s="1466"/>
      <c r="EY727" s="4"/>
      <c r="EZ727" s="1433" t="str">
        <f t="shared" si="29"/>
        <v/>
      </c>
      <c r="FA727" s="1473"/>
      <c r="FB727" s="1473"/>
      <c r="FC727" s="1473"/>
      <c r="FD727" s="1434"/>
      <c r="FE727" s="1433" t="str">
        <f t="shared" si="30"/>
        <v/>
      </c>
      <c r="FF727" s="1473"/>
      <c r="FG727" s="1473"/>
      <c r="FH727" s="1473"/>
      <c r="FI727" s="1434"/>
      <c r="FJ727" s="1433" t="str">
        <f t="shared" si="31"/>
        <v/>
      </c>
      <c r="FK727" s="1473"/>
      <c r="FL727" s="1473"/>
      <c r="FM727" s="1473"/>
      <c r="FN727" s="1434"/>
      <c r="FO727" s="1433">
        <f t="shared" si="32"/>
        <v>1335</v>
      </c>
      <c r="FP727" s="1473"/>
      <c r="FQ727" s="1473"/>
      <c r="FR727" s="1473"/>
      <c r="FS727" s="1434"/>
      <c r="FT727" s="1433" t="str">
        <f t="shared" si="33"/>
        <v/>
      </c>
      <c r="FU727" s="1473"/>
      <c r="FV727" s="1473"/>
      <c r="FW727" s="1473"/>
      <c r="FX727" s="1434"/>
      <c r="FY727" s="1433" t="str">
        <f t="shared" si="34"/>
        <v/>
      </c>
      <c r="FZ727" s="1473"/>
      <c r="GA727" s="1473"/>
      <c r="GB727" s="1473"/>
      <c r="GC727" s="1434"/>
    </row>
    <row r="728" spans="1:185" ht="12.95" customHeight="1">
      <c r="A728" s="4"/>
      <c r="B728" s="1342" t="s">
        <v>164</v>
      </c>
      <c r="C728" s="1343"/>
      <c r="D728" s="1343"/>
      <c r="E728" s="1343"/>
      <c r="F728" s="1344"/>
      <c r="G728" s="1339">
        <v>9</v>
      </c>
      <c r="H728" s="1340"/>
      <c r="I728" s="1340"/>
      <c r="J728" s="1341"/>
      <c r="K728" s="1355">
        <v>1084</v>
      </c>
      <c r="L728" s="1356"/>
      <c r="M728" s="1356"/>
      <c r="N728" s="1357"/>
      <c r="O728" s="1358">
        <v>2293</v>
      </c>
      <c r="P728" s="1359"/>
      <c r="Q728" s="1359"/>
      <c r="R728" s="1359"/>
      <c r="S728" s="1360"/>
      <c r="T728" s="1358">
        <v>103</v>
      </c>
      <c r="U728" s="1359"/>
      <c r="V728" s="1359"/>
      <c r="W728" s="1360"/>
      <c r="X728" s="1352">
        <f t="shared" si="8"/>
        <v>2396</v>
      </c>
      <c r="Y728" s="1353"/>
      <c r="Z728" s="1353"/>
      <c r="AA728" s="1353"/>
      <c r="AB728" s="1354"/>
      <c r="AC728" s="1345">
        <v>0.5</v>
      </c>
      <c r="AD728" s="1346"/>
      <c r="AE728" s="1346"/>
      <c r="AF728" s="1346"/>
      <c r="AG728" s="1347"/>
      <c r="AH728" s="1349">
        <f t="shared" si="35"/>
        <v>0.5</v>
      </c>
      <c r="AI728" s="1350"/>
      <c r="AJ728" s="1351"/>
      <c r="AK728" s="1342" t="s">
        <v>591</v>
      </c>
      <c r="AL728" s="1343"/>
      <c r="AM728" s="1343"/>
      <c r="AN728" s="1343"/>
      <c r="AO728" s="1344"/>
      <c r="AP728" s="3"/>
      <c r="AQ728" s="3"/>
      <c r="AR728" s="3"/>
      <c r="AS728" s="3"/>
      <c r="AY728" s="1087"/>
      <c r="AZ728" s="118">
        <f>IF($G728=0,"N/A",VLOOKUP($T$189,TC_Rent,(MATCH($B728,bedrooms,FALSE)),FALSE))</f>
        <v>4792</v>
      </c>
      <c r="BA728" s="3"/>
      <c r="BB728" s="3"/>
      <c r="BC728" s="3"/>
      <c r="BD728" s="3"/>
      <c r="BE728" s="205"/>
      <c r="BF728" s="295">
        <f t="shared" si="9"/>
        <v>9</v>
      </c>
      <c r="BG728" s="298">
        <f t="shared" si="10"/>
        <v>0.13846153846153847</v>
      </c>
      <c r="BH728" s="299">
        <f t="shared" si="11"/>
        <v>6.9230769230769235E-2</v>
      </c>
      <c r="BI728" s="3"/>
      <c r="BJ728" s="3"/>
      <c r="BK728" s="3"/>
      <c r="BL728" s="3"/>
      <c r="BM728" s="3"/>
      <c r="BN728" s="3"/>
      <c r="BS728" s="295">
        <f t="shared" si="12"/>
        <v>9</v>
      </c>
      <c r="BT728" s="298">
        <f t="shared" si="13"/>
        <v>0.13846153846153847</v>
      </c>
      <c r="BU728" s="299">
        <f t="shared" si="14"/>
        <v>6.9230769230769235E-2</v>
      </c>
      <c r="BV728" s="3"/>
      <c r="BW728" s="3"/>
      <c r="BX728" s="3"/>
      <c r="BY728" s="3"/>
      <c r="BZ728" s="3"/>
      <c r="CA728" s="3"/>
      <c r="CB728" s="3"/>
      <c r="CC728" s="3"/>
      <c r="CE728" s="3"/>
      <c r="CF728" s="3"/>
      <c r="CG728" s="1433">
        <f t="shared" si="36"/>
        <v>1</v>
      </c>
      <c r="CH728" s="1434"/>
      <c r="CI728" s="1435">
        <f t="shared" si="37"/>
        <v>9</v>
      </c>
      <c r="CJ728" s="1436"/>
      <c r="CK728" s="1433">
        <f t="shared" si="15"/>
        <v>0</v>
      </c>
      <c r="CL728" s="1434"/>
      <c r="CM728" s="1435">
        <f t="shared" si="16"/>
        <v>0</v>
      </c>
      <c r="CN728" s="1436"/>
      <c r="CO728" s="3"/>
      <c r="CP728" s="1463">
        <f t="shared" si="17"/>
        <v>0</v>
      </c>
      <c r="CQ728" s="1464"/>
      <c r="CR728" s="1464"/>
      <c r="CS728" s="1464"/>
      <c r="CT728" s="1465"/>
      <c r="CU728" s="1467">
        <f t="shared" si="18"/>
        <v>0</v>
      </c>
      <c r="CV728" s="1467"/>
      <c r="CW728" s="1467"/>
      <c r="CX728" s="1467"/>
      <c r="CY728" s="1467"/>
      <c r="CZ728" s="1467">
        <f t="shared" si="19"/>
        <v>0</v>
      </c>
      <c r="DA728" s="1467"/>
      <c r="DB728" s="1467"/>
      <c r="DC728" s="1467"/>
      <c r="DD728" s="1467"/>
      <c r="DE728" s="1467">
        <f t="shared" si="20"/>
        <v>9</v>
      </c>
      <c r="DF728" s="1467"/>
      <c r="DG728" s="1467"/>
      <c r="DH728" s="1467"/>
      <c r="DI728" s="1467"/>
      <c r="DJ728" s="1467">
        <f t="shared" si="21"/>
        <v>0</v>
      </c>
      <c r="DK728" s="1467"/>
      <c r="DL728" s="1467"/>
      <c r="DM728" s="1467"/>
      <c r="DN728" s="1467"/>
      <c r="DO728" s="1467">
        <f t="shared" si="22"/>
        <v>0</v>
      </c>
      <c r="DP728" s="1467"/>
      <c r="DQ728" s="1467"/>
      <c r="DR728" s="1467"/>
      <c r="DS728" s="1467"/>
      <c r="DT728" s="6"/>
      <c r="DU728" s="1466">
        <f t="shared" si="23"/>
        <v>0</v>
      </c>
      <c r="DV728" s="1466"/>
      <c r="DW728" s="1466"/>
      <c r="DX728" s="1466"/>
      <c r="DY728" s="1466"/>
      <c r="DZ728" s="1466">
        <f t="shared" si="24"/>
        <v>0</v>
      </c>
      <c r="EA728" s="1466"/>
      <c r="EB728" s="1466"/>
      <c r="EC728" s="1466"/>
      <c r="ED728" s="1466"/>
      <c r="EE728" s="1466">
        <f t="shared" si="25"/>
        <v>0</v>
      </c>
      <c r="EF728" s="1466"/>
      <c r="EG728" s="1466"/>
      <c r="EH728" s="1466"/>
      <c r="EI728" s="1466"/>
      <c r="EJ728" s="1466">
        <f t="shared" si="26"/>
        <v>0</v>
      </c>
      <c r="EK728" s="1466"/>
      <c r="EL728" s="1466"/>
      <c r="EM728" s="1466"/>
      <c r="EN728" s="1466"/>
      <c r="EO728" s="1466">
        <f t="shared" si="27"/>
        <v>0</v>
      </c>
      <c r="EP728" s="1466"/>
      <c r="EQ728" s="1466"/>
      <c r="ER728" s="1466"/>
      <c r="ES728" s="1466"/>
      <c r="ET728" s="1466">
        <f t="shared" si="28"/>
        <v>0</v>
      </c>
      <c r="EU728" s="1466"/>
      <c r="EV728" s="1466"/>
      <c r="EW728" s="1466"/>
      <c r="EX728" s="1466"/>
      <c r="EY728" s="4"/>
      <c r="EZ728" s="1433" t="str">
        <f t="shared" si="29"/>
        <v/>
      </c>
      <c r="FA728" s="1473"/>
      <c r="FB728" s="1473"/>
      <c r="FC728" s="1473"/>
      <c r="FD728" s="1434"/>
      <c r="FE728" s="1433" t="str">
        <f t="shared" si="30"/>
        <v/>
      </c>
      <c r="FF728" s="1473"/>
      <c r="FG728" s="1473"/>
      <c r="FH728" s="1473"/>
      <c r="FI728" s="1434"/>
      <c r="FJ728" s="1433" t="str">
        <f t="shared" si="31"/>
        <v/>
      </c>
      <c r="FK728" s="1473"/>
      <c r="FL728" s="1473"/>
      <c r="FM728" s="1473"/>
      <c r="FN728" s="1434"/>
      <c r="FO728" s="1433">
        <f t="shared" si="32"/>
        <v>2293</v>
      </c>
      <c r="FP728" s="1473"/>
      <c r="FQ728" s="1473"/>
      <c r="FR728" s="1473"/>
      <c r="FS728" s="1434"/>
      <c r="FT728" s="1433" t="str">
        <f t="shared" si="33"/>
        <v/>
      </c>
      <c r="FU728" s="1473"/>
      <c r="FV728" s="1473"/>
      <c r="FW728" s="1473"/>
      <c r="FX728" s="1434"/>
      <c r="FY728" s="1433" t="str">
        <f t="shared" si="34"/>
        <v/>
      </c>
      <c r="FZ728" s="1473"/>
      <c r="GA728" s="1473"/>
      <c r="GB728" s="1473"/>
      <c r="GC728" s="1434"/>
    </row>
    <row r="729" spans="1:185" ht="12.95" customHeight="1">
      <c r="A729" s="4"/>
      <c r="B729" s="1342"/>
      <c r="C729" s="1343"/>
      <c r="D729" s="1343"/>
      <c r="E729" s="1343"/>
      <c r="F729" s="1344"/>
      <c r="G729" s="1339"/>
      <c r="H729" s="1340"/>
      <c r="I729" s="1340"/>
      <c r="J729" s="1341"/>
      <c r="K729" s="1355"/>
      <c r="L729" s="1356"/>
      <c r="M729" s="1356"/>
      <c r="N729" s="1357"/>
      <c r="O729" s="1358"/>
      <c r="P729" s="1359"/>
      <c r="Q729" s="1359"/>
      <c r="R729" s="1359"/>
      <c r="S729" s="1360"/>
      <c r="T729" s="1358"/>
      <c r="U729" s="1359"/>
      <c r="V729" s="1359"/>
      <c r="W729" s="1360"/>
      <c r="X729" s="1352">
        <f t="shared" si="8"/>
        <v>0</v>
      </c>
      <c r="Y729" s="1353"/>
      <c r="Z729" s="1353"/>
      <c r="AA729" s="1353"/>
      <c r="AB729" s="1354"/>
      <c r="AC729" s="1345"/>
      <c r="AD729" s="1346"/>
      <c r="AE729" s="1346"/>
      <c r="AF729" s="1346"/>
      <c r="AG729" s="1347"/>
      <c r="AH729" s="1349" t="str">
        <f t="shared" si="35"/>
        <v/>
      </c>
      <c r="AI729" s="1350"/>
      <c r="AJ729" s="1351"/>
      <c r="AK729" s="1342" t="s">
        <v>591</v>
      </c>
      <c r="AL729" s="1343"/>
      <c r="AM729" s="1343"/>
      <c r="AN729" s="1343"/>
      <c r="AO729" s="1344"/>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33">
        <f t="shared" si="36"/>
        <v>0</v>
      </c>
      <c r="CH729" s="1434"/>
      <c r="CI729" s="1435">
        <f t="shared" si="37"/>
        <v>0</v>
      </c>
      <c r="CJ729" s="1436"/>
      <c r="CK729" s="1433">
        <f t="shared" si="15"/>
        <v>0</v>
      </c>
      <c r="CL729" s="1434"/>
      <c r="CM729" s="1435">
        <f t="shared" si="16"/>
        <v>0</v>
      </c>
      <c r="CN729" s="1436"/>
      <c r="CO729" s="3"/>
      <c r="CP729" s="1463">
        <f t="shared" si="17"/>
        <v>0</v>
      </c>
      <c r="CQ729" s="1464"/>
      <c r="CR729" s="1464"/>
      <c r="CS729" s="1464"/>
      <c r="CT729" s="1465"/>
      <c r="CU729" s="1467">
        <f t="shared" si="18"/>
        <v>0</v>
      </c>
      <c r="CV729" s="1467"/>
      <c r="CW729" s="1467"/>
      <c r="CX729" s="1467"/>
      <c r="CY729" s="1467"/>
      <c r="CZ729" s="1467">
        <f t="shared" si="19"/>
        <v>0</v>
      </c>
      <c r="DA729" s="1467"/>
      <c r="DB729" s="1467"/>
      <c r="DC729" s="1467"/>
      <c r="DD729" s="1467"/>
      <c r="DE729" s="1467">
        <f t="shared" si="20"/>
        <v>0</v>
      </c>
      <c r="DF729" s="1467"/>
      <c r="DG729" s="1467"/>
      <c r="DH729" s="1467"/>
      <c r="DI729" s="1467"/>
      <c r="DJ729" s="1467">
        <f t="shared" si="21"/>
        <v>0</v>
      </c>
      <c r="DK729" s="1467"/>
      <c r="DL729" s="1467"/>
      <c r="DM729" s="1467"/>
      <c r="DN729" s="1467"/>
      <c r="DO729" s="1467">
        <f t="shared" si="22"/>
        <v>0</v>
      </c>
      <c r="DP729" s="1467"/>
      <c r="DQ729" s="1467"/>
      <c r="DR729" s="1467"/>
      <c r="DS729" s="1467"/>
      <c r="DT729" s="6"/>
      <c r="DU729" s="1466">
        <f t="shared" si="23"/>
        <v>0</v>
      </c>
      <c r="DV729" s="1466"/>
      <c r="DW729" s="1466"/>
      <c r="DX729" s="1466"/>
      <c r="DY729" s="1466"/>
      <c r="DZ729" s="1466">
        <f t="shared" si="24"/>
        <v>0</v>
      </c>
      <c r="EA729" s="1466"/>
      <c r="EB729" s="1466"/>
      <c r="EC729" s="1466"/>
      <c r="ED729" s="1466"/>
      <c r="EE729" s="1466">
        <f t="shared" si="25"/>
        <v>0</v>
      </c>
      <c r="EF729" s="1466"/>
      <c r="EG729" s="1466"/>
      <c r="EH729" s="1466"/>
      <c r="EI729" s="1466"/>
      <c r="EJ729" s="1466">
        <f t="shared" si="26"/>
        <v>0</v>
      </c>
      <c r="EK729" s="1466"/>
      <c r="EL729" s="1466"/>
      <c r="EM729" s="1466"/>
      <c r="EN729" s="1466"/>
      <c r="EO729" s="1466">
        <f t="shared" si="27"/>
        <v>0</v>
      </c>
      <c r="EP729" s="1466"/>
      <c r="EQ729" s="1466"/>
      <c r="ER729" s="1466"/>
      <c r="ES729" s="1466"/>
      <c r="ET729" s="1466">
        <f t="shared" si="28"/>
        <v>0</v>
      </c>
      <c r="EU729" s="1466"/>
      <c r="EV729" s="1466"/>
      <c r="EW729" s="1466"/>
      <c r="EX729" s="1466"/>
      <c r="EZ729" s="1433" t="str">
        <f t="shared" si="29"/>
        <v/>
      </c>
      <c r="FA729" s="1473"/>
      <c r="FB729" s="1473"/>
      <c r="FC729" s="1473"/>
      <c r="FD729" s="1434"/>
      <c r="FE729" s="1433" t="str">
        <f t="shared" si="30"/>
        <v/>
      </c>
      <c r="FF729" s="1473"/>
      <c r="FG729" s="1473"/>
      <c r="FH729" s="1473"/>
      <c r="FI729" s="1434"/>
      <c r="FJ729" s="1433" t="str">
        <f t="shared" si="31"/>
        <v/>
      </c>
      <c r="FK729" s="1473"/>
      <c r="FL729" s="1473"/>
      <c r="FM729" s="1473"/>
      <c r="FN729" s="1434"/>
      <c r="FO729" s="1433" t="str">
        <f t="shared" si="32"/>
        <v/>
      </c>
      <c r="FP729" s="1473"/>
      <c r="FQ729" s="1473"/>
      <c r="FR729" s="1473"/>
      <c r="FS729" s="1434"/>
      <c r="FT729" s="1433" t="str">
        <f t="shared" si="33"/>
        <v/>
      </c>
      <c r="FU729" s="1473"/>
      <c r="FV729" s="1473"/>
      <c r="FW729" s="1473"/>
      <c r="FX729" s="1434"/>
      <c r="FY729" s="1433" t="str">
        <f t="shared" si="34"/>
        <v/>
      </c>
      <c r="FZ729" s="1473"/>
      <c r="GA729" s="1473"/>
      <c r="GB729" s="1473"/>
      <c r="GC729" s="1434"/>
    </row>
    <row r="730" spans="1:185" ht="12.95" customHeight="1">
      <c r="B730" s="1342"/>
      <c r="C730" s="1343"/>
      <c r="D730" s="1343"/>
      <c r="E730" s="1343"/>
      <c r="F730" s="1344"/>
      <c r="G730" s="1339"/>
      <c r="H730" s="1340"/>
      <c r="I730" s="1340"/>
      <c r="J730" s="1341"/>
      <c r="K730" s="1355"/>
      <c r="L730" s="1356"/>
      <c r="M730" s="1356"/>
      <c r="N730" s="1357"/>
      <c r="O730" s="1358"/>
      <c r="P730" s="1359"/>
      <c r="Q730" s="1359"/>
      <c r="R730" s="1359"/>
      <c r="S730" s="1360"/>
      <c r="T730" s="1358"/>
      <c r="U730" s="1359"/>
      <c r="V730" s="1359"/>
      <c r="W730" s="1360"/>
      <c r="X730" s="1352">
        <f t="shared" si="8"/>
        <v>0</v>
      </c>
      <c r="Y730" s="1353"/>
      <c r="Z730" s="1353"/>
      <c r="AA730" s="1353"/>
      <c r="AB730" s="1354"/>
      <c r="AC730" s="1345"/>
      <c r="AD730" s="1346"/>
      <c r="AE730" s="1346"/>
      <c r="AF730" s="1346"/>
      <c r="AG730" s="1347"/>
      <c r="AH730" s="1349" t="str">
        <f t="shared" si="35"/>
        <v/>
      </c>
      <c r="AI730" s="1350"/>
      <c r="AJ730" s="1351"/>
      <c r="AK730" s="1342" t="s">
        <v>591</v>
      </c>
      <c r="AL730" s="1343"/>
      <c r="AM730" s="1343"/>
      <c r="AN730" s="1343"/>
      <c r="AO730" s="1344"/>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33">
        <f t="shared" si="36"/>
        <v>0</v>
      </c>
      <c r="CH730" s="1434"/>
      <c r="CI730" s="1435">
        <f t="shared" si="37"/>
        <v>0</v>
      </c>
      <c r="CJ730" s="1436"/>
      <c r="CK730" s="1433">
        <f t="shared" si="15"/>
        <v>0</v>
      </c>
      <c r="CL730" s="1434"/>
      <c r="CM730" s="1435">
        <f t="shared" si="16"/>
        <v>0</v>
      </c>
      <c r="CN730" s="1436"/>
      <c r="CO730" s="3"/>
      <c r="CP730" s="1463">
        <f t="shared" si="17"/>
        <v>0</v>
      </c>
      <c r="CQ730" s="1464"/>
      <c r="CR730" s="1464"/>
      <c r="CS730" s="1464"/>
      <c r="CT730" s="1465"/>
      <c r="CU730" s="1467">
        <f t="shared" si="18"/>
        <v>0</v>
      </c>
      <c r="CV730" s="1467"/>
      <c r="CW730" s="1467"/>
      <c r="CX730" s="1467"/>
      <c r="CY730" s="1467"/>
      <c r="CZ730" s="1467">
        <f t="shared" si="19"/>
        <v>0</v>
      </c>
      <c r="DA730" s="1467"/>
      <c r="DB730" s="1467"/>
      <c r="DC730" s="1467"/>
      <c r="DD730" s="1467"/>
      <c r="DE730" s="1467">
        <f t="shared" si="20"/>
        <v>0</v>
      </c>
      <c r="DF730" s="1467"/>
      <c r="DG730" s="1467"/>
      <c r="DH730" s="1467"/>
      <c r="DI730" s="1467"/>
      <c r="DJ730" s="1467">
        <f t="shared" si="21"/>
        <v>0</v>
      </c>
      <c r="DK730" s="1467"/>
      <c r="DL730" s="1467"/>
      <c r="DM730" s="1467"/>
      <c r="DN730" s="1467"/>
      <c r="DO730" s="1467">
        <f t="shared" si="22"/>
        <v>0</v>
      </c>
      <c r="DP730" s="1467"/>
      <c r="DQ730" s="1467"/>
      <c r="DR730" s="1467"/>
      <c r="DS730" s="1467"/>
      <c r="DT730" s="6"/>
      <c r="DU730" s="1466">
        <f t="shared" si="23"/>
        <v>0</v>
      </c>
      <c r="DV730" s="1466"/>
      <c r="DW730" s="1466"/>
      <c r="DX730" s="1466"/>
      <c r="DY730" s="1466"/>
      <c r="DZ730" s="1466">
        <f t="shared" si="24"/>
        <v>0</v>
      </c>
      <c r="EA730" s="1466"/>
      <c r="EB730" s="1466"/>
      <c r="EC730" s="1466"/>
      <c r="ED730" s="1466"/>
      <c r="EE730" s="1466">
        <f t="shared" si="25"/>
        <v>0</v>
      </c>
      <c r="EF730" s="1466"/>
      <c r="EG730" s="1466"/>
      <c r="EH730" s="1466"/>
      <c r="EI730" s="1466"/>
      <c r="EJ730" s="1466">
        <f t="shared" si="26"/>
        <v>0</v>
      </c>
      <c r="EK730" s="1466"/>
      <c r="EL730" s="1466"/>
      <c r="EM730" s="1466"/>
      <c r="EN730" s="1466"/>
      <c r="EO730" s="1466">
        <f t="shared" si="27"/>
        <v>0</v>
      </c>
      <c r="EP730" s="1466"/>
      <c r="EQ730" s="1466"/>
      <c r="ER730" s="1466"/>
      <c r="ES730" s="1466"/>
      <c r="ET730" s="1466">
        <f t="shared" si="28"/>
        <v>0</v>
      </c>
      <c r="EU730" s="1466"/>
      <c r="EV730" s="1466"/>
      <c r="EW730" s="1466"/>
      <c r="EX730" s="1466"/>
      <c r="EZ730" s="1433" t="str">
        <f t="shared" si="29"/>
        <v/>
      </c>
      <c r="FA730" s="1473"/>
      <c r="FB730" s="1473"/>
      <c r="FC730" s="1473"/>
      <c r="FD730" s="1434"/>
      <c r="FE730" s="1433" t="str">
        <f t="shared" si="30"/>
        <v/>
      </c>
      <c r="FF730" s="1473"/>
      <c r="FG730" s="1473"/>
      <c r="FH730" s="1473"/>
      <c r="FI730" s="1434"/>
      <c r="FJ730" s="1433" t="str">
        <f t="shared" si="31"/>
        <v/>
      </c>
      <c r="FK730" s="1473"/>
      <c r="FL730" s="1473"/>
      <c r="FM730" s="1473"/>
      <c r="FN730" s="1434"/>
      <c r="FO730" s="1433" t="str">
        <f t="shared" si="32"/>
        <v/>
      </c>
      <c r="FP730" s="1473"/>
      <c r="FQ730" s="1473"/>
      <c r="FR730" s="1473"/>
      <c r="FS730" s="1434"/>
      <c r="FT730" s="1433" t="str">
        <f t="shared" si="33"/>
        <v/>
      </c>
      <c r="FU730" s="1473"/>
      <c r="FV730" s="1473"/>
      <c r="FW730" s="1473"/>
      <c r="FX730" s="1434"/>
      <c r="FY730" s="1433" t="str">
        <f t="shared" si="34"/>
        <v/>
      </c>
      <c r="FZ730" s="1473"/>
      <c r="GA730" s="1473"/>
      <c r="GB730" s="1473"/>
      <c r="GC730" s="1434"/>
    </row>
    <row r="731" spans="1:185" ht="12.95" customHeight="1">
      <c r="B731" s="1342"/>
      <c r="C731" s="1343"/>
      <c r="D731" s="1343"/>
      <c r="E731" s="1343"/>
      <c r="F731" s="1344"/>
      <c r="G731" s="1339"/>
      <c r="H731" s="1340"/>
      <c r="I731" s="1340"/>
      <c r="J731" s="1341"/>
      <c r="K731" s="1355"/>
      <c r="L731" s="1356"/>
      <c r="M731" s="1356"/>
      <c r="N731" s="1357"/>
      <c r="O731" s="1358"/>
      <c r="P731" s="1359"/>
      <c r="Q731" s="1359"/>
      <c r="R731" s="1359"/>
      <c r="S731" s="1360"/>
      <c r="T731" s="1358"/>
      <c r="U731" s="1359"/>
      <c r="V731" s="1359"/>
      <c r="W731" s="1360"/>
      <c r="X731" s="1352">
        <f t="shared" si="8"/>
        <v>0</v>
      </c>
      <c r="Y731" s="1353"/>
      <c r="Z731" s="1353"/>
      <c r="AA731" s="1353"/>
      <c r="AB731" s="1354"/>
      <c r="AC731" s="1345"/>
      <c r="AD731" s="1346"/>
      <c r="AE731" s="1346"/>
      <c r="AF731" s="1346"/>
      <c r="AG731" s="1347"/>
      <c r="AH731" s="1349" t="str">
        <f t="shared" si="35"/>
        <v/>
      </c>
      <c r="AI731" s="1350"/>
      <c r="AJ731" s="1351"/>
      <c r="AK731" s="1342" t="s">
        <v>591</v>
      </c>
      <c r="AL731" s="1343"/>
      <c r="AM731" s="1343"/>
      <c r="AN731" s="1343"/>
      <c r="AO731" s="1344"/>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33">
        <f t="shared" si="36"/>
        <v>0</v>
      </c>
      <c r="CH731" s="1434"/>
      <c r="CI731" s="1435">
        <f t="shared" si="37"/>
        <v>0</v>
      </c>
      <c r="CJ731" s="1436"/>
      <c r="CK731" s="1433">
        <f t="shared" si="15"/>
        <v>0</v>
      </c>
      <c r="CL731" s="1434"/>
      <c r="CM731" s="1435">
        <f t="shared" si="16"/>
        <v>0</v>
      </c>
      <c r="CN731" s="1436"/>
      <c r="CO731" s="3"/>
      <c r="CP731" s="1463">
        <f t="shared" si="17"/>
        <v>0</v>
      </c>
      <c r="CQ731" s="1464"/>
      <c r="CR731" s="1464"/>
      <c r="CS731" s="1464"/>
      <c r="CT731" s="1465"/>
      <c r="CU731" s="1467">
        <f t="shared" si="18"/>
        <v>0</v>
      </c>
      <c r="CV731" s="1467"/>
      <c r="CW731" s="1467"/>
      <c r="CX731" s="1467"/>
      <c r="CY731" s="1467"/>
      <c r="CZ731" s="1467">
        <f t="shared" si="19"/>
        <v>0</v>
      </c>
      <c r="DA731" s="1467"/>
      <c r="DB731" s="1467"/>
      <c r="DC731" s="1467"/>
      <c r="DD731" s="1467"/>
      <c r="DE731" s="1467">
        <f t="shared" si="20"/>
        <v>0</v>
      </c>
      <c r="DF731" s="1467"/>
      <c r="DG731" s="1467"/>
      <c r="DH731" s="1467"/>
      <c r="DI731" s="1467"/>
      <c r="DJ731" s="1467">
        <f t="shared" si="21"/>
        <v>0</v>
      </c>
      <c r="DK731" s="1467"/>
      <c r="DL731" s="1467"/>
      <c r="DM731" s="1467"/>
      <c r="DN731" s="1467"/>
      <c r="DO731" s="1467">
        <f t="shared" si="22"/>
        <v>0</v>
      </c>
      <c r="DP731" s="1467"/>
      <c r="DQ731" s="1467"/>
      <c r="DR731" s="1467"/>
      <c r="DS731" s="1467"/>
      <c r="DT731" s="6"/>
      <c r="DU731" s="1466">
        <f t="shared" si="23"/>
        <v>0</v>
      </c>
      <c r="DV731" s="1466"/>
      <c r="DW731" s="1466"/>
      <c r="DX731" s="1466"/>
      <c r="DY731" s="1466"/>
      <c r="DZ731" s="1466">
        <f t="shared" si="24"/>
        <v>0</v>
      </c>
      <c r="EA731" s="1466"/>
      <c r="EB731" s="1466"/>
      <c r="EC731" s="1466"/>
      <c r="ED731" s="1466"/>
      <c r="EE731" s="1466">
        <f t="shared" si="25"/>
        <v>0</v>
      </c>
      <c r="EF731" s="1466"/>
      <c r="EG731" s="1466"/>
      <c r="EH731" s="1466"/>
      <c r="EI731" s="1466"/>
      <c r="EJ731" s="1466">
        <f t="shared" si="26"/>
        <v>0</v>
      </c>
      <c r="EK731" s="1466"/>
      <c r="EL731" s="1466"/>
      <c r="EM731" s="1466"/>
      <c r="EN731" s="1466"/>
      <c r="EO731" s="1466">
        <f t="shared" si="27"/>
        <v>0</v>
      </c>
      <c r="EP731" s="1466"/>
      <c r="EQ731" s="1466"/>
      <c r="ER731" s="1466"/>
      <c r="ES731" s="1466"/>
      <c r="ET731" s="1466">
        <f t="shared" si="28"/>
        <v>0</v>
      </c>
      <c r="EU731" s="1466"/>
      <c r="EV731" s="1466"/>
      <c r="EW731" s="1466"/>
      <c r="EX731" s="1466"/>
      <c r="EZ731" s="1433" t="str">
        <f t="shared" si="29"/>
        <v/>
      </c>
      <c r="FA731" s="1473"/>
      <c r="FB731" s="1473"/>
      <c r="FC731" s="1473"/>
      <c r="FD731" s="1434"/>
      <c r="FE731" s="1433" t="str">
        <f t="shared" si="30"/>
        <v/>
      </c>
      <c r="FF731" s="1473"/>
      <c r="FG731" s="1473"/>
      <c r="FH731" s="1473"/>
      <c r="FI731" s="1434"/>
      <c r="FJ731" s="1433" t="str">
        <f t="shared" si="31"/>
        <v/>
      </c>
      <c r="FK731" s="1473"/>
      <c r="FL731" s="1473"/>
      <c r="FM731" s="1473"/>
      <c r="FN731" s="1434"/>
      <c r="FO731" s="1433" t="str">
        <f t="shared" si="32"/>
        <v/>
      </c>
      <c r="FP731" s="1473"/>
      <c r="FQ731" s="1473"/>
      <c r="FR731" s="1473"/>
      <c r="FS731" s="1434"/>
      <c r="FT731" s="1433" t="str">
        <f t="shared" si="33"/>
        <v/>
      </c>
      <c r="FU731" s="1473"/>
      <c r="FV731" s="1473"/>
      <c r="FW731" s="1473"/>
      <c r="FX731" s="1434"/>
      <c r="FY731" s="1433" t="str">
        <f t="shared" si="34"/>
        <v/>
      </c>
      <c r="FZ731" s="1473"/>
      <c r="GA731" s="1473"/>
      <c r="GB731" s="1473"/>
      <c r="GC731" s="1434"/>
    </row>
    <row r="732" spans="1:185" ht="12.95" customHeight="1">
      <c r="B732" s="1342"/>
      <c r="C732" s="1343"/>
      <c r="D732" s="1343"/>
      <c r="E732" s="1343"/>
      <c r="F732" s="1344"/>
      <c r="G732" s="1339"/>
      <c r="H732" s="1340"/>
      <c r="I732" s="1340"/>
      <c r="J732" s="1341"/>
      <c r="K732" s="1355"/>
      <c r="L732" s="1356"/>
      <c r="M732" s="1356"/>
      <c r="N732" s="1357"/>
      <c r="O732" s="1358"/>
      <c r="P732" s="1359"/>
      <c r="Q732" s="1359"/>
      <c r="R732" s="1359"/>
      <c r="S732" s="1360"/>
      <c r="T732" s="1358"/>
      <c r="U732" s="1359"/>
      <c r="V732" s="1359"/>
      <c r="W732" s="1360"/>
      <c r="X732" s="1352">
        <f t="shared" si="8"/>
        <v>0</v>
      </c>
      <c r="Y732" s="1353"/>
      <c r="Z732" s="1353"/>
      <c r="AA732" s="1353"/>
      <c r="AB732" s="1354"/>
      <c r="AC732" s="1345"/>
      <c r="AD732" s="1346"/>
      <c r="AE732" s="1346"/>
      <c r="AF732" s="1346"/>
      <c r="AG732" s="1347"/>
      <c r="AH732" s="1349" t="str">
        <f t="shared" si="35"/>
        <v/>
      </c>
      <c r="AI732" s="1350"/>
      <c r="AJ732" s="1351"/>
      <c r="AK732" s="1342" t="s">
        <v>591</v>
      </c>
      <c r="AL732" s="1343"/>
      <c r="AM732" s="1343"/>
      <c r="AN732" s="1343"/>
      <c r="AO732" s="1344"/>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33">
        <f t="shared" si="36"/>
        <v>0</v>
      </c>
      <c r="CH732" s="1434"/>
      <c r="CI732" s="1435">
        <f t="shared" si="37"/>
        <v>0</v>
      </c>
      <c r="CJ732" s="1436"/>
      <c r="CK732" s="1433">
        <f t="shared" si="15"/>
        <v>0</v>
      </c>
      <c r="CL732" s="1434"/>
      <c r="CM732" s="1435">
        <f t="shared" si="16"/>
        <v>0</v>
      </c>
      <c r="CN732" s="1436"/>
      <c r="CO732" s="3"/>
      <c r="CP732" s="1463">
        <f t="shared" si="17"/>
        <v>0</v>
      </c>
      <c r="CQ732" s="1464"/>
      <c r="CR732" s="1464"/>
      <c r="CS732" s="1464"/>
      <c r="CT732" s="1465"/>
      <c r="CU732" s="1467">
        <f t="shared" si="18"/>
        <v>0</v>
      </c>
      <c r="CV732" s="1467"/>
      <c r="CW732" s="1467"/>
      <c r="CX732" s="1467"/>
      <c r="CY732" s="1467"/>
      <c r="CZ732" s="1467">
        <f t="shared" si="19"/>
        <v>0</v>
      </c>
      <c r="DA732" s="1467"/>
      <c r="DB732" s="1467"/>
      <c r="DC732" s="1467"/>
      <c r="DD732" s="1467"/>
      <c r="DE732" s="1467">
        <f t="shared" si="20"/>
        <v>0</v>
      </c>
      <c r="DF732" s="1467"/>
      <c r="DG732" s="1467"/>
      <c r="DH732" s="1467"/>
      <c r="DI732" s="1467"/>
      <c r="DJ732" s="1467">
        <f t="shared" si="21"/>
        <v>0</v>
      </c>
      <c r="DK732" s="1467"/>
      <c r="DL732" s="1467"/>
      <c r="DM732" s="1467"/>
      <c r="DN732" s="1467"/>
      <c r="DO732" s="1467">
        <f t="shared" si="22"/>
        <v>0</v>
      </c>
      <c r="DP732" s="1467"/>
      <c r="DQ732" s="1467"/>
      <c r="DR732" s="1467"/>
      <c r="DS732" s="1467"/>
      <c r="DT732" s="6"/>
      <c r="DU732" s="1466">
        <f t="shared" si="23"/>
        <v>0</v>
      </c>
      <c r="DV732" s="1466"/>
      <c r="DW732" s="1466"/>
      <c r="DX732" s="1466"/>
      <c r="DY732" s="1466"/>
      <c r="DZ732" s="1466">
        <f t="shared" si="24"/>
        <v>0</v>
      </c>
      <c r="EA732" s="1466"/>
      <c r="EB732" s="1466"/>
      <c r="EC732" s="1466"/>
      <c r="ED732" s="1466"/>
      <c r="EE732" s="1466">
        <f t="shared" si="25"/>
        <v>0</v>
      </c>
      <c r="EF732" s="1466"/>
      <c r="EG732" s="1466"/>
      <c r="EH732" s="1466"/>
      <c r="EI732" s="1466"/>
      <c r="EJ732" s="1466">
        <f t="shared" si="26"/>
        <v>0</v>
      </c>
      <c r="EK732" s="1466"/>
      <c r="EL732" s="1466"/>
      <c r="EM732" s="1466"/>
      <c r="EN732" s="1466"/>
      <c r="EO732" s="1466">
        <f t="shared" si="27"/>
        <v>0</v>
      </c>
      <c r="EP732" s="1466"/>
      <c r="EQ732" s="1466"/>
      <c r="ER732" s="1466"/>
      <c r="ES732" s="1466"/>
      <c r="ET732" s="1466">
        <f t="shared" si="28"/>
        <v>0</v>
      </c>
      <c r="EU732" s="1466"/>
      <c r="EV732" s="1466"/>
      <c r="EW732" s="1466"/>
      <c r="EX732" s="1466"/>
      <c r="EZ732" s="1433" t="str">
        <f t="shared" si="29"/>
        <v/>
      </c>
      <c r="FA732" s="1473"/>
      <c r="FB732" s="1473"/>
      <c r="FC732" s="1473"/>
      <c r="FD732" s="1434"/>
      <c r="FE732" s="1433" t="str">
        <f t="shared" si="30"/>
        <v/>
      </c>
      <c r="FF732" s="1473"/>
      <c r="FG732" s="1473"/>
      <c r="FH732" s="1473"/>
      <c r="FI732" s="1434"/>
      <c r="FJ732" s="1433" t="str">
        <f t="shared" si="31"/>
        <v/>
      </c>
      <c r="FK732" s="1473"/>
      <c r="FL732" s="1473"/>
      <c r="FM732" s="1473"/>
      <c r="FN732" s="1434"/>
      <c r="FO732" s="1433" t="str">
        <f t="shared" si="32"/>
        <v/>
      </c>
      <c r="FP732" s="1473"/>
      <c r="FQ732" s="1473"/>
      <c r="FR732" s="1473"/>
      <c r="FS732" s="1434"/>
      <c r="FT732" s="1433" t="str">
        <f t="shared" si="33"/>
        <v/>
      </c>
      <c r="FU732" s="1473"/>
      <c r="FV732" s="1473"/>
      <c r="FW732" s="1473"/>
      <c r="FX732" s="1434"/>
      <c r="FY732" s="1433" t="str">
        <f t="shared" si="34"/>
        <v/>
      </c>
      <c r="FZ732" s="1473"/>
      <c r="GA732" s="1473"/>
      <c r="GB732" s="1473"/>
      <c r="GC732" s="1434"/>
    </row>
    <row r="733" spans="1:185" ht="12.95" customHeight="1">
      <c r="B733" s="1342"/>
      <c r="C733" s="1343"/>
      <c r="D733" s="1343"/>
      <c r="E733" s="1343"/>
      <c r="F733" s="1344"/>
      <c r="G733" s="1339"/>
      <c r="H733" s="1340"/>
      <c r="I733" s="1340"/>
      <c r="J733" s="1341"/>
      <c r="K733" s="1355"/>
      <c r="L733" s="1356"/>
      <c r="M733" s="1356"/>
      <c r="N733" s="1357"/>
      <c r="O733" s="1358"/>
      <c r="P733" s="1359"/>
      <c r="Q733" s="1359"/>
      <c r="R733" s="1359"/>
      <c r="S733" s="1360"/>
      <c r="T733" s="1358"/>
      <c r="U733" s="1359"/>
      <c r="V733" s="1359"/>
      <c r="W733" s="1360"/>
      <c r="X733" s="1352">
        <f t="shared" si="8"/>
        <v>0</v>
      </c>
      <c r="Y733" s="1353"/>
      <c r="Z733" s="1353"/>
      <c r="AA733" s="1353"/>
      <c r="AB733" s="1354"/>
      <c r="AC733" s="1345"/>
      <c r="AD733" s="1346"/>
      <c r="AE733" s="1346"/>
      <c r="AF733" s="1346"/>
      <c r="AG733" s="1347"/>
      <c r="AH733" s="1349" t="str">
        <f t="shared" si="35"/>
        <v/>
      </c>
      <c r="AI733" s="1350"/>
      <c r="AJ733" s="1351"/>
      <c r="AK733" s="1342" t="s">
        <v>591</v>
      </c>
      <c r="AL733" s="1343"/>
      <c r="AM733" s="1343"/>
      <c r="AN733" s="1343"/>
      <c r="AO733" s="1344"/>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33">
        <f t="shared" si="36"/>
        <v>0</v>
      </c>
      <c r="CH733" s="1434"/>
      <c r="CI733" s="1435">
        <f t="shared" si="37"/>
        <v>0</v>
      </c>
      <c r="CJ733" s="1436"/>
      <c r="CK733" s="1433">
        <f t="shared" si="15"/>
        <v>0</v>
      </c>
      <c r="CL733" s="1434"/>
      <c r="CM733" s="1435">
        <f t="shared" si="16"/>
        <v>0</v>
      </c>
      <c r="CN733" s="1436"/>
      <c r="CO733" s="3"/>
      <c r="CP733" s="1463">
        <f t="shared" si="17"/>
        <v>0</v>
      </c>
      <c r="CQ733" s="1464"/>
      <c r="CR733" s="1464"/>
      <c r="CS733" s="1464"/>
      <c r="CT733" s="1465"/>
      <c r="CU733" s="1467">
        <f t="shared" si="18"/>
        <v>0</v>
      </c>
      <c r="CV733" s="1467"/>
      <c r="CW733" s="1467"/>
      <c r="CX733" s="1467"/>
      <c r="CY733" s="1467"/>
      <c r="CZ733" s="1467">
        <f t="shared" si="19"/>
        <v>0</v>
      </c>
      <c r="DA733" s="1467"/>
      <c r="DB733" s="1467"/>
      <c r="DC733" s="1467"/>
      <c r="DD733" s="1467"/>
      <c r="DE733" s="1467">
        <f t="shared" si="20"/>
        <v>0</v>
      </c>
      <c r="DF733" s="1467"/>
      <c r="DG733" s="1467"/>
      <c r="DH733" s="1467"/>
      <c r="DI733" s="1467"/>
      <c r="DJ733" s="1467">
        <f t="shared" si="21"/>
        <v>0</v>
      </c>
      <c r="DK733" s="1467"/>
      <c r="DL733" s="1467"/>
      <c r="DM733" s="1467"/>
      <c r="DN733" s="1467"/>
      <c r="DO733" s="1467">
        <f t="shared" si="22"/>
        <v>0</v>
      </c>
      <c r="DP733" s="1467"/>
      <c r="DQ733" s="1467"/>
      <c r="DR733" s="1467"/>
      <c r="DS733" s="1467"/>
      <c r="DT733" s="6"/>
      <c r="DU733" s="1466">
        <f t="shared" si="23"/>
        <v>0</v>
      </c>
      <c r="DV733" s="1466"/>
      <c r="DW733" s="1466"/>
      <c r="DX733" s="1466"/>
      <c r="DY733" s="1466"/>
      <c r="DZ733" s="1466">
        <f t="shared" si="24"/>
        <v>0</v>
      </c>
      <c r="EA733" s="1466"/>
      <c r="EB733" s="1466"/>
      <c r="EC733" s="1466"/>
      <c r="ED733" s="1466"/>
      <c r="EE733" s="1466">
        <f t="shared" si="25"/>
        <v>0</v>
      </c>
      <c r="EF733" s="1466"/>
      <c r="EG733" s="1466"/>
      <c r="EH733" s="1466"/>
      <c r="EI733" s="1466"/>
      <c r="EJ733" s="1466">
        <f t="shared" si="26"/>
        <v>0</v>
      </c>
      <c r="EK733" s="1466"/>
      <c r="EL733" s="1466"/>
      <c r="EM733" s="1466"/>
      <c r="EN733" s="1466"/>
      <c r="EO733" s="1466">
        <f t="shared" si="27"/>
        <v>0</v>
      </c>
      <c r="EP733" s="1466"/>
      <c r="EQ733" s="1466"/>
      <c r="ER733" s="1466"/>
      <c r="ES733" s="1466"/>
      <c r="ET733" s="1466">
        <f t="shared" si="28"/>
        <v>0</v>
      </c>
      <c r="EU733" s="1466"/>
      <c r="EV733" s="1466"/>
      <c r="EW733" s="1466"/>
      <c r="EX733" s="1466"/>
      <c r="EZ733" s="1433" t="str">
        <f t="shared" si="29"/>
        <v/>
      </c>
      <c r="FA733" s="1473"/>
      <c r="FB733" s="1473"/>
      <c r="FC733" s="1473"/>
      <c r="FD733" s="1434"/>
      <c r="FE733" s="1433" t="str">
        <f t="shared" si="30"/>
        <v/>
      </c>
      <c r="FF733" s="1473"/>
      <c r="FG733" s="1473"/>
      <c r="FH733" s="1473"/>
      <c r="FI733" s="1434"/>
      <c r="FJ733" s="1433" t="str">
        <f t="shared" si="31"/>
        <v/>
      </c>
      <c r="FK733" s="1473"/>
      <c r="FL733" s="1473"/>
      <c r="FM733" s="1473"/>
      <c r="FN733" s="1434"/>
      <c r="FO733" s="1433" t="str">
        <f t="shared" si="32"/>
        <v/>
      </c>
      <c r="FP733" s="1473"/>
      <c r="FQ733" s="1473"/>
      <c r="FR733" s="1473"/>
      <c r="FS733" s="1434"/>
      <c r="FT733" s="1433" t="str">
        <f t="shared" si="33"/>
        <v/>
      </c>
      <c r="FU733" s="1473"/>
      <c r="FV733" s="1473"/>
      <c r="FW733" s="1473"/>
      <c r="FX733" s="1434"/>
      <c r="FY733" s="1433" t="str">
        <f t="shared" si="34"/>
        <v/>
      </c>
      <c r="FZ733" s="1473"/>
      <c r="GA733" s="1473"/>
      <c r="GB733" s="1473"/>
      <c r="GC733" s="1434"/>
    </row>
    <row r="734" spans="1:185" ht="12.95" customHeight="1">
      <c r="B734" s="1342"/>
      <c r="C734" s="1343"/>
      <c r="D734" s="1343"/>
      <c r="E734" s="1343"/>
      <c r="F734" s="1344"/>
      <c r="G734" s="1339"/>
      <c r="H734" s="1340"/>
      <c r="I734" s="1340"/>
      <c r="J734" s="1341"/>
      <c r="K734" s="1355"/>
      <c r="L734" s="1356"/>
      <c r="M734" s="1356"/>
      <c r="N734" s="1357"/>
      <c r="O734" s="1358"/>
      <c r="P734" s="1359"/>
      <c r="Q734" s="1359"/>
      <c r="R734" s="1359"/>
      <c r="S734" s="1360"/>
      <c r="T734" s="1358"/>
      <c r="U734" s="1359"/>
      <c r="V734" s="1359"/>
      <c r="W734" s="1360"/>
      <c r="X734" s="1352">
        <f t="shared" si="8"/>
        <v>0</v>
      </c>
      <c r="Y734" s="1353"/>
      <c r="Z734" s="1353"/>
      <c r="AA734" s="1353"/>
      <c r="AB734" s="1354"/>
      <c r="AC734" s="1345"/>
      <c r="AD734" s="1346"/>
      <c r="AE734" s="1346"/>
      <c r="AF734" s="1346"/>
      <c r="AG734" s="1347"/>
      <c r="AH734" s="1349" t="str">
        <f t="shared" si="35"/>
        <v/>
      </c>
      <c r="AI734" s="1350"/>
      <c r="AJ734" s="1351"/>
      <c r="AK734" s="1342" t="s">
        <v>591</v>
      </c>
      <c r="AL734" s="1343"/>
      <c r="AM734" s="1343"/>
      <c r="AN734" s="1343"/>
      <c r="AO734" s="1344"/>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33">
        <f t="shared" si="36"/>
        <v>0</v>
      </c>
      <c r="CH734" s="1434"/>
      <c r="CI734" s="1435">
        <f t="shared" si="37"/>
        <v>0</v>
      </c>
      <c r="CJ734" s="1436"/>
      <c r="CK734" s="1433">
        <f t="shared" si="15"/>
        <v>0</v>
      </c>
      <c r="CL734" s="1434"/>
      <c r="CM734" s="1435">
        <f t="shared" si="16"/>
        <v>0</v>
      </c>
      <c r="CN734" s="1436"/>
      <c r="CO734" s="3"/>
      <c r="CP734" s="1463">
        <f t="shared" si="17"/>
        <v>0</v>
      </c>
      <c r="CQ734" s="1464"/>
      <c r="CR734" s="1464"/>
      <c r="CS734" s="1464"/>
      <c r="CT734" s="1465"/>
      <c r="CU734" s="1467">
        <f t="shared" si="18"/>
        <v>0</v>
      </c>
      <c r="CV734" s="1467"/>
      <c r="CW734" s="1467"/>
      <c r="CX734" s="1467"/>
      <c r="CY734" s="1467"/>
      <c r="CZ734" s="1467">
        <f t="shared" si="19"/>
        <v>0</v>
      </c>
      <c r="DA734" s="1467"/>
      <c r="DB734" s="1467"/>
      <c r="DC734" s="1467"/>
      <c r="DD734" s="1467"/>
      <c r="DE734" s="1467">
        <f t="shared" si="20"/>
        <v>0</v>
      </c>
      <c r="DF734" s="1467"/>
      <c r="DG734" s="1467"/>
      <c r="DH734" s="1467"/>
      <c r="DI734" s="1467"/>
      <c r="DJ734" s="1467">
        <f t="shared" si="21"/>
        <v>0</v>
      </c>
      <c r="DK734" s="1467"/>
      <c r="DL734" s="1467"/>
      <c r="DM734" s="1467"/>
      <c r="DN734" s="1467"/>
      <c r="DO734" s="1467">
        <f t="shared" si="22"/>
        <v>0</v>
      </c>
      <c r="DP734" s="1467"/>
      <c r="DQ734" s="1467"/>
      <c r="DR734" s="1467"/>
      <c r="DS734" s="1467"/>
      <c r="DT734" s="6"/>
      <c r="DU734" s="1466">
        <f t="shared" si="23"/>
        <v>0</v>
      </c>
      <c r="DV734" s="1466"/>
      <c r="DW734" s="1466"/>
      <c r="DX734" s="1466"/>
      <c r="DY734" s="1466"/>
      <c r="DZ734" s="1466">
        <f t="shared" si="24"/>
        <v>0</v>
      </c>
      <c r="EA734" s="1466"/>
      <c r="EB734" s="1466"/>
      <c r="EC734" s="1466"/>
      <c r="ED734" s="1466"/>
      <c r="EE734" s="1466">
        <f t="shared" si="25"/>
        <v>0</v>
      </c>
      <c r="EF734" s="1466"/>
      <c r="EG734" s="1466"/>
      <c r="EH734" s="1466"/>
      <c r="EI734" s="1466"/>
      <c r="EJ734" s="1466">
        <f t="shared" si="26"/>
        <v>0</v>
      </c>
      <c r="EK734" s="1466"/>
      <c r="EL734" s="1466"/>
      <c r="EM734" s="1466"/>
      <c r="EN734" s="1466"/>
      <c r="EO734" s="1466">
        <f t="shared" si="27"/>
        <v>0</v>
      </c>
      <c r="EP734" s="1466"/>
      <c r="EQ734" s="1466"/>
      <c r="ER734" s="1466"/>
      <c r="ES734" s="1466"/>
      <c r="ET734" s="1466">
        <f t="shared" si="28"/>
        <v>0</v>
      </c>
      <c r="EU734" s="1466"/>
      <c r="EV734" s="1466"/>
      <c r="EW734" s="1466"/>
      <c r="EX734" s="1466"/>
      <c r="EZ734" s="1433" t="str">
        <f t="shared" si="29"/>
        <v/>
      </c>
      <c r="FA734" s="1473"/>
      <c r="FB734" s="1473"/>
      <c r="FC734" s="1473"/>
      <c r="FD734" s="1434"/>
      <c r="FE734" s="1433" t="str">
        <f t="shared" si="30"/>
        <v/>
      </c>
      <c r="FF734" s="1473"/>
      <c r="FG734" s="1473"/>
      <c r="FH734" s="1473"/>
      <c r="FI734" s="1434"/>
      <c r="FJ734" s="1433" t="str">
        <f t="shared" si="31"/>
        <v/>
      </c>
      <c r="FK734" s="1473"/>
      <c r="FL734" s="1473"/>
      <c r="FM734" s="1473"/>
      <c r="FN734" s="1434"/>
      <c r="FO734" s="1433" t="str">
        <f t="shared" si="32"/>
        <v/>
      </c>
      <c r="FP734" s="1473"/>
      <c r="FQ734" s="1473"/>
      <c r="FR734" s="1473"/>
      <c r="FS734" s="1434"/>
      <c r="FT734" s="1433" t="str">
        <f t="shared" si="33"/>
        <v/>
      </c>
      <c r="FU734" s="1473"/>
      <c r="FV734" s="1473"/>
      <c r="FW734" s="1473"/>
      <c r="FX734" s="1434"/>
      <c r="FY734" s="1433" t="str">
        <f t="shared" si="34"/>
        <v/>
      </c>
      <c r="FZ734" s="1473"/>
      <c r="GA734" s="1473"/>
      <c r="GB734" s="1473"/>
      <c r="GC734" s="1434"/>
    </row>
    <row r="735" spans="1:185" ht="12.95" customHeight="1">
      <c r="B735" s="1342"/>
      <c r="C735" s="1343"/>
      <c r="D735" s="1343"/>
      <c r="E735" s="1343"/>
      <c r="F735" s="1344"/>
      <c r="G735" s="1339"/>
      <c r="H735" s="1340"/>
      <c r="I735" s="1340"/>
      <c r="J735" s="1341"/>
      <c r="K735" s="1355"/>
      <c r="L735" s="1356"/>
      <c r="M735" s="1356"/>
      <c r="N735" s="1357"/>
      <c r="O735" s="1358"/>
      <c r="P735" s="1359"/>
      <c r="Q735" s="1359"/>
      <c r="R735" s="1359"/>
      <c r="S735" s="1360"/>
      <c r="T735" s="1358"/>
      <c r="U735" s="1359"/>
      <c r="V735" s="1359"/>
      <c r="W735" s="1360"/>
      <c r="X735" s="1352">
        <f t="shared" si="8"/>
        <v>0</v>
      </c>
      <c r="Y735" s="1353"/>
      <c r="Z735" s="1353"/>
      <c r="AA735" s="1353"/>
      <c r="AB735" s="1354"/>
      <c r="AC735" s="1345"/>
      <c r="AD735" s="1346"/>
      <c r="AE735" s="1346"/>
      <c r="AF735" s="1346"/>
      <c r="AG735" s="1347"/>
      <c r="AH735" s="1349" t="str">
        <f t="shared" si="35"/>
        <v/>
      </c>
      <c r="AI735" s="1350"/>
      <c r="AJ735" s="1351"/>
      <c r="AK735" s="1342" t="s">
        <v>591</v>
      </c>
      <c r="AL735" s="1343"/>
      <c r="AM735" s="1343"/>
      <c r="AN735" s="1343"/>
      <c r="AO735" s="1344"/>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33">
        <f t="shared" si="36"/>
        <v>0</v>
      </c>
      <c r="CH735" s="1434"/>
      <c r="CI735" s="1435">
        <f t="shared" si="37"/>
        <v>0</v>
      </c>
      <c r="CJ735" s="1436"/>
      <c r="CK735" s="1433">
        <f t="shared" si="15"/>
        <v>0</v>
      </c>
      <c r="CL735" s="1434"/>
      <c r="CM735" s="1435">
        <f t="shared" si="16"/>
        <v>0</v>
      </c>
      <c r="CN735" s="1436"/>
      <c r="CO735" s="3"/>
      <c r="CP735" s="1463">
        <f t="shared" si="17"/>
        <v>0</v>
      </c>
      <c r="CQ735" s="1464"/>
      <c r="CR735" s="1464"/>
      <c r="CS735" s="1464"/>
      <c r="CT735" s="1465"/>
      <c r="CU735" s="1467">
        <f t="shared" si="18"/>
        <v>0</v>
      </c>
      <c r="CV735" s="1467"/>
      <c r="CW735" s="1467"/>
      <c r="CX735" s="1467"/>
      <c r="CY735" s="1467"/>
      <c r="CZ735" s="1467">
        <f t="shared" si="19"/>
        <v>0</v>
      </c>
      <c r="DA735" s="1467"/>
      <c r="DB735" s="1467"/>
      <c r="DC735" s="1467"/>
      <c r="DD735" s="1467"/>
      <c r="DE735" s="1467">
        <f t="shared" si="20"/>
        <v>0</v>
      </c>
      <c r="DF735" s="1467"/>
      <c r="DG735" s="1467"/>
      <c r="DH735" s="1467"/>
      <c r="DI735" s="1467"/>
      <c r="DJ735" s="1467">
        <f t="shared" si="21"/>
        <v>0</v>
      </c>
      <c r="DK735" s="1467"/>
      <c r="DL735" s="1467"/>
      <c r="DM735" s="1467"/>
      <c r="DN735" s="1467"/>
      <c r="DO735" s="1467">
        <f t="shared" si="22"/>
        <v>0</v>
      </c>
      <c r="DP735" s="1467"/>
      <c r="DQ735" s="1467"/>
      <c r="DR735" s="1467"/>
      <c r="DS735" s="1467"/>
      <c r="DT735" s="6"/>
      <c r="DU735" s="1466">
        <f t="shared" si="23"/>
        <v>0</v>
      </c>
      <c r="DV735" s="1466"/>
      <c r="DW735" s="1466"/>
      <c r="DX735" s="1466"/>
      <c r="DY735" s="1466"/>
      <c r="DZ735" s="1466">
        <f t="shared" si="24"/>
        <v>0</v>
      </c>
      <c r="EA735" s="1466"/>
      <c r="EB735" s="1466"/>
      <c r="EC735" s="1466"/>
      <c r="ED735" s="1466"/>
      <c r="EE735" s="1466">
        <f t="shared" si="25"/>
        <v>0</v>
      </c>
      <c r="EF735" s="1466"/>
      <c r="EG735" s="1466"/>
      <c r="EH735" s="1466"/>
      <c r="EI735" s="1466"/>
      <c r="EJ735" s="1466">
        <f t="shared" si="26"/>
        <v>0</v>
      </c>
      <c r="EK735" s="1466"/>
      <c r="EL735" s="1466"/>
      <c r="EM735" s="1466"/>
      <c r="EN735" s="1466"/>
      <c r="EO735" s="1466">
        <f t="shared" si="27"/>
        <v>0</v>
      </c>
      <c r="EP735" s="1466"/>
      <c r="EQ735" s="1466"/>
      <c r="ER735" s="1466"/>
      <c r="ES735" s="1466"/>
      <c r="ET735" s="1466">
        <f t="shared" si="28"/>
        <v>0</v>
      </c>
      <c r="EU735" s="1466"/>
      <c r="EV735" s="1466"/>
      <c r="EW735" s="1466"/>
      <c r="EX735" s="1466"/>
      <c r="EZ735" s="1433" t="str">
        <f t="shared" si="29"/>
        <v/>
      </c>
      <c r="FA735" s="1473"/>
      <c r="FB735" s="1473"/>
      <c r="FC735" s="1473"/>
      <c r="FD735" s="1434"/>
      <c r="FE735" s="1433" t="str">
        <f t="shared" si="30"/>
        <v/>
      </c>
      <c r="FF735" s="1473"/>
      <c r="FG735" s="1473"/>
      <c r="FH735" s="1473"/>
      <c r="FI735" s="1434"/>
      <c r="FJ735" s="1433" t="str">
        <f t="shared" si="31"/>
        <v/>
      </c>
      <c r="FK735" s="1473"/>
      <c r="FL735" s="1473"/>
      <c r="FM735" s="1473"/>
      <c r="FN735" s="1434"/>
      <c r="FO735" s="1433" t="str">
        <f t="shared" si="32"/>
        <v/>
      </c>
      <c r="FP735" s="1473"/>
      <c r="FQ735" s="1473"/>
      <c r="FR735" s="1473"/>
      <c r="FS735" s="1434"/>
      <c r="FT735" s="1433" t="str">
        <f t="shared" si="33"/>
        <v/>
      </c>
      <c r="FU735" s="1473"/>
      <c r="FV735" s="1473"/>
      <c r="FW735" s="1473"/>
      <c r="FX735" s="1434"/>
      <c r="FY735" s="1433" t="str">
        <f t="shared" si="34"/>
        <v/>
      </c>
      <c r="FZ735" s="1473"/>
      <c r="GA735" s="1473"/>
      <c r="GB735" s="1473"/>
      <c r="GC735" s="1434"/>
    </row>
    <row r="736" spans="1:185" ht="12.95" customHeight="1">
      <c r="B736" s="1342"/>
      <c r="C736" s="1343"/>
      <c r="D736" s="1343"/>
      <c r="E736" s="1343"/>
      <c r="F736" s="1344"/>
      <c r="G736" s="1339"/>
      <c r="H736" s="1340"/>
      <c r="I736" s="1340"/>
      <c r="J736" s="1341"/>
      <c r="K736" s="1355"/>
      <c r="L736" s="1356"/>
      <c r="M736" s="1356"/>
      <c r="N736" s="1357"/>
      <c r="O736" s="1358"/>
      <c r="P736" s="1359"/>
      <c r="Q736" s="1359"/>
      <c r="R736" s="1359"/>
      <c r="S736" s="1360"/>
      <c r="T736" s="1358"/>
      <c r="U736" s="1359"/>
      <c r="V736" s="1359"/>
      <c r="W736" s="1360"/>
      <c r="X736" s="1352">
        <f t="shared" si="8"/>
        <v>0</v>
      </c>
      <c r="Y736" s="1353"/>
      <c r="Z736" s="1353"/>
      <c r="AA736" s="1353"/>
      <c r="AB736" s="1354"/>
      <c r="AC736" s="1345"/>
      <c r="AD736" s="1346"/>
      <c r="AE736" s="1346"/>
      <c r="AF736" s="1346"/>
      <c r="AG736" s="1347"/>
      <c r="AH736" s="1349" t="str">
        <f t="shared" si="35"/>
        <v/>
      </c>
      <c r="AI736" s="1350"/>
      <c r="AJ736" s="1351"/>
      <c r="AK736" s="1342" t="s">
        <v>591</v>
      </c>
      <c r="AL736" s="1343"/>
      <c r="AM736" s="1343"/>
      <c r="AN736" s="1343"/>
      <c r="AO736" s="1344"/>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33">
        <f t="shared" si="36"/>
        <v>0</v>
      </c>
      <c r="CH736" s="1434"/>
      <c r="CI736" s="1435">
        <f t="shared" si="37"/>
        <v>0</v>
      </c>
      <c r="CJ736" s="1436"/>
      <c r="CK736" s="1433">
        <f t="shared" si="15"/>
        <v>0</v>
      </c>
      <c r="CL736" s="1434"/>
      <c r="CM736" s="1435">
        <f t="shared" si="16"/>
        <v>0</v>
      </c>
      <c r="CN736" s="1436"/>
      <c r="CO736" s="3"/>
      <c r="CP736" s="1463">
        <f t="shared" si="17"/>
        <v>0</v>
      </c>
      <c r="CQ736" s="1464"/>
      <c r="CR736" s="1464"/>
      <c r="CS736" s="1464"/>
      <c r="CT736" s="1465"/>
      <c r="CU736" s="1467">
        <f t="shared" si="18"/>
        <v>0</v>
      </c>
      <c r="CV736" s="1467"/>
      <c r="CW736" s="1467"/>
      <c r="CX736" s="1467"/>
      <c r="CY736" s="1467"/>
      <c r="CZ736" s="1467">
        <f t="shared" si="19"/>
        <v>0</v>
      </c>
      <c r="DA736" s="1467"/>
      <c r="DB736" s="1467"/>
      <c r="DC736" s="1467"/>
      <c r="DD736" s="1467"/>
      <c r="DE736" s="1467">
        <f t="shared" si="20"/>
        <v>0</v>
      </c>
      <c r="DF736" s="1467"/>
      <c r="DG736" s="1467"/>
      <c r="DH736" s="1467"/>
      <c r="DI736" s="1467"/>
      <c r="DJ736" s="1467">
        <f t="shared" si="21"/>
        <v>0</v>
      </c>
      <c r="DK736" s="1467"/>
      <c r="DL736" s="1467"/>
      <c r="DM736" s="1467"/>
      <c r="DN736" s="1467"/>
      <c r="DO736" s="1467">
        <f t="shared" si="22"/>
        <v>0</v>
      </c>
      <c r="DP736" s="1467"/>
      <c r="DQ736" s="1467"/>
      <c r="DR736" s="1467"/>
      <c r="DS736" s="1467"/>
      <c r="DT736" s="6"/>
      <c r="DU736" s="1466">
        <f t="shared" si="23"/>
        <v>0</v>
      </c>
      <c r="DV736" s="1466"/>
      <c r="DW736" s="1466"/>
      <c r="DX736" s="1466"/>
      <c r="DY736" s="1466"/>
      <c r="DZ736" s="1466">
        <f t="shared" si="24"/>
        <v>0</v>
      </c>
      <c r="EA736" s="1466"/>
      <c r="EB736" s="1466"/>
      <c r="EC736" s="1466"/>
      <c r="ED736" s="1466"/>
      <c r="EE736" s="1466">
        <f t="shared" si="25"/>
        <v>0</v>
      </c>
      <c r="EF736" s="1466"/>
      <c r="EG736" s="1466"/>
      <c r="EH736" s="1466"/>
      <c r="EI736" s="1466"/>
      <c r="EJ736" s="1466">
        <f t="shared" si="26"/>
        <v>0</v>
      </c>
      <c r="EK736" s="1466"/>
      <c r="EL736" s="1466"/>
      <c r="EM736" s="1466"/>
      <c r="EN736" s="1466"/>
      <c r="EO736" s="1466">
        <f t="shared" si="27"/>
        <v>0</v>
      </c>
      <c r="EP736" s="1466"/>
      <c r="EQ736" s="1466"/>
      <c r="ER736" s="1466"/>
      <c r="ES736" s="1466"/>
      <c r="ET736" s="1466">
        <f t="shared" si="28"/>
        <v>0</v>
      </c>
      <c r="EU736" s="1466"/>
      <c r="EV736" s="1466"/>
      <c r="EW736" s="1466"/>
      <c r="EX736" s="1466"/>
      <c r="EZ736" s="1433" t="str">
        <f t="shared" si="29"/>
        <v/>
      </c>
      <c r="FA736" s="1473"/>
      <c r="FB736" s="1473"/>
      <c r="FC736" s="1473"/>
      <c r="FD736" s="1434"/>
      <c r="FE736" s="1433" t="str">
        <f t="shared" si="30"/>
        <v/>
      </c>
      <c r="FF736" s="1473"/>
      <c r="FG736" s="1473"/>
      <c r="FH736" s="1473"/>
      <c r="FI736" s="1434"/>
      <c r="FJ736" s="1433" t="str">
        <f t="shared" si="31"/>
        <v/>
      </c>
      <c r="FK736" s="1473"/>
      <c r="FL736" s="1473"/>
      <c r="FM736" s="1473"/>
      <c r="FN736" s="1434"/>
      <c r="FO736" s="1433" t="str">
        <f t="shared" si="32"/>
        <v/>
      </c>
      <c r="FP736" s="1473"/>
      <c r="FQ736" s="1473"/>
      <c r="FR736" s="1473"/>
      <c r="FS736" s="1434"/>
      <c r="FT736" s="1433" t="str">
        <f t="shared" si="33"/>
        <v/>
      </c>
      <c r="FU736" s="1473"/>
      <c r="FV736" s="1473"/>
      <c r="FW736" s="1473"/>
      <c r="FX736" s="1434"/>
      <c r="FY736" s="1433" t="str">
        <f t="shared" si="34"/>
        <v/>
      </c>
      <c r="FZ736" s="1473"/>
      <c r="GA736" s="1473"/>
      <c r="GB736" s="1473"/>
      <c r="GC736" s="1434"/>
    </row>
    <row r="737" spans="1:185" ht="12.95" customHeight="1">
      <c r="B737" s="1342"/>
      <c r="C737" s="1343"/>
      <c r="D737" s="1343"/>
      <c r="E737" s="1343"/>
      <c r="F737" s="1344"/>
      <c r="G737" s="1339"/>
      <c r="H737" s="1340"/>
      <c r="I737" s="1340"/>
      <c r="J737" s="1341"/>
      <c r="K737" s="1355"/>
      <c r="L737" s="1356"/>
      <c r="M737" s="1356"/>
      <c r="N737" s="1357"/>
      <c r="O737" s="1358"/>
      <c r="P737" s="1359"/>
      <c r="Q737" s="1359"/>
      <c r="R737" s="1359"/>
      <c r="S737" s="1360"/>
      <c r="T737" s="1358"/>
      <c r="U737" s="1359"/>
      <c r="V737" s="1359"/>
      <c r="W737" s="1360"/>
      <c r="X737" s="1352">
        <f t="shared" si="8"/>
        <v>0</v>
      </c>
      <c r="Y737" s="1353"/>
      <c r="Z737" s="1353"/>
      <c r="AA737" s="1353"/>
      <c r="AB737" s="1354"/>
      <c r="AC737" s="1345"/>
      <c r="AD737" s="1346"/>
      <c r="AE737" s="1346"/>
      <c r="AF737" s="1346"/>
      <c r="AG737" s="1347"/>
      <c r="AH737" s="1349" t="str">
        <f t="shared" si="35"/>
        <v/>
      </c>
      <c r="AI737" s="1350"/>
      <c r="AJ737" s="1351"/>
      <c r="AK737" s="1342" t="s">
        <v>591</v>
      </c>
      <c r="AL737" s="1343"/>
      <c r="AM737" s="1343"/>
      <c r="AN737" s="1343"/>
      <c r="AO737" s="1344"/>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33">
        <f t="shared" si="36"/>
        <v>0</v>
      </c>
      <c r="CH737" s="1434"/>
      <c r="CI737" s="1435">
        <f t="shared" si="37"/>
        <v>0</v>
      </c>
      <c r="CJ737" s="1436"/>
      <c r="CK737" s="1433">
        <f t="shared" si="15"/>
        <v>0</v>
      </c>
      <c r="CL737" s="1434"/>
      <c r="CM737" s="1435">
        <f t="shared" si="16"/>
        <v>0</v>
      </c>
      <c r="CN737" s="1436"/>
      <c r="CO737" s="3"/>
      <c r="CP737" s="1463">
        <f t="shared" si="17"/>
        <v>0</v>
      </c>
      <c r="CQ737" s="1464"/>
      <c r="CR737" s="1464"/>
      <c r="CS737" s="1464"/>
      <c r="CT737" s="1465"/>
      <c r="CU737" s="1467">
        <f t="shared" si="18"/>
        <v>0</v>
      </c>
      <c r="CV737" s="1467"/>
      <c r="CW737" s="1467"/>
      <c r="CX737" s="1467"/>
      <c r="CY737" s="1467"/>
      <c r="CZ737" s="1467">
        <f t="shared" si="19"/>
        <v>0</v>
      </c>
      <c r="DA737" s="1467"/>
      <c r="DB737" s="1467"/>
      <c r="DC737" s="1467"/>
      <c r="DD737" s="1467"/>
      <c r="DE737" s="1467">
        <f t="shared" si="20"/>
        <v>0</v>
      </c>
      <c r="DF737" s="1467"/>
      <c r="DG737" s="1467"/>
      <c r="DH737" s="1467"/>
      <c r="DI737" s="1467"/>
      <c r="DJ737" s="1467">
        <f t="shared" si="21"/>
        <v>0</v>
      </c>
      <c r="DK737" s="1467"/>
      <c r="DL737" s="1467"/>
      <c r="DM737" s="1467"/>
      <c r="DN737" s="1467"/>
      <c r="DO737" s="1467">
        <f t="shared" si="22"/>
        <v>0</v>
      </c>
      <c r="DP737" s="1467"/>
      <c r="DQ737" s="1467"/>
      <c r="DR737" s="1467"/>
      <c r="DS737" s="1467"/>
      <c r="DT737" s="6"/>
      <c r="DU737" s="1466">
        <f t="shared" si="23"/>
        <v>0</v>
      </c>
      <c r="DV737" s="1466"/>
      <c r="DW737" s="1466"/>
      <c r="DX737" s="1466"/>
      <c r="DY737" s="1466"/>
      <c r="DZ737" s="1466">
        <f t="shared" si="24"/>
        <v>0</v>
      </c>
      <c r="EA737" s="1466"/>
      <c r="EB737" s="1466"/>
      <c r="EC737" s="1466"/>
      <c r="ED737" s="1466"/>
      <c r="EE737" s="1466">
        <f t="shared" si="25"/>
        <v>0</v>
      </c>
      <c r="EF737" s="1466"/>
      <c r="EG737" s="1466"/>
      <c r="EH737" s="1466"/>
      <c r="EI737" s="1466"/>
      <c r="EJ737" s="1466">
        <f t="shared" si="26"/>
        <v>0</v>
      </c>
      <c r="EK737" s="1466"/>
      <c r="EL737" s="1466"/>
      <c r="EM737" s="1466"/>
      <c r="EN737" s="1466"/>
      <c r="EO737" s="1466">
        <f t="shared" si="27"/>
        <v>0</v>
      </c>
      <c r="EP737" s="1466"/>
      <c r="EQ737" s="1466"/>
      <c r="ER737" s="1466"/>
      <c r="ES737" s="1466"/>
      <c r="ET737" s="1466">
        <f t="shared" si="28"/>
        <v>0</v>
      </c>
      <c r="EU737" s="1466"/>
      <c r="EV737" s="1466"/>
      <c r="EW737" s="1466"/>
      <c r="EX737" s="1466"/>
      <c r="EZ737" s="1433" t="str">
        <f t="shared" si="29"/>
        <v/>
      </c>
      <c r="FA737" s="1473"/>
      <c r="FB737" s="1473"/>
      <c r="FC737" s="1473"/>
      <c r="FD737" s="1434"/>
      <c r="FE737" s="1433" t="str">
        <f t="shared" si="30"/>
        <v/>
      </c>
      <c r="FF737" s="1473"/>
      <c r="FG737" s="1473"/>
      <c r="FH737" s="1473"/>
      <c r="FI737" s="1434"/>
      <c r="FJ737" s="1433" t="str">
        <f t="shared" si="31"/>
        <v/>
      </c>
      <c r="FK737" s="1473"/>
      <c r="FL737" s="1473"/>
      <c r="FM737" s="1473"/>
      <c r="FN737" s="1434"/>
      <c r="FO737" s="1433" t="str">
        <f t="shared" si="32"/>
        <v/>
      </c>
      <c r="FP737" s="1473"/>
      <c r="FQ737" s="1473"/>
      <c r="FR737" s="1473"/>
      <c r="FS737" s="1434"/>
      <c r="FT737" s="1433" t="str">
        <f t="shared" si="33"/>
        <v/>
      </c>
      <c r="FU737" s="1473"/>
      <c r="FV737" s="1473"/>
      <c r="FW737" s="1473"/>
      <c r="FX737" s="1434"/>
      <c r="FY737" s="1433" t="str">
        <f t="shared" si="34"/>
        <v/>
      </c>
      <c r="FZ737" s="1473"/>
      <c r="GA737" s="1473"/>
      <c r="GB737" s="1473"/>
      <c r="GC737" s="1434"/>
    </row>
    <row r="738" spans="1:185" ht="12.95" customHeight="1">
      <c r="B738" s="1342"/>
      <c r="C738" s="1343"/>
      <c r="D738" s="1343"/>
      <c r="E738" s="1343"/>
      <c r="F738" s="1344"/>
      <c r="G738" s="1339"/>
      <c r="H738" s="1340"/>
      <c r="I738" s="1340"/>
      <c r="J738" s="1341"/>
      <c r="K738" s="1355"/>
      <c r="L738" s="1356"/>
      <c r="M738" s="1356"/>
      <c r="N738" s="1357"/>
      <c r="O738" s="1358"/>
      <c r="P738" s="1359"/>
      <c r="Q738" s="1359"/>
      <c r="R738" s="1359"/>
      <c r="S738" s="1360"/>
      <c r="T738" s="1358"/>
      <c r="U738" s="1359"/>
      <c r="V738" s="1359"/>
      <c r="W738" s="1360"/>
      <c r="X738" s="1352">
        <f t="shared" si="8"/>
        <v>0</v>
      </c>
      <c r="Y738" s="1353"/>
      <c r="Z738" s="1353"/>
      <c r="AA738" s="1353"/>
      <c r="AB738" s="1354"/>
      <c r="AC738" s="1345"/>
      <c r="AD738" s="1346"/>
      <c r="AE738" s="1346"/>
      <c r="AF738" s="1346"/>
      <c r="AG738" s="1347"/>
      <c r="AH738" s="1349" t="str">
        <f t="shared" si="35"/>
        <v/>
      </c>
      <c r="AI738" s="1350"/>
      <c r="AJ738" s="1351"/>
      <c r="AK738" s="1342" t="s">
        <v>591</v>
      </c>
      <c r="AL738" s="1343"/>
      <c r="AM738" s="1343"/>
      <c r="AN738" s="1343"/>
      <c r="AO738" s="1344"/>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33">
        <f t="shared" si="36"/>
        <v>0</v>
      </c>
      <c r="CH738" s="1434"/>
      <c r="CI738" s="1435">
        <f t="shared" si="37"/>
        <v>0</v>
      </c>
      <c r="CJ738" s="1436"/>
      <c r="CK738" s="1433">
        <f t="shared" si="15"/>
        <v>0</v>
      </c>
      <c r="CL738" s="1434"/>
      <c r="CM738" s="1435">
        <f t="shared" si="16"/>
        <v>0</v>
      </c>
      <c r="CN738" s="1436"/>
      <c r="CO738" s="3"/>
      <c r="CP738" s="1463">
        <f t="shared" si="17"/>
        <v>0</v>
      </c>
      <c r="CQ738" s="1464"/>
      <c r="CR738" s="1464"/>
      <c r="CS738" s="1464"/>
      <c r="CT738" s="1465"/>
      <c r="CU738" s="1467">
        <f t="shared" si="18"/>
        <v>0</v>
      </c>
      <c r="CV738" s="1467"/>
      <c r="CW738" s="1467"/>
      <c r="CX738" s="1467"/>
      <c r="CY738" s="1467"/>
      <c r="CZ738" s="1467">
        <f t="shared" si="19"/>
        <v>0</v>
      </c>
      <c r="DA738" s="1467"/>
      <c r="DB738" s="1467"/>
      <c r="DC738" s="1467"/>
      <c r="DD738" s="1467"/>
      <c r="DE738" s="1467">
        <f t="shared" si="20"/>
        <v>0</v>
      </c>
      <c r="DF738" s="1467"/>
      <c r="DG738" s="1467"/>
      <c r="DH738" s="1467"/>
      <c r="DI738" s="1467"/>
      <c r="DJ738" s="1467">
        <f t="shared" si="21"/>
        <v>0</v>
      </c>
      <c r="DK738" s="1467"/>
      <c r="DL738" s="1467"/>
      <c r="DM738" s="1467"/>
      <c r="DN738" s="1467"/>
      <c r="DO738" s="1467">
        <f t="shared" si="22"/>
        <v>0</v>
      </c>
      <c r="DP738" s="1467"/>
      <c r="DQ738" s="1467"/>
      <c r="DR738" s="1467"/>
      <c r="DS738" s="1467"/>
      <c r="DT738" s="6"/>
      <c r="DU738" s="1466">
        <f t="shared" si="23"/>
        <v>0</v>
      </c>
      <c r="DV738" s="1466"/>
      <c r="DW738" s="1466"/>
      <c r="DX738" s="1466"/>
      <c r="DY738" s="1466"/>
      <c r="DZ738" s="1466">
        <f t="shared" si="24"/>
        <v>0</v>
      </c>
      <c r="EA738" s="1466"/>
      <c r="EB738" s="1466"/>
      <c r="EC738" s="1466"/>
      <c r="ED738" s="1466"/>
      <c r="EE738" s="1466">
        <f t="shared" si="25"/>
        <v>0</v>
      </c>
      <c r="EF738" s="1466"/>
      <c r="EG738" s="1466"/>
      <c r="EH738" s="1466"/>
      <c r="EI738" s="1466"/>
      <c r="EJ738" s="1466">
        <f t="shared" si="26"/>
        <v>0</v>
      </c>
      <c r="EK738" s="1466"/>
      <c r="EL738" s="1466"/>
      <c r="EM738" s="1466"/>
      <c r="EN738" s="1466"/>
      <c r="EO738" s="1466">
        <f t="shared" si="27"/>
        <v>0</v>
      </c>
      <c r="EP738" s="1466"/>
      <c r="EQ738" s="1466"/>
      <c r="ER738" s="1466"/>
      <c r="ES738" s="1466"/>
      <c r="ET738" s="1466">
        <f t="shared" si="28"/>
        <v>0</v>
      </c>
      <c r="EU738" s="1466"/>
      <c r="EV738" s="1466"/>
      <c r="EW738" s="1466"/>
      <c r="EX738" s="1466"/>
      <c r="EZ738" s="1433" t="str">
        <f t="shared" si="29"/>
        <v/>
      </c>
      <c r="FA738" s="1473"/>
      <c r="FB738" s="1473"/>
      <c r="FC738" s="1473"/>
      <c r="FD738" s="1434"/>
      <c r="FE738" s="1433" t="str">
        <f t="shared" si="30"/>
        <v/>
      </c>
      <c r="FF738" s="1473"/>
      <c r="FG738" s="1473"/>
      <c r="FH738" s="1473"/>
      <c r="FI738" s="1434"/>
      <c r="FJ738" s="1433" t="str">
        <f t="shared" si="31"/>
        <v/>
      </c>
      <c r="FK738" s="1473"/>
      <c r="FL738" s="1473"/>
      <c r="FM738" s="1473"/>
      <c r="FN738" s="1434"/>
      <c r="FO738" s="1433" t="str">
        <f t="shared" si="32"/>
        <v/>
      </c>
      <c r="FP738" s="1473"/>
      <c r="FQ738" s="1473"/>
      <c r="FR738" s="1473"/>
      <c r="FS738" s="1434"/>
      <c r="FT738" s="1433" t="str">
        <f t="shared" si="33"/>
        <v/>
      </c>
      <c r="FU738" s="1473"/>
      <c r="FV738" s="1473"/>
      <c r="FW738" s="1473"/>
      <c r="FX738" s="1434"/>
      <c r="FY738" s="1433" t="str">
        <f t="shared" si="34"/>
        <v/>
      </c>
      <c r="FZ738" s="1473"/>
      <c r="GA738" s="1473"/>
      <c r="GB738" s="1473"/>
      <c r="GC738" s="1434"/>
    </row>
    <row r="739" spans="1:185" ht="12.95" customHeight="1">
      <c r="B739" s="1342"/>
      <c r="C739" s="1343"/>
      <c r="D739" s="1343"/>
      <c r="E739" s="1343"/>
      <c r="F739" s="1344"/>
      <c r="G739" s="1339"/>
      <c r="H739" s="1340"/>
      <c r="I739" s="1340"/>
      <c r="J739" s="1341"/>
      <c r="K739" s="1355"/>
      <c r="L739" s="1356"/>
      <c r="M739" s="1356"/>
      <c r="N739" s="1357"/>
      <c r="O739" s="1358"/>
      <c r="P739" s="1359"/>
      <c r="Q739" s="1359"/>
      <c r="R739" s="1359"/>
      <c r="S739" s="1360"/>
      <c r="T739" s="1358"/>
      <c r="U739" s="1359"/>
      <c r="V739" s="1359"/>
      <c r="W739" s="1360"/>
      <c r="X739" s="1352">
        <f t="shared" si="8"/>
        <v>0</v>
      </c>
      <c r="Y739" s="1353"/>
      <c r="Z739" s="1353"/>
      <c r="AA739" s="1353"/>
      <c r="AB739" s="1354"/>
      <c r="AC739" s="1345"/>
      <c r="AD739" s="1346"/>
      <c r="AE739" s="1346"/>
      <c r="AF739" s="1346"/>
      <c r="AG739" s="1347"/>
      <c r="AH739" s="1349" t="str">
        <f t="shared" si="35"/>
        <v/>
      </c>
      <c r="AI739" s="1350"/>
      <c r="AJ739" s="1351"/>
      <c r="AK739" s="1342" t="s">
        <v>591</v>
      </c>
      <c r="AL739" s="1343"/>
      <c r="AM739" s="1343"/>
      <c r="AN739" s="1343"/>
      <c r="AO739" s="1344"/>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33">
        <f t="shared" si="36"/>
        <v>0</v>
      </c>
      <c r="CH739" s="1434"/>
      <c r="CI739" s="1435">
        <f t="shared" si="37"/>
        <v>0</v>
      </c>
      <c r="CJ739" s="1436"/>
      <c r="CK739" s="1433">
        <f t="shared" si="15"/>
        <v>0</v>
      </c>
      <c r="CL739" s="1434"/>
      <c r="CM739" s="1435">
        <f t="shared" si="16"/>
        <v>0</v>
      </c>
      <c r="CN739" s="1436"/>
      <c r="CO739" s="3"/>
      <c r="CP739" s="1463">
        <f t="shared" si="17"/>
        <v>0</v>
      </c>
      <c r="CQ739" s="1464"/>
      <c r="CR739" s="1464"/>
      <c r="CS739" s="1464"/>
      <c r="CT739" s="1465"/>
      <c r="CU739" s="1467">
        <f t="shared" si="18"/>
        <v>0</v>
      </c>
      <c r="CV739" s="1467"/>
      <c r="CW739" s="1467"/>
      <c r="CX739" s="1467"/>
      <c r="CY739" s="1467"/>
      <c r="CZ739" s="1467">
        <f t="shared" si="19"/>
        <v>0</v>
      </c>
      <c r="DA739" s="1467"/>
      <c r="DB739" s="1467"/>
      <c r="DC739" s="1467"/>
      <c r="DD739" s="1467"/>
      <c r="DE739" s="1467">
        <f t="shared" si="20"/>
        <v>0</v>
      </c>
      <c r="DF739" s="1467"/>
      <c r="DG739" s="1467"/>
      <c r="DH739" s="1467"/>
      <c r="DI739" s="1467"/>
      <c r="DJ739" s="1467">
        <f t="shared" si="21"/>
        <v>0</v>
      </c>
      <c r="DK739" s="1467"/>
      <c r="DL739" s="1467"/>
      <c r="DM739" s="1467"/>
      <c r="DN739" s="1467"/>
      <c r="DO739" s="1467">
        <f t="shared" si="22"/>
        <v>0</v>
      </c>
      <c r="DP739" s="1467"/>
      <c r="DQ739" s="1467"/>
      <c r="DR739" s="1467"/>
      <c r="DS739" s="1467"/>
      <c r="DT739" s="6"/>
      <c r="DU739" s="1466">
        <f t="shared" si="23"/>
        <v>0</v>
      </c>
      <c r="DV739" s="1466"/>
      <c r="DW739" s="1466"/>
      <c r="DX739" s="1466"/>
      <c r="DY739" s="1466"/>
      <c r="DZ739" s="1466">
        <f t="shared" si="24"/>
        <v>0</v>
      </c>
      <c r="EA739" s="1466"/>
      <c r="EB739" s="1466"/>
      <c r="EC739" s="1466"/>
      <c r="ED739" s="1466"/>
      <c r="EE739" s="1466">
        <f t="shared" si="25"/>
        <v>0</v>
      </c>
      <c r="EF739" s="1466"/>
      <c r="EG739" s="1466"/>
      <c r="EH739" s="1466"/>
      <c r="EI739" s="1466"/>
      <c r="EJ739" s="1466">
        <f t="shared" si="26"/>
        <v>0</v>
      </c>
      <c r="EK739" s="1466"/>
      <c r="EL739" s="1466"/>
      <c r="EM739" s="1466"/>
      <c r="EN739" s="1466"/>
      <c r="EO739" s="1466">
        <f t="shared" si="27"/>
        <v>0</v>
      </c>
      <c r="EP739" s="1466"/>
      <c r="EQ739" s="1466"/>
      <c r="ER739" s="1466"/>
      <c r="ES739" s="1466"/>
      <c r="ET739" s="1466">
        <f t="shared" si="28"/>
        <v>0</v>
      </c>
      <c r="EU739" s="1466"/>
      <c r="EV739" s="1466"/>
      <c r="EW739" s="1466"/>
      <c r="EX739" s="1466"/>
      <c r="EZ739" s="1433" t="str">
        <f t="shared" si="29"/>
        <v/>
      </c>
      <c r="FA739" s="1473"/>
      <c r="FB739" s="1473"/>
      <c r="FC739" s="1473"/>
      <c r="FD739" s="1434"/>
      <c r="FE739" s="1433" t="str">
        <f t="shared" si="30"/>
        <v/>
      </c>
      <c r="FF739" s="1473"/>
      <c r="FG739" s="1473"/>
      <c r="FH739" s="1473"/>
      <c r="FI739" s="1434"/>
      <c r="FJ739" s="1433" t="str">
        <f t="shared" si="31"/>
        <v/>
      </c>
      <c r="FK739" s="1473"/>
      <c r="FL739" s="1473"/>
      <c r="FM739" s="1473"/>
      <c r="FN739" s="1434"/>
      <c r="FO739" s="1433" t="str">
        <f t="shared" si="32"/>
        <v/>
      </c>
      <c r="FP739" s="1473"/>
      <c r="FQ739" s="1473"/>
      <c r="FR739" s="1473"/>
      <c r="FS739" s="1434"/>
      <c r="FT739" s="1433" t="str">
        <f t="shared" si="33"/>
        <v/>
      </c>
      <c r="FU739" s="1473"/>
      <c r="FV739" s="1473"/>
      <c r="FW739" s="1473"/>
      <c r="FX739" s="1434"/>
      <c r="FY739" s="1433" t="str">
        <f t="shared" si="34"/>
        <v/>
      </c>
      <c r="FZ739" s="1473"/>
      <c r="GA739" s="1473"/>
      <c r="GB739" s="1473"/>
      <c r="GC739" s="1434"/>
    </row>
    <row r="740" spans="1:185" ht="12.95" customHeight="1">
      <c r="B740" s="1342"/>
      <c r="C740" s="1343"/>
      <c r="D740" s="1343"/>
      <c r="E740" s="1343"/>
      <c r="F740" s="1344"/>
      <c r="G740" s="1339"/>
      <c r="H740" s="1340"/>
      <c r="I740" s="1340"/>
      <c r="J740" s="1341"/>
      <c r="K740" s="1355"/>
      <c r="L740" s="1356"/>
      <c r="M740" s="1356"/>
      <c r="N740" s="1357"/>
      <c r="O740" s="1358"/>
      <c r="P740" s="1359"/>
      <c r="Q740" s="1359"/>
      <c r="R740" s="1359"/>
      <c r="S740" s="1360"/>
      <c r="T740" s="1358"/>
      <c r="U740" s="1359"/>
      <c r="V740" s="1359"/>
      <c r="W740" s="1360"/>
      <c r="X740" s="1352">
        <f t="shared" si="8"/>
        <v>0</v>
      </c>
      <c r="Y740" s="1353"/>
      <c r="Z740" s="1353"/>
      <c r="AA740" s="1353"/>
      <c r="AB740" s="1354"/>
      <c r="AC740" s="1345"/>
      <c r="AD740" s="1346"/>
      <c r="AE740" s="1346"/>
      <c r="AF740" s="1346"/>
      <c r="AG740" s="1347"/>
      <c r="AH740" s="1349" t="str">
        <f t="shared" si="35"/>
        <v/>
      </c>
      <c r="AI740" s="1350"/>
      <c r="AJ740" s="1351"/>
      <c r="AK740" s="1342" t="s">
        <v>591</v>
      </c>
      <c r="AL740" s="1343"/>
      <c r="AM740" s="1343"/>
      <c r="AN740" s="1343"/>
      <c r="AO740" s="1344"/>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33">
        <f t="shared" si="36"/>
        <v>0</v>
      </c>
      <c r="CH740" s="1434"/>
      <c r="CI740" s="1435">
        <f t="shared" si="37"/>
        <v>0</v>
      </c>
      <c r="CJ740" s="1436"/>
      <c r="CK740" s="1433">
        <f t="shared" si="15"/>
        <v>0</v>
      </c>
      <c r="CL740" s="1434"/>
      <c r="CM740" s="1435">
        <f t="shared" si="16"/>
        <v>0</v>
      </c>
      <c r="CN740" s="1436"/>
      <c r="CO740" s="3"/>
      <c r="CP740" s="1463">
        <f t="shared" si="17"/>
        <v>0</v>
      </c>
      <c r="CQ740" s="1464"/>
      <c r="CR740" s="1464"/>
      <c r="CS740" s="1464"/>
      <c r="CT740" s="1465"/>
      <c r="CU740" s="1467">
        <f t="shared" si="18"/>
        <v>0</v>
      </c>
      <c r="CV740" s="1467"/>
      <c r="CW740" s="1467"/>
      <c r="CX740" s="1467"/>
      <c r="CY740" s="1467"/>
      <c r="CZ740" s="1467">
        <f t="shared" si="19"/>
        <v>0</v>
      </c>
      <c r="DA740" s="1467"/>
      <c r="DB740" s="1467"/>
      <c r="DC740" s="1467"/>
      <c r="DD740" s="1467"/>
      <c r="DE740" s="1467">
        <f t="shared" si="20"/>
        <v>0</v>
      </c>
      <c r="DF740" s="1467"/>
      <c r="DG740" s="1467"/>
      <c r="DH740" s="1467"/>
      <c r="DI740" s="1467"/>
      <c r="DJ740" s="1467">
        <f t="shared" si="21"/>
        <v>0</v>
      </c>
      <c r="DK740" s="1467"/>
      <c r="DL740" s="1467"/>
      <c r="DM740" s="1467"/>
      <c r="DN740" s="1467"/>
      <c r="DO740" s="1467">
        <f t="shared" si="22"/>
        <v>0</v>
      </c>
      <c r="DP740" s="1467"/>
      <c r="DQ740" s="1467"/>
      <c r="DR740" s="1467"/>
      <c r="DS740" s="1467"/>
      <c r="DT740" s="6"/>
      <c r="DU740" s="1466">
        <f t="shared" si="23"/>
        <v>0</v>
      </c>
      <c r="DV740" s="1466"/>
      <c r="DW740" s="1466"/>
      <c r="DX740" s="1466"/>
      <c r="DY740" s="1466"/>
      <c r="DZ740" s="1466">
        <f t="shared" si="24"/>
        <v>0</v>
      </c>
      <c r="EA740" s="1466"/>
      <c r="EB740" s="1466"/>
      <c r="EC740" s="1466"/>
      <c r="ED740" s="1466"/>
      <c r="EE740" s="1466">
        <f t="shared" si="25"/>
        <v>0</v>
      </c>
      <c r="EF740" s="1466"/>
      <c r="EG740" s="1466"/>
      <c r="EH740" s="1466"/>
      <c r="EI740" s="1466"/>
      <c r="EJ740" s="1466">
        <f t="shared" si="26"/>
        <v>0</v>
      </c>
      <c r="EK740" s="1466"/>
      <c r="EL740" s="1466"/>
      <c r="EM740" s="1466"/>
      <c r="EN740" s="1466"/>
      <c r="EO740" s="1466">
        <f t="shared" si="27"/>
        <v>0</v>
      </c>
      <c r="EP740" s="1466"/>
      <c r="EQ740" s="1466"/>
      <c r="ER740" s="1466"/>
      <c r="ES740" s="1466"/>
      <c r="ET740" s="1466">
        <f t="shared" si="28"/>
        <v>0</v>
      </c>
      <c r="EU740" s="1466"/>
      <c r="EV740" s="1466"/>
      <c r="EW740" s="1466"/>
      <c r="EX740" s="1466"/>
      <c r="EZ740" s="1433" t="str">
        <f t="shared" si="29"/>
        <v/>
      </c>
      <c r="FA740" s="1473"/>
      <c r="FB740" s="1473"/>
      <c r="FC740" s="1473"/>
      <c r="FD740" s="1434"/>
      <c r="FE740" s="1433" t="str">
        <f t="shared" si="30"/>
        <v/>
      </c>
      <c r="FF740" s="1473"/>
      <c r="FG740" s="1473"/>
      <c r="FH740" s="1473"/>
      <c r="FI740" s="1434"/>
      <c r="FJ740" s="1433" t="str">
        <f t="shared" si="31"/>
        <v/>
      </c>
      <c r="FK740" s="1473"/>
      <c r="FL740" s="1473"/>
      <c r="FM740" s="1473"/>
      <c r="FN740" s="1434"/>
      <c r="FO740" s="1433" t="str">
        <f t="shared" si="32"/>
        <v/>
      </c>
      <c r="FP740" s="1473"/>
      <c r="FQ740" s="1473"/>
      <c r="FR740" s="1473"/>
      <c r="FS740" s="1434"/>
      <c r="FT740" s="1433" t="str">
        <f t="shared" si="33"/>
        <v/>
      </c>
      <c r="FU740" s="1473"/>
      <c r="FV740" s="1473"/>
      <c r="FW740" s="1473"/>
      <c r="FX740" s="1434"/>
      <c r="FY740" s="1433" t="str">
        <f t="shared" si="34"/>
        <v/>
      </c>
      <c r="FZ740" s="1473"/>
      <c r="GA740" s="1473"/>
      <c r="GB740" s="1473"/>
      <c r="GC740" s="1434"/>
    </row>
    <row r="741" spans="1:185" ht="12.95" customHeight="1">
      <c r="B741" s="1342"/>
      <c r="C741" s="1343"/>
      <c r="D741" s="1343"/>
      <c r="E741" s="1343"/>
      <c r="F741" s="1344"/>
      <c r="G741" s="1339"/>
      <c r="H741" s="1340"/>
      <c r="I741" s="1340"/>
      <c r="J741" s="1341"/>
      <c r="K741" s="1355"/>
      <c r="L741" s="1356"/>
      <c r="M741" s="1356"/>
      <c r="N741" s="1357"/>
      <c r="O741" s="1358"/>
      <c r="P741" s="1359"/>
      <c r="Q741" s="1359"/>
      <c r="R741" s="1359"/>
      <c r="S741" s="1360"/>
      <c r="T741" s="1358"/>
      <c r="U741" s="1359"/>
      <c r="V741" s="1359"/>
      <c r="W741" s="1360"/>
      <c r="X741" s="1352">
        <f t="shared" si="8"/>
        <v>0</v>
      </c>
      <c r="Y741" s="1353"/>
      <c r="Z741" s="1353"/>
      <c r="AA741" s="1353"/>
      <c r="AB741" s="1354"/>
      <c r="AC741" s="1345"/>
      <c r="AD741" s="1346"/>
      <c r="AE741" s="1346"/>
      <c r="AF741" s="1346"/>
      <c r="AG741" s="1347"/>
      <c r="AH741" s="1349" t="str">
        <f t="shared" si="35"/>
        <v/>
      </c>
      <c r="AI741" s="1350"/>
      <c r="AJ741" s="1351"/>
      <c r="AK741" s="1342" t="s">
        <v>591</v>
      </c>
      <c r="AL741" s="1343"/>
      <c r="AM741" s="1343"/>
      <c r="AN741" s="1343"/>
      <c r="AO741" s="1344"/>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33">
        <f t="shared" si="36"/>
        <v>0</v>
      </c>
      <c r="CH741" s="1434"/>
      <c r="CI741" s="1435">
        <f t="shared" si="37"/>
        <v>0</v>
      </c>
      <c r="CJ741" s="1436"/>
      <c r="CK741" s="1433">
        <f t="shared" si="15"/>
        <v>0</v>
      </c>
      <c r="CL741" s="1434"/>
      <c r="CM741" s="1435">
        <f t="shared" si="16"/>
        <v>0</v>
      </c>
      <c r="CN741" s="1436"/>
      <c r="CO741" s="3"/>
      <c r="CP741" s="1463">
        <f t="shared" si="17"/>
        <v>0</v>
      </c>
      <c r="CQ741" s="1464"/>
      <c r="CR741" s="1464"/>
      <c r="CS741" s="1464"/>
      <c r="CT741" s="1465"/>
      <c r="CU741" s="1467">
        <f t="shared" si="18"/>
        <v>0</v>
      </c>
      <c r="CV741" s="1467"/>
      <c r="CW741" s="1467"/>
      <c r="CX741" s="1467"/>
      <c r="CY741" s="1467"/>
      <c r="CZ741" s="1467">
        <f t="shared" si="19"/>
        <v>0</v>
      </c>
      <c r="DA741" s="1467"/>
      <c r="DB741" s="1467"/>
      <c r="DC741" s="1467"/>
      <c r="DD741" s="1467"/>
      <c r="DE741" s="1467">
        <f t="shared" si="20"/>
        <v>0</v>
      </c>
      <c r="DF741" s="1467"/>
      <c r="DG741" s="1467"/>
      <c r="DH741" s="1467"/>
      <c r="DI741" s="1467"/>
      <c r="DJ741" s="1467">
        <f t="shared" si="21"/>
        <v>0</v>
      </c>
      <c r="DK741" s="1467"/>
      <c r="DL741" s="1467"/>
      <c r="DM741" s="1467"/>
      <c r="DN741" s="1467"/>
      <c r="DO741" s="1467">
        <f t="shared" si="22"/>
        <v>0</v>
      </c>
      <c r="DP741" s="1467"/>
      <c r="DQ741" s="1467"/>
      <c r="DR741" s="1467"/>
      <c r="DS741" s="1467"/>
      <c r="DT741" s="6"/>
      <c r="DU741" s="1466">
        <f t="shared" si="23"/>
        <v>0</v>
      </c>
      <c r="DV741" s="1466"/>
      <c r="DW741" s="1466"/>
      <c r="DX741" s="1466"/>
      <c r="DY741" s="1466"/>
      <c r="DZ741" s="1466">
        <f t="shared" si="24"/>
        <v>0</v>
      </c>
      <c r="EA741" s="1466"/>
      <c r="EB741" s="1466"/>
      <c r="EC741" s="1466"/>
      <c r="ED741" s="1466"/>
      <c r="EE741" s="1466">
        <f t="shared" si="25"/>
        <v>0</v>
      </c>
      <c r="EF741" s="1466"/>
      <c r="EG741" s="1466"/>
      <c r="EH741" s="1466"/>
      <c r="EI741" s="1466"/>
      <c r="EJ741" s="1466">
        <f t="shared" si="26"/>
        <v>0</v>
      </c>
      <c r="EK741" s="1466"/>
      <c r="EL741" s="1466"/>
      <c r="EM741" s="1466"/>
      <c r="EN741" s="1466"/>
      <c r="EO741" s="1466">
        <f t="shared" si="27"/>
        <v>0</v>
      </c>
      <c r="EP741" s="1466"/>
      <c r="EQ741" s="1466"/>
      <c r="ER741" s="1466"/>
      <c r="ES741" s="1466"/>
      <c r="ET741" s="1466">
        <f t="shared" si="28"/>
        <v>0</v>
      </c>
      <c r="EU741" s="1466"/>
      <c r="EV741" s="1466"/>
      <c r="EW741" s="1466"/>
      <c r="EX741" s="1466"/>
      <c r="EZ741" s="1433" t="str">
        <f t="shared" si="29"/>
        <v/>
      </c>
      <c r="FA741" s="1473"/>
      <c r="FB741" s="1473"/>
      <c r="FC741" s="1473"/>
      <c r="FD741" s="1434"/>
      <c r="FE741" s="1433" t="str">
        <f t="shared" si="30"/>
        <v/>
      </c>
      <c r="FF741" s="1473"/>
      <c r="FG741" s="1473"/>
      <c r="FH741" s="1473"/>
      <c r="FI741" s="1434"/>
      <c r="FJ741" s="1433" t="str">
        <f t="shared" si="31"/>
        <v/>
      </c>
      <c r="FK741" s="1473"/>
      <c r="FL741" s="1473"/>
      <c r="FM741" s="1473"/>
      <c r="FN741" s="1434"/>
      <c r="FO741" s="1433" t="str">
        <f t="shared" si="32"/>
        <v/>
      </c>
      <c r="FP741" s="1473"/>
      <c r="FQ741" s="1473"/>
      <c r="FR741" s="1473"/>
      <c r="FS741" s="1434"/>
      <c r="FT741" s="1433" t="str">
        <f t="shared" si="33"/>
        <v/>
      </c>
      <c r="FU741" s="1473"/>
      <c r="FV741" s="1473"/>
      <c r="FW741" s="1473"/>
      <c r="FX741" s="1434"/>
      <c r="FY741" s="1433" t="str">
        <f t="shared" si="34"/>
        <v/>
      </c>
      <c r="FZ741" s="1473"/>
      <c r="GA741" s="1473"/>
      <c r="GB741" s="1473"/>
      <c r="GC741" s="1434"/>
    </row>
    <row r="742" spans="1:185" ht="12.95" customHeight="1">
      <c r="B742" s="1342"/>
      <c r="C742" s="1343"/>
      <c r="D742" s="1343"/>
      <c r="E742" s="1343"/>
      <c r="F742" s="1344"/>
      <c r="G742" s="1339"/>
      <c r="H742" s="1340"/>
      <c r="I742" s="1340"/>
      <c r="J742" s="1341"/>
      <c r="K742" s="1355"/>
      <c r="L742" s="1356"/>
      <c r="M742" s="1356"/>
      <c r="N742" s="1357"/>
      <c r="O742" s="1358"/>
      <c r="P742" s="1359"/>
      <c r="Q742" s="1359"/>
      <c r="R742" s="1359"/>
      <c r="S742" s="1360"/>
      <c r="T742" s="1358"/>
      <c r="U742" s="1359"/>
      <c r="V742" s="1359"/>
      <c r="W742" s="1360"/>
      <c r="X742" s="1352">
        <f t="shared" ref="X742:X751" si="38">O742+T742</f>
        <v>0</v>
      </c>
      <c r="Y742" s="1353"/>
      <c r="Z742" s="1353"/>
      <c r="AA742" s="1353"/>
      <c r="AB742" s="1354"/>
      <c r="AC742" s="1345"/>
      <c r="AD742" s="1346"/>
      <c r="AE742" s="1346"/>
      <c r="AF742" s="1346"/>
      <c r="AG742" s="1347"/>
      <c r="AH742" s="1349" t="str">
        <f t="shared" si="35"/>
        <v/>
      </c>
      <c r="AI742" s="1350"/>
      <c r="AJ742" s="1351"/>
      <c r="AK742" s="1342" t="s">
        <v>591</v>
      </c>
      <c r="AL742" s="1343"/>
      <c r="AM742" s="1343"/>
      <c r="AN742" s="1343"/>
      <c r="AO742" s="1344"/>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33">
        <f t="shared" si="36"/>
        <v>0</v>
      </c>
      <c r="CH742" s="1434"/>
      <c r="CI742" s="1435">
        <f t="shared" si="37"/>
        <v>0</v>
      </c>
      <c r="CJ742" s="1436"/>
      <c r="CK742" s="1433">
        <f t="shared" si="15"/>
        <v>0</v>
      </c>
      <c r="CL742" s="1434"/>
      <c r="CM742" s="1435">
        <f t="shared" si="16"/>
        <v>0</v>
      </c>
      <c r="CN742" s="1436"/>
      <c r="CO742" s="3"/>
      <c r="CP742" s="1463">
        <f t="shared" si="17"/>
        <v>0</v>
      </c>
      <c r="CQ742" s="1464"/>
      <c r="CR742" s="1464"/>
      <c r="CS742" s="1464"/>
      <c r="CT742" s="1465"/>
      <c r="CU742" s="1467">
        <f t="shared" si="18"/>
        <v>0</v>
      </c>
      <c r="CV742" s="1467"/>
      <c r="CW742" s="1467"/>
      <c r="CX742" s="1467"/>
      <c r="CY742" s="1467"/>
      <c r="CZ742" s="1467">
        <f t="shared" si="19"/>
        <v>0</v>
      </c>
      <c r="DA742" s="1467"/>
      <c r="DB742" s="1467"/>
      <c r="DC742" s="1467"/>
      <c r="DD742" s="1467"/>
      <c r="DE742" s="1467">
        <f t="shared" si="20"/>
        <v>0</v>
      </c>
      <c r="DF742" s="1467"/>
      <c r="DG742" s="1467"/>
      <c r="DH742" s="1467"/>
      <c r="DI742" s="1467"/>
      <c r="DJ742" s="1467">
        <f t="shared" si="21"/>
        <v>0</v>
      </c>
      <c r="DK742" s="1467"/>
      <c r="DL742" s="1467"/>
      <c r="DM742" s="1467"/>
      <c r="DN742" s="1467"/>
      <c r="DO742" s="1467">
        <f t="shared" si="22"/>
        <v>0</v>
      </c>
      <c r="DP742" s="1467"/>
      <c r="DQ742" s="1467"/>
      <c r="DR742" s="1467"/>
      <c r="DS742" s="1467"/>
      <c r="DT742" s="6"/>
      <c r="DU742" s="1466">
        <f t="shared" si="23"/>
        <v>0</v>
      </c>
      <c r="DV742" s="1466"/>
      <c r="DW742" s="1466"/>
      <c r="DX742" s="1466"/>
      <c r="DY742" s="1466"/>
      <c r="DZ742" s="1466">
        <f t="shared" si="24"/>
        <v>0</v>
      </c>
      <c r="EA742" s="1466"/>
      <c r="EB742" s="1466"/>
      <c r="EC742" s="1466"/>
      <c r="ED742" s="1466"/>
      <c r="EE742" s="1466">
        <f t="shared" si="25"/>
        <v>0</v>
      </c>
      <c r="EF742" s="1466"/>
      <c r="EG742" s="1466"/>
      <c r="EH742" s="1466"/>
      <c r="EI742" s="1466"/>
      <c r="EJ742" s="1466">
        <f t="shared" si="26"/>
        <v>0</v>
      </c>
      <c r="EK742" s="1466"/>
      <c r="EL742" s="1466"/>
      <c r="EM742" s="1466"/>
      <c r="EN742" s="1466"/>
      <c r="EO742" s="1466">
        <f t="shared" si="27"/>
        <v>0</v>
      </c>
      <c r="EP742" s="1466"/>
      <c r="EQ742" s="1466"/>
      <c r="ER742" s="1466"/>
      <c r="ES742" s="1466"/>
      <c r="ET742" s="1466">
        <f t="shared" si="28"/>
        <v>0</v>
      </c>
      <c r="EU742" s="1466"/>
      <c r="EV742" s="1466"/>
      <c r="EW742" s="1466"/>
      <c r="EX742" s="1466"/>
      <c r="EZ742" s="1433" t="str">
        <f t="shared" si="29"/>
        <v/>
      </c>
      <c r="FA742" s="1473"/>
      <c r="FB742" s="1473"/>
      <c r="FC742" s="1473"/>
      <c r="FD742" s="1434"/>
      <c r="FE742" s="1433" t="str">
        <f t="shared" si="30"/>
        <v/>
      </c>
      <c r="FF742" s="1473"/>
      <c r="FG742" s="1473"/>
      <c r="FH742" s="1473"/>
      <c r="FI742" s="1434"/>
      <c r="FJ742" s="1433" t="str">
        <f t="shared" si="31"/>
        <v/>
      </c>
      <c r="FK742" s="1473"/>
      <c r="FL742" s="1473"/>
      <c r="FM742" s="1473"/>
      <c r="FN742" s="1434"/>
      <c r="FO742" s="1433" t="str">
        <f t="shared" si="32"/>
        <v/>
      </c>
      <c r="FP742" s="1473"/>
      <c r="FQ742" s="1473"/>
      <c r="FR742" s="1473"/>
      <c r="FS742" s="1434"/>
      <c r="FT742" s="1433" t="str">
        <f t="shared" si="33"/>
        <v/>
      </c>
      <c r="FU742" s="1473"/>
      <c r="FV742" s="1473"/>
      <c r="FW742" s="1473"/>
      <c r="FX742" s="1434"/>
      <c r="FY742" s="1433" t="str">
        <f t="shared" si="34"/>
        <v/>
      </c>
      <c r="FZ742" s="1473"/>
      <c r="GA742" s="1473"/>
      <c r="GB742" s="1473"/>
      <c r="GC742" s="1434"/>
    </row>
    <row r="743" spans="1:185" s="3" customFormat="1" ht="12.95" customHeight="1">
      <c r="A743"/>
      <c r="B743" s="1342"/>
      <c r="C743" s="1343"/>
      <c r="D743" s="1343"/>
      <c r="E743" s="1343"/>
      <c r="F743" s="1344"/>
      <c r="G743" s="1339"/>
      <c r="H743" s="1340"/>
      <c r="I743" s="1340"/>
      <c r="J743" s="1341"/>
      <c r="K743" s="1355"/>
      <c r="L743" s="1356"/>
      <c r="M743" s="1356"/>
      <c r="N743" s="1357"/>
      <c r="O743" s="1358"/>
      <c r="P743" s="1359"/>
      <c r="Q743" s="1359"/>
      <c r="R743" s="1359"/>
      <c r="S743" s="1360"/>
      <c r="T743" s="1358"/>
      <c r="U743" s="1359"/>
      <c r="V743" s="1359"/>
      <c r="W743" s="1360"/>
      <c r="X743" s="1352">
        <f t="shared" si="38"/>
        <v>0</v>
      </c>
      <c r="Y743" s="1353"/>
      <c r="Z743" s="1353"/>
      <c r="AA743" s="1353"/>
      <c r="AB743" s="1354"/>
      <c r="AC743" s="1345"/>
      <c r="AD743" s="1346"/>
      <c r="AE743" s="1346"/>
      <c r="AF743" s="1346"/>
      <c r="AG743" s="1347"/>
      <c r="AH743" s="1349" t="str">
        <f t="shared" si="35"/>
        <v/>
      </c>
      <c r="AI743" s="1350"/>
      <c r="AJ743" s="1351"/>
      <c r="AK743" s="1342" t="s">
        <v>591</v>
      </c>
      <c r="AL743" s="1343"/>
      <c r="AM743" s="1343"/>
      <c r="AN743" s="1343"/>
      <c r="AO743" s="1344"/>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33">
        <f t="shared" si="36"/>
        <v>0</v>
      </c>
      <c r="CH743" s="1434"/>
      <c r="CI743" s="1435">
        <f t="shared" si="37"/>
        <v>0</v>
      </c>
      <c r="CJ743" s="1436"/>
      <c r="CK743" s="1433">
        <f t="shared" si="15"/>
        <v>0</v>
      </c>
      <c r="CL743" s="1434"/>
      <c r="CM743" s="1435">
        <f t="shared" si="16"/>
        <v>0</v>
      </c>
      <c r="CN743" s="1436"/>
      <c r="CP743" s="1463">
        <f t="shared" si="17"/>
        <v>0</v>
      </c>
      <c r="CQ743" s="1464"/>
      <c r="CR743" s="1464"/>
      <c r="CS743" s="1464"/>
      <c r="CT743" s="1465"/>
      <c r="CU743" s="1467">
        <f t="shared" si="18"/>
        <v>0</v>
      </c>
      <c r="CV743" s="1467"/>
      <c r="CW743" s="1467"/>
      <c r="CX743" s="1467"/>
      <c r="CY743" s="1467"/>
      <c r="CZ743" s="1467">
        <f t="shared" si="19"/>
        <v>0</v>
      </c>
      <c r="DA743" s="1467"/>
      <c r="DB743" s="1467"/>
      <c r="DC743" s="1467"/>
      <c r="DD743" s="1467"/>
      <c r="DE743" s="1467">
        <f t="shared" si="20"/>
        <v>0</v>
      </c>
      <c r="DF743" s="1467"/>
      <c r="DG743" s="1467"/>
      <c r="DH743" s="1467"/>
      <c r="DI743" s="1467"/>
      <c r="DJ743" s="1467">
        <f t="shared" si="21"/>
        <v>0</v>
      </c>
      <c r="DK743" s="1467"/>
      <c r="DL743" s="1467"/>
      <c r="DM743" s="1467"/>
      <c r="DN743" s="1467"/>
      <c r="DO743" s="1467">
        <f t="shared" si="22"/>
        <v>0</v>
      </c>
      <c r="DP743" s="1467"/>
      <c r="DQ743" s="1467"/>
      <c r="DR743" s="1467"/>
      <c r="DS743" s="1467"/>
      <c r="DT743" s="6"/>
      <c r="DU743" s="1466">
        <f t="shared" si="23"/>
        <v>0</v>
      </c>
      <c r="DV743" s="1466"/>
      <c r="DW743" s="1466"/>
      <c r="DX743" s="1466"/>
      <c r="DY743" s="1466"/>
      <c r="DZ743" s="1466">
        <f t="shared" si="24"/>
        <v>0</v>
      </c>
      <c r="EA743" s="1466"/>
      <c r="EB743" s="1466"/>
      <c r="EC743" s="1466"/>
      <c r="ED743" s="1466"/>
      <c r="EE743" s="1466">
        <f t="shared" si="25"/>
        <v>0</v>
      </c>
      <c r="EF743" s="1466"/>
      <c r="EG743" s="1466"/>
      <c r="EH743" s="1466"/>
      <c r="EI743" s="1466"/>
      <c r="EJ743" s="1466">
        <f t="shared" si="26"/>
        <v>0</v>
      </c>
      <c r="EK743" s="1466"/>
      <c r="EL743" s="1466"/>
      <c r="EM743" s="1466"/>
      <c r="EN743" s="1466"/>
      <c r="EO743" s="1466">
        <f t="shared" si="27"/>
        <v>0</v>
      </c>
      <c r="EP743" s="1466"/>
      <c r="EQ743" s="1466"/>
      <c r="ER743" s="1466"/>
      <c r="ES743" s="1466"/>
      <c r="ET743" s="1466">
        <f t="shared" si="28"/>
        <v>0</v>
      </c>
      <c r="EU743" s="1466"/>
      <c r="EV743" s="1466"/>
      <c r="EW743" s="1466"/>
      <c r="EX743" s="1466"/>
      <c r="EY743"/>
      <c r="EZ743" s="1433" t="str">
        <f t="shared" si="29"/>
        <v/>
      </c>
      <c r="FA743" s="1473"/>
      <c r="FB743" s="1473"/>
      <c r="FC743" s="1473"/>
      <c r="FD743" s="1434"/>
      <c r="FE743" s="1433" t="str">
        <f t="shared" si="30"/>
        <v/>
      </c>
      <c r="FF743" s="1473"/>
      <c r="FG743" s="1473"/>
      <c r="FH743" s="1473"/>
      <c r="FI743" s="1434"/>
      <c r="FJ743" s="1433" t="str">
        <f t="shared" si="31"/>
        <v/>
      </c>
      <c r="FK743" s="1473"/>
      <c r="FL743" s="1473"/>
      <c r="FM743" s="1473"/>
      <c r="FN743" s="1434"/>
      <c r="FO743" s="1433" t="str">
        <f t="shared" si="32"/>
        <v/>
      </c>
      <c r="FP743" s="1473"/>
      <c r="FQ743" s="1473"/>
      <c r="FR743" s="1473"/>
      <c r="FS743" s="1434"/>
      <c r="FT743" s="1433" t="str">
        <f t="shared" si="33"/>
        <v/>
      </c>
      <c r="FU743" s="1473"/>
      <c r="FV743" s="1473"/>
      <c r="FW743" s="1473"/>
      <c r="FX743" s="1434"/>
      <c r="FY743" s="1433" t="str">
        <f t="shared" si="34"/>
        <v/>
      </c>
      <c r="FZ743" s="1473"/>
      <c r="GA743" s="1473"/>
      <c r="GB743" s="1473"/>
      <c r="GC743" s="1434"/>
    </row>
    <row r="744" spans="1:185" ht="12.95" customHeight="1">
      <c r="B744" s="1342"/>
      <c r="C744" s="1343"/>
      <c r="D744" s="1343"/>
      <c r="E744" s="1343"/>
      <c r="F744" s="1344"/>
      <c r="G744" s="1339"/>
      <c r="H744" s="1340"/>
      <c r="I744" s="1340"/>
      <c r="J744" s="1341"/>
      <c r="K744" s="1355"/>
      <c r="L744" s="1356"/>
      <c r="M744" s="1356"/>
      <c r="N744" s="1357"/>
      <c r="O744" s="1358"/>
      <c r="P744" s="1359"/>
      <c r="Q744" s="1359"/>
      <c r="R744" s="1359"/>
      <c r="S744" s="1360"/>
      <c r="T744" s="1358"/>
      <c r="U744" s="1359"/>
      <c r="V744" s="1359"/>
      <c r="W744" s="1360"/>
      <c r="X744" s="1352">
        <f t="shared" si="38"/>
        <v>0</v>
      </c>
      <c r="Y744" s="1353"/>
      <c r="Z744" s="1353"/>
      <c r="AA744" s="1353"/>
      <c r="AB744" s="1354"/>
      <c r="AC744" s="1345"/>
      <c r="AD744" s="1346"/>
      <c r="AE744" s="1346"/>
      <c r="AF744" s="1346"/>
      <c r="AG744" s="1347"/>
      <c r="AH744" s="1349" t="str">
        <f t="shared" si="35"/>
        <v/>
      </c>
      <c r="AI744" s="1350"/>
      <c r="AJ744" s="1351"/>
      <c r="AK744" s="1342" t="s">
        <v>591</v>
      </c>
      <c r="AL744" s="1343"/>
      <c r="AM744" s="1343"/>
      <c r="AN744" s="1343"/>
      <c r="AO744" s="1344"/>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33">
        <f t="shared" si="36"/>
        <v>0</v>
      </c>
      <c r="CH744" s="1434"/>
      <c r="CI744" s="1435">
        <f t="shared" si="37"/>
        <v>0</v>
      </c>
      <c r="CJ744" s="1436"/>
      <c r="CK744" s="1433">
        <f t="shared" si="15"/>
        <v>0</v>
      </c>
      <c r="CL744" s="1434"/>
      <c r="CM744" s="1435">
        <f t="shared" si="16"/>
        <v>0</v>
      </c>
      <c r="CN744" s="1436"/>
      <c r="CO744" s="3"/>
      <c r="CP744" s="1463">
        <f t="shared" si="17"/>
        <v>0</v>
      </c>
      <c r="CQ744" s="1464"/>
      <c r="CR744" s="1464"/>
      <c r="CS744" s="1464"/>
      <c r="CT744" s="1465"/>
      <c r="CU744" s="1467">
        <f t="shared" si="18"/>
        <v>0</v>
      </c>
      <c r="CV744" s="1467"/>
      <c r="CW744" s="1467"/>
      <c r="CX744" s="1467"/>
      <c r="CY744" s="1467"/>
      <c r="CZ744" s="1467">
        <f t="shared" si="19"/>
        <v>0</v>
      </c>
      <c r="DA744" s="1467"/>
      <c r="DB744" s="1467"/>
      <c r="DC744" s="1467"/>
      <c r="DD744" s="1467"/>
      <c r="DE744" s="1467">
        <f t="shared" si="20"/>
        <v>0</v>
      </c>
      <c r="DF744" s="1467"/>
      <c r="DG744" s="1467"/>
      <c r="DH744" s="1467"/>
      <c r="DI744" s="1467"/>
      <c r="DJ744" s="1467">
        <f t="shared" si="21"/>
        <v>0</v>
      </c>
      <c r="DK744" s="1467"/>
      <c r="DL744" s="1467"/>
      <c r="DM744" s="1467"/>
      <c r="DN744" s="1467"/>
      <c r="DO744" s="1467">
        <f t="shared" si="22"/>
        <v>0</v>
      </c>
      <c r="DP744" s="1467"/>
      <c r="DQ744" s="1467"/>
      <c r="DR744" s="1467"/>
      <c r="DS744" s="1467"/>
      <c r="DT744" s="6"/>
      <c r="DU744" s="1466">
        <f t="shared" si="23"/>
        <v>0</v>
      </c>
      <c r="DV744" s="1466"/>
      <c r="DW744" s="1466"/>
      <c r="DX744" s="1466"/>
      <c r="DY744" s="1466"/>
      <c r="DZ744" s="1466">
        <f t="shared" si="24"/>
        <v>0</v>
      </c>
      <c r="EA744" s="1466"/>
      <c r="EB744" s="1466"/>
      <c r="EC744" s="1466"/>
      <c r="ED744" s="1466"/>
      <c r="EE744" s="1466">
        <f t="shared" si="25"/>
        <v>0</v>
      </c>
      <c r="EF744" s="1466"/>
      <c r="EG744" s="1466"/>
      <c r="EH744" s="1466"/>
      <c r="EI744" s="1466"/>
      <c r="EJ744" s="1466">
        <f t="shared" si="26"/>
        <v>0</v>
      </c>
      <c r="EK744" s="1466"/>
      <c r="EL744" s="1466"/>
      <c r="EM744" s="1466"/>
      <c r="EN744" s="1466"/>
      <c r="EO744" s="1466">
        <f t="shared" si="27"/>
        <v>0</v>
      </c>
      <c r="EP744" s="1466"/>
      <c r="EQ744" s="1466"/>
      <c r="ER744" s="1466"/>
      <c r="ES744" s="1466"/>
      <c r="ET744" s="1466">
        <f t="shared" si="28"/>
        <v>0</v>
      </c>
      <c r="EU744" s="1466"/>
      <c r="EV744" s="1466"/>
      <c r="EW744" s="1466"/>
      <c r="EX744" s="1466"/>
      <c r="EZ744" s="1433" t="str">
        <f t="shared" si="29"/>
        <v/>
      </c>
      <c r="FA744" s="1473"/>
      <c r="FB744" s="1473"/>
      <c r="FC744" s="1473"/>
      <c r="FD744" s="1434"/>
      <c r="FE744" s="1433" t="str">
        <f t="shared" si="30"/>
        <v/>
      </c>
      <c r="FF744" s="1473"/>
      <c r="FG744" s="1473"/>
      <c r="FH744" s="1473"/>
      <c r="FI744" s="1434"/>
      <c r="FJ744" s="1433" t="str">
        <f t="shared" si="31"/>
        <v/>
      </c>
      <c r="FK744" s="1473"/>
      <c r="FL744" s="1473"/>
      <c r="FM744" s="1473"/>
      <c r="FN744" s="1434"/>
      <c r="FO744" s="1433" t="str">
        <f t="shared" si="32"/>
        <v/>
      </c>
      <c r="FP744" s="1473"/>
      <c r="FQ744" s="1473"/>
      <c r="FR744" s="1473"/>
      <c r="FS744" s="1434"/>
      <c r="FT744" s="1433" t="str">
        <f t="shared" si="33"/>
        <v/>
      </c>
      <c r="FU744" s="1473"/>
      <c r="FV744" s="1473"/>
      <c r="FW744" s="1473"/>
      <c r="FX744" s="1434"/>
      <c r="FY744" s="1433" t="str">
        <f t="shared" si="34"/>
        <v/>
      </c>
      <c r="FZ744" s="1473"/>
      <c r="GA744" s="1473"/>
      <c r="GB744" s="1473"/>
      <c r="GC744" s="1434"/>
    </row>
    <row r="745" spans="1:185" ht="12.95" customHeight="1">
      <c r="B745" s="1342"/>
      <c r="C745" s="1343"/>
      <c r="D745" s="1343"/>
      <c r="E745" s="1343"/>
      <c r="F745" s="1344"/>
      <c r="G745" s="1339"/>
      <c r="H745" s="1340"/>
      <c r="I745" s="1340"/>
      <c r="J745" s="1341"/>
      <c r="K745" s="1355"/>
      <c r="L745" s="1356"/>
      <c r="M745" s="1356"/>
      <c r="N745" s="1357"/>
      <c r="O745" s="1358"/>
      <c r="P745" s="1359"/>
      <c r="Q745" s="1359"/>
      <c r="R745" s="1359"/>
      <c r="S745" s="1360"/>
      <c r="T745" s="1358"/>
      <c r="U745" s="1359"/>
      <c r="V745" s="1359"/>
      <c r="W745" s="1360"/>
      <c r="X745" s="1352">
        <f t="shared" si="38"/>
        <v>0</v>
      </c>
      <c r="Y745" s="1353"/>
      <c r="Z745" s="1353"/>
      <c r="AA745" s="1353"/>
      <c r="AB745" s="1354"/>
      <c r="AC745" s="1345"/>
      <c r="AD745" s="1346"/>
      <c r="AE745" s="1346"/>
      <c r="AF745" s="1346"/>
      <c r="AG745" s="1347"/>
      <c r="AH745" s="1349" t="str">
        <f t="shared" si="35"/>
        <v/>
      </c>
      <c r="AI745" s="1350"/>
      <c r="AJ745" s="1351"/>
      <c r="AK745" s="1342" t="s">
        <v>591</v>
      </c>
      <c r="AL745" s="1343"/>
      <c r="AM745" s="1343"/>
      <c r="AN745" s="1343"/>
      <c r="AO745" s="1344"/>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33">
        <f t="shared" si="36"/>
        <v>0</v>
      </c>
      <c r="CH745" s="1434"/>
      <c r="CI745" s="1435">
        <f t="shared" si="37"/>
        <v>0</v>
      </c>
      <c r="CJ745" s="1436"/>
      <c r="CK745" s="1433">
        <f t="shared" si="15"/>
        <v>0</v>
      </c>
      <c r="CL745" s="1434"/>
      <c r="CM745" s="1435">
        <f t="shared" si="16"/>
        <v>0</v>
      </c>
      <c r="CN745" s="1436"/>
      <c r="CO745" s="3"/>
      <c r="CP745" s="1463">
        <f t="shared" si="17"/>
        <v>0</v>
      </c>
      <c r="CQ745" s="1464"/>
      <c r="CR745" s="1464"/>
      <c r="CS745" s="1464"/>
      <c r="CT745" s="1465"/>
      <c r="CU745" s="1467">
        <f t="shared" si="18"/>
        <v>0</v>
      </c>
      <c r="CV745" s="1467"/>
      <c r="CW745" s="1467"/>
      <c r="CX745" s="1467"/>
      <c r="CY745" s="1467"/>
      <c r="CZ745" s="1467">
        <f t="shared" si="19"/>
        <v>0</v>
      </c>
      <c r="DA745" s="1467"/>
      <c r="DB745" s="1467"/>
      <c r="DC745" s="1467"/>
      <c r="DD745" s="1467"/>
      <c r="DE745" s="1467">
        <f t="shared" si="20"/>
        <v>0</v>
      </c>
      <c r="DF745" s="1467"/>
      <c r="DG745" s="1467"/>
      <c r="DH745" s="1467"/>
      <c r="DI745" s="1467"/>
      <c r="DJ745" s="1467">
        <f t="shared" si="21"/>
        <v>0</v>
      </c>
      <c r="DK745" s="1467"/>
      <c r="DL745" s="1467"/>
      <c r="DM745" s="1467"/>
      <c r="DN745" s="1467"/>
      <c r="DO745" s="1467">
        <f t="shared" si="22"/>
        <v>0</v>
      </c>
      <c r="DP745" s="1467"/>
      <c r="DQ745" s="1467"/>
      <c r="DR745" s="1467"/>
      <c r="DS745" s="1467"/>
      <c r="DT745" s="6"/>
      <c r="DU745" s="1466">
        <f t="shared" si="23"/>
        <v>0</v>
      </c>
      <c r="DV745" s="1466"/>
      <c r="DW745" s="1466"/>
      <c r="DX745" s="1466"/>
      <c r="DY745" s="1466"/>
      <c r="DZ745" s="1466">
        <f t="shared" si="24"/>
        <v>0</v>
      </c>
      <c r="EA745" s="1466"/>
      <c r="EB745" s="1466"/>
      <c r="EC745" s="1466"/>
      <c r="ED745" s="1466"/>
      <c r="EE745" s="1466">
        <f t="shared" si="25"/>
        <v>0</v>
      </c>
      <c r="EF745" s="1466"/>
      <c r="EG745" s="1466"/>
      <c r="EH745" s="1466"/>
      <c r="EI745" s="1466"/>
      <c r="EJ745" s="1466">
        <f t="shared" si="26"/>
        <v>0</v>
      </c>
      <c r="EK745" s="1466"/>
      <c r="EL745" s="1466"/>
      <c r="EM745" s="1466"/>
      <c r="EN745" s="1466"/>
      <c r="EO745" s="1466">
        <f t="shared" si="27"/>
        <v>0</v>
      </c>
      <c r="EP745" s="1466"/>
      <c r="EQ745" s="1466"/>
      <c r="ER745" s="1466"/>
      <c r="ES745" s="1466"/>
      <c r="ET745" s="1466">
        <f t="shared" si="28"/>
        <v>0</v>
      </c>
      <c r="EU745" s="1466"/>
      <c r="EV745" s="1466"/>
      <c r="EW745" s="1466"/>
      <c r="EX745" s="1466"/>
      <c r="EZ745" s="1433" t="str">
        <f t="shared" si="29"/>
        <v/>
      </c>
      <c r="FA745" s="1473"/>
      <c r="FB745" s="1473"/>
      <c r="FC745" s="1473"/>
      <c r="FD745" s="1434"/>
      <c r="FE745" s="1433" t="str">
        <f t="shared" si="30"/>
        <v/>
      </c>
      <c r="FF745" s="1473"/>
      <c r="FG745" s="1473"/>
      <c r="FH745" s="1473"/>
      <c r="FI745" s="1434"/>
      <c r="FJ745" s="1433" t="str">
        <f t="shared" si="31"/>
        <v/>
      </c>
      <c r="FK745" s="1473"/>
      <c r="FL745" s="1473"/>
      <c r="FM745" s="1473"/>
      <c r="FN745" s="1434"/>
      <c r="FO745" s="1433" t="str">
        <f t="shared" si="32"/>
        <v/>
      </c>
      <c r="FP745" s="1473"/>
      <c r="FQ745" s="1473"/>
      <c r="FR745" s="1473"/>
      <c r="FS745" s="1434"/>
      <c r="FT745" s="1433" t="str">
        <f t="shared" si="33"/>
        <v/>
      </c>
      <c r="FU745" s="1473"/>
      <c r="FV745" s="1473"/>
      <c r="FW745" s="1473"/>
      <c r="FX745" s="1434"/>
      <c r="FY745" s="1433" t="str">
        <f t="shared" si="34"/>
        <v/>
      </c>
      <c r="FZ745" s="1473"/>
      <c r="GA745" s="1473"/>
      <c r="GB745" s="1473"/>
      <c r="GC745" s="1434"/>
    </row>
    <row r="746" spans="1:185" ht="12.95" customHeight="1">
      <c r="B746" s="1342"/>
      <c r="C746" s="1343"/>
      <c r="D746" s="1343"/>
      <c r="E746" s="1343"/>
      <c r="F746" s="1344"/>
      <c r="G746" s="1339"/>
      <c r="H746" s="1340"/>
      <c r="I746" s="1340"/>
      <c r="J746" s="1341"/>
      <c r="K746" s="1355"/>
      <c r="L746" s="1356"/>
      <c r="M746" s="1356"/>
      <c r="N746" s="1357"/>
      <c r="O746" s="1358"/>
      <c r="P746" s="1359"/>
      <c r="Q746" s="1359"/>
      <c r="R746" s="1359"/>
      <c r="S746" s="1360"/>
      <c r="T746" s="1358"/>
      <c r="U746" s="1359"/>
      <c r="V746" s="1359"/>
      <c r="W746" s="1360"/>
      <c r="X746" s="1352">
        <f t="shared" si="38"/>
        <v>0</v>
      </c>
      <c r="Y746" s="1353"/>
      <c r="Z746" s="1353"/>
      <c r="AA746" s="1353"/>
      <c r="AB746" s="1354"/>
      <c r="AC746" s="1345"/>
      <c r="AD746" s="1346"/>
      <c r="AE746" s="1346"/>
      <c r="AF746" s="1346"/>
      <c r="AG746" s="1347"/>
      <c r="AH746" s="1349" t="str">
        <f t="shared" si="35"/>
        <v/>
      </c>
      <c r="AI746" s="1350"/>
      <c r="AJ746" s="1351"/>
      <c r="AK746" s="1342" t="s">
        <v>591</v>
      </c>
      <c r="AL746" s="1343"/>
      <c r="AM746" s="1343"/>
      <c r="AN746" s="1343"/>
      <c r="AO746" s="1344"/>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33">
        <f t="shared" si="36"/>
        <v>0</v>
      </c>
      <c r="CH746" s="1434"/>
      <c r="CI746" s="1435">
        <f t="shared" si="37"/>
        <v>0</v>
      </c>
      <c r="CJ746" s="1436"/>
      <c r="CK746" s="1433">
        <f t="shared" si="15"/>
        <v>0</v>
      </c>
      <c r="CL746" s="1434"/>
      <c r="CM746" s="1435">
        <f t="shared" si="16"/>
        <v>0</v>
      </c>
      <c r="CN746" s="1436"/>
      <c r="CO746" s="3"/>
      <c r="CP746" s="1463">
        <f t="shared" si="17"/>
        <v>0</v>
      </c>
      <c r="CQ746" s="1464"/>
      <c r="CR746" s="1464"/>
      <c r="CS746" s="1464"/>
      <c r="CT746" s="1465"/>
      <c r="CU746" s="1467">
        <f t="shared" si="18"/>
        <v>0</v>
      </c>
      <c r="CV746" s="1467"/>
      <c r="CW746" s="1467"/>
      <c r="CX746" s="1467"/>
      <c r="CY746" s="1467"/>
      <c r="CZ746" s="1467">
        <f t="shared" si="19"/>
        <v>0</v>
      </c>
      <c r="DA746" s="1467"/>
      <c r="DB746" s="1467"/>
      <c r="DC746" s="1467"/>
      <c r="DD746" s="1467"/>
      <c r="DE746" s="1467">
        <f t="shared" si="20"/>
        <v>0</v>
      </c>
      <c r="DF746" s="1467"/>
      <c r="DG746" s="1467"/>
      <c r="DH746" s="1467"/>
      <c r="DI746" s="1467"/>
      <c r="DJ746" s="1467">
        <f t="shared" si="21"/>
        <v>0</v>
      </c>
      <c r="DK746" s="1467"/>
      <c r="DL746" s="1467"/>
      <c r="DM746" s="1467"/>
      <c r="DN746" s="1467"/>
      <c r="DO746" s="1467">
        <f t="shared" si="22"/>
        <v>0</v>
      </c>
      <c r="DP746" s="1467"/>
      <c r="DQ746" s="1467"/>
      <c r="DR746" s="1467"/>
      <c r="DS746" s="1467"/>
      <c r="DT746" s="6"/>
      <c r="DU746" s="1466">
        <f t="shared" si="23"/>
        <v>0</v>
      </c>
      <c r="DV746" s="1466"/>
      <c r="DW746" s="1466"/>
      <c r="DX746" s="1466"/>
      <c r="DY746" s="1466"/>
      <c r="DZ746" s="1466">
        <f t="shared" si="24"/>
        <v>0</v>
      </c>
      <c r="EA746" s="1466"/>
      <c r="EB746" s="1466"/>
      <c r="EC746" s="1466"/>
      <c r="ED746" s="1466"/>
      <c r="EE746" s="1466">
        <f t="shared" si="25"/>
        <v>0</v>
      </c>
      <c r="EF746" s="1466"/>
      <c r="EG746" s="1466"/>
      <c r="EH746" s="1466"/>
      <c r="EI746" s="1466"/>
      <c r="EJ746" s="1466">
        <f t="shared" si="26"/>
        <v>0</v>
      </c>
      <c r="EK746" s="1466"/>
      <c r="EL746" s="1466"/>
      <c r="EM746" s="1466"/>
      <c r="EN746" s="1466"/>
      <c r="EO746" s="1466">
        <f t="shared" si="27"/>
        <v>0</v>
      </c>
      <c r="EP746" s="1466"/>
      <c r="EQ746" s="1466"/>
      <c r="ER746" s="1466"/>
      <c r="ES746" s="1466"/>
      <c r="ET746" s="1466">
        <f t="shared" si="28"/>
        <v>0</v>
      </c>
      <c r="EU746" s="1466"/>
      <c r="EV746" s="1466"/>
      <c r="EW746" s="1466"/>
      <c r="EX746" s="1466"/>
      <c r="EZ746" s="1433" t="str">
        <f t="shared" si="29"/>
        <v/>
      </c>
      <c r="FA746" s="1473"/>
      <c r="FB746" s="1473"/>
      <c r="FC746" s="1473"/>
      <c r="FD746" s="1434"/>
      <c r="FE746" s="1433" t="str">
        <f t="shared" si="30"/>
        <v/>
      </c>
      <c r="FF746" s="1473"/>
      <c r="FG746" s="1473"/>
      <c r="FH746" s="1473"/>
      <c r="FI746" s="1434"/>
      <c r="FJ746" s="1433" t="str">
        <f t="shared" si="31"/>
        <v/>
      </c>
      <c r="FK746" s="1473"/>
      <c r="FL746" s="1473"/>
      <c r="FM746" s="1473"/>
      <c r="FN746" s="1434"/>
      <c r="FO746" s="1433" t="str">
        <f t="shared" si="32"/>
        <v/>
      </c>
      <c r="FP746" s="1473"/>
      <c r="FQ746" s="1473"/>
      <c r="FR746" s="1473"/>
      <c r="FS746" s="1434"/>
      <c r="FT746" s="1433" t="str">
        <f t="shared" si="33"/>
        <v/>
      </c>
      <c r="FU746" s="1473"/>
      <c r="FV746" s="1473"/>
      <c r="FW746" s="1473"/>
      <c r="FX746" s="1434"/>
      <c r="FY746" s="1433" t="str">
        <f t="shared" si="34"/>
        <v/>
      </c>
      <c r="FZ746" s="1473"/>
      <c r="GA746" s="1473"/>
      <c r="GB746" s="1473"/>
      <c r="GC746" s="1434"/>
    </row>
    <row r="747" spans="1:185" ht="12.95" customHeight="1">
      <c r="B747" s="1342"/>
      <c r="C747" s="1343"/>
      <c r="D747" s="1343"/>
      <c r="E747" s="1343"/>
      <c r="F747" s="1344"/>
      <c r="G747" s="1339"/>
      <c r="H747" s="1340"/>
      <c r="I747" s="1340"/>
      <c r="J747" s="1341"/>
      <c r="K747" s="1355"/>
      <c r="L747" s="1356"/>
      <c r="M747" s="1356"/>
      <c r="N747" s="1357"/>
      <c r="O747" s="1358"/>
      <c r="P747" s="1359"/>
      <c r="Q747" s="1359"/>
      <c r="R747" s="1359"/>
      <c r="S747" s="1360"/>
      <c r="T747" s="1358"/>
      <c r="U747" s="1359"/>
      <c r="V747" s="1359"/>
      <c r="W747" s="1360"/>
      <c r="X747" s="1352">
        <f t="shared" si="38"/>
        <v>0</v>
      </c>
      <c r="Y747" s="1353"/>
      <c r="Z747" s="1353"/>
      <c r="AA747" s="1353"/>
      <c r="AB747" s="1354"/>
      <c r="AC747" s="1345"/>
      <c r="AD747" s="1346"/>
      <c r="AE747" s="1346"/>
      <c r="AF747" s="1346"/>
      <c r="AG747" s="1347"/>
      <c r="AH747" s="1349" t="str">
        <f t="shared" si="35"/>
        <v/>
      </c>
      <c r="AI747" s="1350"/>
      <c r="AJ747" s="1351"/>
      <c r="AK747" s="1342" t="s">
        <v>591</v>
      </c>
      <c r="AL747" s="1343"/>
      <c r="AM747" s="1343"/>
      <c r="AN747" s="1343"/>
      <c r="AO747" s="1344"/>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33">
        <f t="shared" si="36"/>
        <v>0</v>
      </c>
      <c r="CH747" s="1434"/>
      <c r="CI747" s="1435">
        <f t="shared" si="37"/>
        <v>0</v>
      </c>
      <c r="CJ747" s="1436"/>
      <c r="CK747" s="1433">
        <f t="shared" si="15"/>
        <v>0</v>
      </c>
      <c r="CL747" s="1434"/>
      <c r="CM747" s="1435">
        <f t="shared" si="16"/>
        <v>0</v>
      </c>
      <c r="CN747" s="1436"/>
      <c r="CO747" s="3"/>
      <c r="CP747" s="1463">
        <f t="shared" si="17"/>
        <v>0</v>
      </c>
      <c r="CQ747" s="1464"/>
      <c r="CR747" s="1464"/>
      <c r="CS747" s="1464"/>
      <c r="CT747" s="1465"/>
      <c r="CU747" s="1467">
        <f t="shared" si="18"/>
        <v>0</v>
      </c>
      <c r="CV747" s="1467"/>
      <c r="CW747" s="1467"/>
      <c r="CX747" s="1467"/>
      <c r="CY747" s="1467"/>
      <c r="CZ747" s="1467">
        <f t="shared" si="19"/>
        <v>0</v>
      </c>
      <c r="DA747" s="1467"/>
      <c r="DB747" s="1467"/>
      <c r="DC747" s="1467"/>
      <c r="DD747" s="1467"/>
      <c r="DE747" s="1467">
        <f t="shared" si="20"/>
        <v>0</v>
      </c>
      <c r="DF747" s="1467"/>
      <c r="DG747" s="1467"/>
      <c r="DH747" s="1467"/>
      <c r="DI747" s="1467"/>
      <c r="DJ747" s="1467">
        <f t="shared" si="21"/>
        <v>0</v>
      </c>
      <c r="DK747" s="1467"/>
      <c r="DL747" s="1467"/>
      <c r="DM747" s="1467"/>
      <c r="DN747" s="1467"/>
      <c r="DO747" s="1467">
        <f t="shared" si="22"/>
        <v>0</v>
      </c>
      <c r="DP747" s="1467"/>
      <c r="DQ747" s="1467"/>
      <c r="DR747" s="1467"/>
      <c r="DS747" s="1467"/>
      <c r="DT747" s="6"/>
      <c r="DU747" s="1466">
        <f t="shared" si="23"/>
        <v>0</v>
      </c>
      <c r="DV747" s="1466"/>
      <c r="DW747" s="1466"/>
      <c r="DX747" s="1466"/>
      <c r="DY747" s="1466"/>
      <c r="DZ747" s="1466">
        <f t="shared" si="24"/>
        <v>0</v>
      </c>
      <c r="EA747" s="1466"/>
      <c r="EB747" s="1466"/>
      <c r="EC747" s="1466"/>
      <c r="ED747" s="1466"/>
      <c r="EE747" s="1466">
        <f t="shared" si="25"/>
        <v>0</v>
      </c>
      <c r="EF747" s="1466"/>
      <c r="EG747" s="1466"/>
      <c r="EH747" s="1466"/>
      <c r="EI747" s="1466"/>
      <c r="EJ747" s="1466">
        <f t="shared" si="26"/>
        <v>0</v>
      </c>
      <c r="EK747" s="1466"/>
      <c r="EL747" s="1466"/>
      <c r="EM747" s="1466"/>
      <c r="EN747" s="1466"/>
      <c r="EO747" s="1466">
        <f t="shared" si="27"/>
        <v>0</v>
      </c>
      <c r="EP747" s="1466"/>
      <c r="EQ747" s="1466"/>
      <c r="ER747" s="1466"/>
      <c r="ES747" s="1466"/>
      <c r="ET747" s="1466">
        <f t="shared" si="28"/>
        <v>0</v>
      </c>
      <c r="EU747" s="1466"/>
      <c r="EV747" s="1466"/>
      <c r="EW747" s="1466"/>
      <c r="EX747" s="1466"/>
      <c r="EZ747" s="1433" t="str">
        <f t="shared" si="29"/>
        <v/>
      </c>
      <c r="FA747" s="1473"/>
      <c r="FB747" s="1473"/>
      <c r="FC747" s="1473"/>
      <c r="FD747" s="1434"/>
      <c r="FE747" s="1433" t="str">
        <f t="shared" si="30"/>
        <v/>
      </c>
      <c r="FF747" s="1473"/>
      <c r="FG747" s="1473"/>
      <c r="FH747" s="1473"/>
      <c r="FI747" s="1434"/>
      <c r="FJ747" s="1433" t="str">
        <f t="shared" si="31"/>
        <v/>
      </c>
      <c r="FK747" s="1473"/>
      <c r="FL747" s="1473"/>
      <c r="FM747" s="1473"/>
      <c r="FN747" s="1434"/>
      <c r="FO747" s="1433" t="str">
        <f t="shared" si="32"/>
        <v/>
      </c>
      <c r="FP747" s="1473"/>
      <c r="FQ747" s="1473"/>
      <c r="FR747" s="1473"/>
      <c r="FS747" s="1434"/>
      <c r="FT747" s="1433" t="str">
        <f t="shared" si="33"/>
        <v/>
      </c>
      <c r="FU747" s="1473"/>
      <c r="FV747" s="1473"/>
      <c r="FW747" s="1473"/>
      <c r="FX747" s="1434"/>
      <c r="FY747" s="1433" t="str">
        <f t="shared" si="34"/>
        <v/>
      </c>
      <c r="FZ747" s="1473"/>
      <c r="GA747" s="1473"/>
      <c r="GB747" s="1473"/>
      <c r="GC747" s="1434"/>
    </row>
    <row r="748" spans="1:185" s="3" customFormat="1" ht="12.95" customHeight="1">
      <c r="A748"/>
      <c r="B748" s="1342"/>
      <c r="C748" s="1343"/>
      <c r="D748" s="1343"/>
      <c r="E748" s="1343"/>
      <c r="F748" s="1344"/>
      <c r="G748" s="1339"/>
      <c r="H748" s="1340"/>
      <c r="I748" s="1340"/>
      <c r="J748" s="1341"/>
      <c r="K748" s="1355"/>
      <c r="L748" s="1356"/>
      <c r="M748" s="1356"/>
      <c r="N748" s="1357"/>
      <c r="O748" s="1358"/>
      <c r="P748" s="1359"/>
      <c r="Q748" s="1359"/>
      <c r="R748" s="1359"/>
      <c r="S748" s="1360"/>
      <c r="T748" s="1358"/>
      <c r="U748" s="1359"/>
      <c r="V748" s="1359"/>
      <c r="W748" s="1360"/>
      <c r="X748" s="1352">
        <f t="shared" si="38"/>
        <v>0</v>
      </c>
      <c r="Y748" s="1353"/>
      <c r="Z748" s="1353"/>
      <c r="AA748" s="1353"/>
      <c r="AB748" s="1354"/>
      <c r="AC748" s="1345"/>
      <c r="AD748" s="1346"/>
      <c r="AE748" s="1346"/>
      <c r="AF748" s="1346"/>
      <c r="AG748" s="1347"/>
      <c r="AH748" s="1349" t="str">
        <f t="shared" si="35"/>
        <v/>
      </c>
      <c r="AI748" s="1350"/>
      <c r="AJ748" s="1351"/>
      <c r="AK748" s="1342" t="s">
        <v>591</v>
      </c>
      <c r="AL748" s="1343"/>
      <c r="AM748" s="1343"/>
      <c r="AN748" s="1343"/>
      <c r="AO748" s="1344"/>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33">
        <f t="shared" si="36"/>
        <v>0</v>
      </c>
      <c r="CH748" s="1434"/>
      <c r="CI748" s="1435">
        <f t="shared" si="37"/>
        <v>0</v>
      </c>
      <c r="CJ748" s="1436"/>
      <c r="CK748" s="1433">
        <f t="shared" si="15"/>
        <v>0</v>
      </c>
      <c r="CL748" s="1434"/>
      <c r="CM748" s="1435">
        <f t="shared" si="16"/>
        <v>0</v>
      </c>
      <c r="CN748" s="1436"/>
      <c r="CP748" s="1463">
        <f t="shared" si="17"/>
        <v>0</v>
      </c>
      <c r="CQ748" s="1464"/>
      <c r="CR748" s="1464"/>
      <c r="CS748" s="1464"/>
      <c r="CT748" s="1465"/>
      <c r="CU748" s="1467">
        <f t="shared" si="18"/>
        <v>0</v>
      </c>
      <c r="CV748" s="1467"/>
      <c r="CW748" s="1467"/>
      <c r="CX748" s="1467"/>
      <c r="CY748" s="1467"/>
      <c r="CZ748" s="1467">
        <f t="shared" si="19"/>
        <v>0</v>
      </c>
      <c r="DA748" s="1467"/>
      <c r="DB748" s="1467"/>
      <c r="DC748" s="1467"/>
      <c r="DD748" s="1467"/>
      <c r="DE748" s="1467">
        <f t="shared" si="20"/>
        <v>0</v>
      </c>
      <c r="DF748" s="1467"/>
      <c r="DG748" s="1467"/>
      <c r="DH748" s="1467"/>
      <c r="DI748" s="1467"/>
      <c r="DJ748" s="1467">
        <f t="shared" si="21"/>
        <v>0</v>
      </c>
      <c r="DK748" s="1467"/>
      <c r="DL748" s="1467"/>
      <c r="DM748" s="1467"/>
      <c r="DN748" s="1467"/>
      <c r="DO748" s="1467">
        <f t="shared" si="22"/>
        <v>0</v>
      </c>
      <c r="DP748" s="1467"/>
      <c r="DQ748" s="1467"/>
      <c r="DR748" s="1467"/>
      <c r="DS748" s="1467"/>
      <c r="DT748" s="6"/>
      <c r="DU748" s="1466">
        <f t="shared" si="23"/>
        <v>0</v>
      </c>
      <c r="DV748" s="1466"/>
      <c r="DW748" s="1466"/>
      <c r="DX748" s="1466"/>
      <c r="DY748" s="1466"/>
      <c r="DZ748" s="1466">
        <f t="shared" si="24"/>
        <v>0</v>
      </c>
      <c r="EA748" s="1466"/>
      <c r="EB748" s="1466"/>
      <c r="EC748" s="1466"/>
      <c r="ED748" s="1466"/>
      <c r="EE748" s="1466">
        <f t="shared" si="25"/>
        <v>0</v>
      </c>
      <c r="EF748" s="1466"/>
      <c r="EG748" s="1466"/>
      <c r="EH748" s="1466"/>
      <c r="EI748" s="1466"/>
      <c r="EJ748" s="1466">
        <f t="shared" si="26"/>
        <v>0</v>
      </c>
      <c r="EK748" s="1466"/>
      <c r="EL748" s="1466"/>
      <c r="EM748" s="1466"/>
      <c r="EN748" s="1466"/>
      <c r="EO748" s="1466">
        <f t="shared" si="27"/>
        <v>0</v>
      </c>
      <c r="EP748" s="1466"/>
      <c r="EQ748" s="1466"/>
      <c r="ER748" s="1466"/>
      <c r="ES748" s="1466"/>
      <c r="ET748" s="1466">
        <f t="shared" si="28"/>
        <v>0</v>
      </c>
      <c r="EU748" s="1466"/>
      <c r="EV748" s="1466"/>
      <c r="EW748" s="1466"/>
      <c r="EX748" s="1466"/>
      <c r="EY748"/>
      <c r="EZ748" s="1433" t="str">
        <f t="shared" si="29"/>
        <v/>
      </c>
      <c r="FA748" s="1473"/>
      <c r="FB748" s="1473"/>
      <c r="FC748" s="1473"/>
      <c r="FD748" s="1434"/>
      <c r="FE748" s="1433" t="str">
        <f t="shared" si="30"/>
        <v/>
      </c>
      <c r="FF748" s="1473"/>
      <c r="FG748" s="1473"/>
      <c r="FH748" s="1473"/>
      <c r="FI748" s="1434"/>
      <c r="FJ748" s="1433" t="str">
        <f t="shared" si="31"/>
        <v/>
      </c>
      <c r="FK748" s="1473"/>
      <c r="FL748" s="1473"/>
      <c r="FM748" s="1473"/>
      <c r="FN748" s="1434"/>
      <c r="FO748" s="1433" t="str">
        <f t="shared" si="32"/>
        <v/>
      </c>
      <c r="FP748" s="1473"/>
      <c r="FQ748" s="1473"/>
      <c r="FR748" s="1473"/>
      <c r="FS748" s="1434"/>
      <c r="FT748" s="1433" t="str">
        <f t="shared" si="33"/>
        <v/>
      </c>
      <c r="FU748" s="1473"/>
      <c r="FV748" s="1473"/>
      <c r="FW748" s="1473"/>
      <c r="FX748" s="1434"/>
      <c r="FY748" s="1433" t="str">
        <f t="shared" si="34"/>
        <v/>
      </c>
      <c r="FZ748" s="1473"/>
      <c r="GA748" s="1473"/>
      <c r="GB748" s="1473"/>
      <c r="GC748" s="1434"/>
    </row>
    <row r="749" spans="1:185" s="3" customFormat="1" ht="12.95" customHeight="1">
      <c r="A749"/>
      <c r="B749" s="1342"/>
      <c r="C749" s="1343"/>
      <c r="D749" s="1343"/>
      <c r="E749" s="1343"/>
      <c r="F749" s="1344"/>
      <c r="G749" s="1339"/>
      <c r="H749" s="1340"/>
      <c r="I749" s="1340"/>
      <c r="J749" s="1341"/>
      <c r="K749" s="1355"/>
      <c r="L749" s="1356"/>
      <c r="M749" s="1356"/>
      <c r="N749" s="1357"/>
      <c r="O749" s="1358"/>
      <c r="P749" s="1359"/>
      <c r="Q749" s="1359"/>
      <c r="R749" s="1359"/>
      <c r="S749" s="1360"/>
      <c r="T749" s="1358"/>
      <c r="U749" s="1359"/>
      <c r="V749" s="1359"/>
      <c r="W749" s="1360"/>
      <c r="X749" s="1352">
        <f t="shared" si="38"/>
        <v>0</v>
      </c>
      <c r="Y749" s="1353"/>
      <c r="Z749" s="1353"/>
      <c r="AA749" s="1353"/>
      <c r="AB749" s="1354"/>
      <c r="AC749" s="1345"/>
      <c r="AD749" s="1346"/>
      <c r="AE749" s="1346"/>
      <c r="AF749" s="1346"/>
      <c r="AG749" s="1347"/>
      <c r="AH749" s="1349" t="str">
        <f t="shared" si="35"/>
        <v/>
      </c>
      <c r="AI749" s="1350"/>
      <c r="AJ749" s="1351"/>
      <c r="AK749" s="1342" t="s">
        <v>591</v>
      </c>
      <c r="AL749" s="1343"/>
      <c r="AM749" s="1343"/>
      <c r="AN749" s="1343"/>
      <c r="AO749" s="1344"/>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33">
        <f t="shared" si="36"/>
        <v>0</v>
      </c>
      <c r="CH749" s="1434"/>
      <c r="CI749" s="1435">
        <f t="shared" si="37"/>
        <v>0</v>
      </c>
      <c r="CJ749" s="1436"/>
      <c r="CK749" s="1433">
        <f t="shared" si="15"/>
        <v>0</v>
      </c>
      <c r="CL749" s="1434"/>
      <c r="CM749" s="1435">
        <f t="shared" si="16"/>
        <v>0</v>
      </c>
      <c r="CN749" s="1436"/>
      <c r="CP749" s="1463">
        <f t="shared" si="17"/>
        <v>0</v>
      </c>
      <c r="CQ749" s="1464"/>
      <c r="CR749" s="1464"/>
      <c r="CS749" s="1464"/>
      <c r="CT749" s="1465"/>
      <c r="CU749" s="1467">
        <f t="shared" si="18"/>
        <v>0</v>
      </c>
      <c r="CV749" s="1467"/>
      <c r="CW749" s="1467"/>
      <c r="CX749" s="1467"/>
      <c r="CY749" s="1467"/>
      <c r="CZ749" s="1467">
        <f t="shared" si="19"/>
        <v>0</v>
      </c>
      <c r="DA749" s="1467"/>
      <c r="DB749" s="1467"/>
      <c r="DC749" s="1467"/>
      <c r="DD749" s="1467"/>
      <c r="DE749" s="1467">
        <f t="shared" si="20"/>
        <v>0</v>
      </c>
      <c r="DF749" s="1467"/>
      <c r="DG749" s="1467"/>
      <c r="DH749" s="1467"/>
      <c r="DI749" s="1467"/>
      <c r="DJ749" s="1467">
        <f t="shared" si="21"/>
        <v>0</v>
      </c>
      <c r="DK749" s="1467"/>
      <c r="DL749" s="1467"/>
      <c r="DM749" s="1467"/>
      <c r="DN749" s="1467"/>
      <c r="DO749" s="1467">
        <f t="shared" si="22"/>
        <v>0</v>
      </c>
      <c r="DP749" s="1467"/>
      <c r="DQ749" s="1467"/>
      <c r="DR749" s="1467"/>
      <c r="DS749" s="1467"/>
      <c r="DT749" s="6"/>
      <c r="DU749" s="1466">
        <f t="shared" si="23"/>
        <v>0</v>
      </c>
      <c r="DV749" s="1466"/>
      <c r="DW749" s="1466"/>
      <c r="DX749" s="1466"/>
      <c r="DY749" s="1466"/>
      <c r="DZ749" s="1466">
        <f t="shared" si="24"/>
        <v>0</v>
      </c>
      <c r="EA749" s="1466"/>
      <c r="EB749" s="1466"/>
      <c r="EC749" s="1466"/>
      <c r="ED749" s="1466"/>
      <c r="EE749" s="1466">
        <f t="shared" si="25"/>
        <v>0</v>
      </c>
      <c r="EF749" s="1466"/>
      <c r="EG749" s="1466"/>
      <c r="EH749" s="1466"/>
      <c r="EI749" s="1466"/>
      <c r="EJ749" s="1466">
        <f t="shared" si="26"/>
        <v>0</v>
      </c>
      <c r="EK749" s="1466"/>
      <c r="EL749" s="1466"/>
      <c r="EM749" s="1466"/>
      <c r="EN749" s="1466"/>
      <c r="EO749" s="1466">
        <f t="shared" si="27"/>
        <v>0</v>
      </c>
      <c r="EP749" s="1466"/>
      <c r="EQ749" s="1466"/>
      <c r="ER749" s="1466"/>
      <c r="ES749" s="1466"/>
      <c r="ET749" s="1466">
        <f t="shared" si="28"/>
        <v>0</v>
      </c>
      <c r="EU749" s="1466"/>
      <c r="EV749" s="1466"/>
      <c r="EW749" s="1466"/>
      <c r="EX749" s="1466"/>
      <c r="EY749"/>
      <c r="EZ749" s="1433" t="str">
        <f t="shared" si="29"/>
        <v/>
      </c>
      <c r="FA749" s="1473"/>
      <c r="FB749" s="1473"/>
      <c r="FC749" s="1473"/>
      <c r="FD749" s="1434"/>
      <c r="FE749" s="1433" t="str">
        <f t="shared" si="30"/>
        <v/>
      </c>
      <c r="FF749" s="1473"/>
      <c r="FG749" s="1473"/>
      <c r="FH749" s="1473"/>
      <c r="FI749" s="1434"/>
      <c r="FJ749" s="1433" t="str">
        <f t="shared" si="31"/>
        <v/>
      </c>
      <c r="FK749" s="1473"/>
      <c r="FL749" s="1473"/>
      <c r="FM749" s="1473"/>
      <c r="FN749" s="1434"/>
      <c r="FO749" s="1433" t="str">
        <f t="shared" si="32"/>
        <v/>
      </c>
      <c r="FP749" s="1473"/>
      <c r="FQ749" s="1473"/>
      <c r="FR749" s="1473"/>
      <c r="FS749" s="1434"/>
      <c r="FT749" s="1433" t="str">
        <f t="shared" si="33"/>
        <v/>
      </c>
      <c r="FU749" s="1473"/>
      <c r="FV749" s="1473"/>
      <c r="FW749" s="1473"/>
      <c r="FX749" s="1434"/>
      <c r="FY749" s="1433" t="str">
        <f t="shared" si="34"/>
        <v/>
      </c>
      <c r="FZ749" s="1473"/>
      <c r="GA749" s="1473"/>
      <c r="GB749" s="1473"/>
      <c r="GC749" s="1434"/>
    </row>
    <row r="750" spans="1:185" s="3" customFormat="1" ht="12.95" customHeight="1">
      <c r="A750"/>
      <c r="B750" s="1342"/>
      <c r="C750" s="1343"/>
      <c r="D750" s="1343"/>
      <c r="E750" s="1343"/>
      <c r="F750" s="1344"/>
      <c r="G750" s="1339"/>
      <c r="H750" s="1340"/>
      <c r="I750" s="1340"/>
      <c r="J750" s="1341"/>
      <c r="K750" s="1355"/>
      <c r="L750" s="1356"/>
      <c r="M750" s="1356"/>
      <c r="N750" s="1357"/>
      <c r="O750" s="1358"/>
      <c r="P750" s="1359"/>
      <c r="Q750" s="1359"/>
      <c r="R750" s="1359"/>
      <c r="S750" s="1360"/>
      <c r="T750" s="1358"/>
      <c r="U750" s="1359"/>
      <c r="V750" s="1359"/>
      <c r="W750" s="1360"/>
      <c r="X750" s="1352">
        <f t="shared" si="38"/>
        <v>0</v>
      </c>
      <c r="Y750" s="1353"/>
      <c r="Z750" s="1353"/>
      <c r="AA750" s="1353"/>
      <c r="AB750" s="1354"/>
      <c r="AC750" s="1345"/>
      <c r="AD750" s="1346"/>
      <c r="AE750" s="1346"/>
      <c r="AF750" s="1346"/>
      <c r="AG750" s="1347"/>
      <c r="AH750" s="1349" t="str">
        <f t="shared" si="35"/>
        <v/>
      </c>
      <c r="AI750" s="1350"/>
      <c r="AJ750" s="1351"/>
      <c r="AK750" s="1342" t="s">
        <v>591</v>
      </c>
      <c r="AL750" s="1343"/>
      <c r="AM750" s="1343"/>
      <c r="AN750" s="1343"/>
      <c r="AO750" s="1344"/>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33">
        <f t="shared" si="36"/>
        <v>0</v>
      </c>
      <c r="CH750" s="1434"/>
      <c r="CI750" s="1435">
        <f t="shared" si="37"/>
        <v>0</v>
      </c>
      <c r="CJ750" s="1436"/>
      <c r="CK750" s="1433">
        <f t="shared" si="15"/>
        <v>0</v>
      </c>
      <c r="CL750" s="1434"/>
      <c r="CM750" s="1435">
        <f t="shared" si="16"/>
        <v>0</v>
      </c>
      <c r="CN750" s="1436"/>
      <c r="CP750" s="1463">
        <f t="shared" si="17"/>
        <v>0</v>
      </c>
      <c r="CQ750" s="1464"/>
      <c r="CR750" s="1464"/>
      <c r="CS750" s="1464"/>
      <c r="CT750" s="1465"/>
      <c r="CU750" s="1467">
        <f t="shared" si="18"/>
        <v>0</v>
      </c>
      <c r="CV750" s="1467"/>
      <c r="CW750" s="1467"/>
      <c r="CX750" s="1467"/>
      <c r="CY750" s="1467"/>
      <c r="CZ750" s="1467">
        <f t="shared" si="19"/>
        <v>0</v>
      </c>
      <c r="DA750" s="1467"/>
      <c r="DB750" s="1467"/>
      <c r="DC750" s="1467"/>
      <c r="DD750" s="1467"/>
      <c r="DE750" s="1467">
        <f t="shared" si="20"/>
        <v>0</v>
      </c>
      <c r="DF750" s="1467"/>
      <c r="DG750" s="1467"/>
      <c r="DH750" s="1467"/>
      <c r="DI750" s="1467"/>
      <c r="DJ750" s="1467">
        <f t="shared" si="21"/>
        <v>0</v>
      </c>
      <c r="DK750" s="1467"/>
      <c r="DL750" s="1467"/>
      <c r="DM750" s="1467"/>
      <c r="DN750" s="1467"/>
      <c r="DO750" s="1467">
        <f t="shared" si="22"/>
        <v>0</v>
      </c>
      <c r="DP750" s="1467"/>
      <c r="DQ750" s="1467"/>
      <c r="DR750" s="1467"/>
      <c r="DS750" s="1467"/>
      <c r="DT750" s="6"/>
      <c r="DU750" s="1466">
        <f t="shared" si="23"/>
        <v>0</v>
      </c>
      <c r="DV750" s="1466"/>
      <c r="DW750" s="1466"/>
      <c r="DX750" s="1466"/>
      <c r="DY750" s="1466"/>
      <c r="DZ750" s="1466">
        <f t="shared" si="24"/>
        <v>0</v>
      </c>
      <c r="EA750" s="1466"/>
      <c r="EB750" s="1466"/>
      <c r="EC750" s="1466"/>
      <c r="ED750" s="1466"/>
      <c r="EE750" s="1466">
        <f t="shared" si="25"/>
        <v>0</v>
      </c>
      <c r="EF750" s="1466"/>
      <c r="EG750" s="1466"/>
      <c r="EH750" s="1466"/>
      <c r="EI750" s="1466"/>
      <c r="EJ750" s="1466">
        <f t="shared" si="26"/>
        <v>0</v>
      </c>
      <c r="EK750" s="1466"/>
      <c r="EL750" s="1466"/>
      <c r="EM750" s="1466"/>
      <c r="EN750" s="1466"/>
      <c r="EO750" s="1466">
        <f t="shared" si="27"/>
        <v>0</v>
      </c>
      <c r="EP750" s="1466"/>
      <c r="EQ750" s="1466"/>
      <c r="ER750" s="1466"/>
      <c r="ES750" s="1466"/>
      <c r="ET750" s="1466">
        <f t="shared" si="28"/>
        <v>0</v>
      </c>
      <c r="EU750" s="1466"/>
      <c r="EV750" s="1466"/>
      <c r="EW750" s="1466"/>
      <c r="EX750" s="1466"/>
      <c r="EY750"/>
      <c r="EZ750" s="1433" t="str">
        <f t="shared" si="29"/>
        <v/>
      </c>
      <c r="FA750" s="1473"/>
      <c r="FB750" s="1473"/>
      <c r="FC750" s="1473"/>
      <c r="FD750" s="1434"/>
      <c r="FE750" s="1433" t="str">
        <f t="shared" si="30"/>
        <v/>
      </c>
      <c r="FF750" s="1473"/>
      <c r="FG750" s="1473"/>
      <c r="FH750" s="1473"/>
      <c r="FI750" s="1434"/>
      <c r="FJ750" s="1433" t="str">
        <f t="shared" si="31"/>
        <v/>
      </c>
      <c r="FK750" s="1473"/>
      <c r="FL750" s="1473"/>
      <c r="FM750" s="1473"/>
      <c r="FN750" s="1434"/>
      <c r="FO750" s="1433" t="str">
        <f t="shared" si="32"/>
        <v/>
      </c>
      <c r="FP750" s="1473"/>
      <c r="FQ750" s="1473"/>
      <c r="FR750" s="1473"/>
      <c r="FS750" s="1434"/>
      <c r="FT750" s="1433" t="str">
        <f t="shared" si="33"/>
        <v/>
      </c>
      <c r="FU750" s="1473"/>
      <c r="FV750" s="1473"/>
      <c r="FW750" s="1473"/>
      <c r="FX750" s="1434"/>
      <c r="FY750" s="1433" t="str">
        <f t="shared" si="34"/>
        <v/>
      </c>
      <c r="FZ750" s="1473"/>
      <c r="GA750" s="1473"/>
      <c r="GB750" s="1473"/>
      <c r="GC750" s="1434"/>
    </row>
    <row r="751" spans="1:185" s="3" customFormat="1" ht="12.95" customHeight="1">
      <c r="A751"/>
      <c r="B751" s="1342"/>
      <c r="C751" s="1343"/>
      <c r="D751" s="1343"/>
      <c r="E751" s="1343"/>
      <c r="F751" s="1344"/>
      <c r="G751" s="1339"/>
      <c r="H751" s="1340"/>
      <c r="I751" s="1340"/>
      <c r="J751" s="1341"/>
      <c r="K751" s="1355"/>
      <c r="L751" s="1356"/>
      <c r="M751" s="1356"/>
      <c r="N751" s="1357"/>
      <c r="O751" s="1358"/>
      <c r="P751" s="1359"/>
      <c r="Q751" s="1359"/>
      <c r="R751" s="1359"/>
      <c r="S751" s="1360"/>
      <c r="T751" s="1358"/>
      <c r="U751" s="1359"/>
      <c r="V751" s="1359"/>
      <c r="W751" s="1360"/>
      <c r="X751" s="1352">
        <f t="shared" si="38"/>
        <v>0</v>
      </c>
      <c r="Y751" s="1353"/>
      <c r="Z751" s="1353"/>
      <c r="AA751" s="1353"/>
      <c r="AB751" s="1354"/>
      <c r="AC751" s="1345"/>
      <c r="AD751" s="1346"/>
      <c r="AE751" s="1346"/>
      <c r="AF751" s="1346"/>
      <c r="AG751" s="1347"/>
      <c r="AH751" s="1349" t="str">
        <f t="shared" si="35"/>
        <v/>
      </c>
      <c r="AI751" s="1350"/>
      <c r="AJ751" s="1351"/>
      <c r="AK751" s="1342" t="s">
        <v>591</v>
      </c>
      <c r="AL751" s="1343"/>
      <c r="AM751" s="1343"/>
      <c r="AN751" s="1343"/>
      <c r="AO751" s="1344"/>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33">
        <f t="shared" si="36"/>
        <v>0</v>
      </c>
      <c r="CH751" s="1434"/>
      <c r="CI751" s="1435">
        <f t="shared" si="37"/>
        <v>0</v>
      </c>
      <c r="CJ751" s="1436"/>
      <c r="CK751" s="1433">
        <f t="shared" si="15"/>
        <v>0</v>
      </c>
      <c r="CL751" s="1434"/>
      <c r="CM751" s="1435">
        <f t="shared" si="16"/>
        <v>0</v>
      </c>
      <c r="CN751" s="1436"/>
      <c r="CP751" s="1463">
        <f t="shared" si="17"/>
        <v>0</v>
      </c>
      <c r="CQ751" s="1464"/>
      <c r="CR751" s="1464"/>
      <c r="CS751" s="1464"/>
      <c r="CT751" s="1465"/>
      <c r="CU751" s="1467">
        <f t="shared" si="18"/>
        <v>0</v>
      </c>
      <c r="CV751" s="1467"/>
      <c r="CW751" s="1467"/>
      <c r="CX751" s="1467"/>
      <c r="CY751" s="1467"/>
      <c r="CZ751" s="1467">
        <f t="shared" si="19"/>
        <v>0</v>
      </c>
      <c r="DA751" s="1467"/>
      <c r="DB751" s="1467"/>
      <c r="DC751" s="1467"/>
      <c r="DD751" s="1467"/>
      <c r="DE751" s="1467">
        <f t="shared" si="20"/>
        <v>0</v>
      </c>
      <c r="DF751" s="1467"/>
      <c r="DG751" s="1467"/>
      <c r="DH751" s="1467"/>
      <c r="DI751" s="1467"/>
      <c r="DJ751" s="1467">
        <f t="shared" si="21"/>
        <v>0</v>
      </c>
      <c r="DK751" s="1467"/>
      <c r="DL751" s="1467"/>
      <c r="DM751" s="1467"/>
      <c r="DN751" s="1467"/>
      <c r="DO751" s="1467">
        <f t="shared" si="22"/>
        <v>0</v>
      </c>
      <c r="DP751" s="1467"/>
      <c r="DQ751" s="1467"/>
      <c r="DR751" s="1467"/>
      <c r="DS751" s="1467"/>
      <c r="DT751" s="6"/>
      <c r="DU751" s="1466">
        <f t="shared" si="23"/>
        <v>0</v>
      </c>
      <c r="DV751" s="1466"/>
      <c r="DW751" s="1466"/>
      <c r="DX751" s="1466"/>
      <c r="DY751" s="1466"/>
      <c r="DZ751" s="1466">
        <f t="shared" si="24"/>
        <v>0</v>
      </c>
      <c r="EA751" s="1466"/>
      <c r="EB751" s="1466"/>
      <c r="EC751" s="1466"/>
      <c r="ED751" s="1466"/>
      <c r="EE751" s="1466">
        <f t="shared" si="25"/>
        <v>0</v>
      </c>
      <c r="EF751" s="1466"/>
      <c r="EG751" s="1466"/>
      <c r="EH751" s="1466"/>
      <c r="EI751" s="1466"/>
      <c r="EJ751" s="1466">
        <f t="shared" si="26"/>
        <v>0</v>
      </c>
      <c r="EK751" s="1466"/>
      <c r="EL751" s="1466"/>
      <c r="EM751" s="1466"/>
      <c r="EN751" s="1466"/>
      <c r="EO751" s="1466">
        <f t="shared" si="27"/>
        <v>0</v>
      </c>
      <c r="EP751" s="1466"/>
      <c r="EQ751" s="1466"/>
      <c r="ER751" s="1466"/>
      <c r="ES751" s="1466"/>
      <c r="ET751" s="1466">
        <f t="shared" si="28"/>
        <v>0</v>
      </c>
      <c r="EU751" s="1466"/>
      <c r="EV751" s="1466"/>
      <c r="EW751" s="1466"/>
      <c r="EX751" s="1466"/>
      <c r="EY751"/>
      <c r="EZ751" s="1433" t="str">
        <f t="shared" si="29"/>
        <v/>
      </c>
      <c r="FA751" s="1473"/>
      <c r="FB751" s="1473"/>
      <c r="FC751" s="1473"/>
      <c r="FD751" s="1434"/>
      <c r="FE751" s="1433" t="str">
        <f t="shared" si="30"/>
        <v/>
      </c>
      <c r="FF751" s="1473"/>
      <c r="FG751" s="1473"/>
      <c r="FH751" s="1473"/>
      <c r="FI751" s="1434"/>
      <c r="FJ751" s="1433" t="str">
        <f t="shared" si="31"/>
        <v/>
      </c>
      <c r="FK751" s="1473"/>
      <c r="FL751" s="1473"/>
      <c r="FM751" s="1473"/>
      <c r="FN751" s="1434"/>
      <c r="FO751" s="1433" t="str">
        <f t="shared" si="32"/>
        <v/>
      </c>
      <c r="FP751" s="1473"/>
      <c r="FQ751" s="1473"/>
      <c r="FR751" s="1473"/>
      <c r="FS751" s="1434"/>
      <c r="FT751" s="1433" t="str">
        <f t="shared" si="33"/>
        <v/>
      </c>
      <c r="FU751" s="1473"/>
      <c r="FV751" s="1473"/>
      <c r="FW751" s="1473"/>
      <c r="FX751" s="1434"/>
      <c r="FY751" s="1433" t="str">
        <f t="shared" si="34"/>
        <v/>
      </c>
      <c r="FZ751" s="1473"/>
      <c r="GA751" s="1473"/>
      <c r="GB751" s="1473"/>
      <c r="GC751" s="1434"/>
    </row>
    <row r="752" spans="1:185" s="3" customFormat="1" ht="12.95" customHeight="1">
      <c r="A752"/>
      <c r="B752" s="1342"/>
      <c r="C752" s="1343"/>
      <c r="D752" s="1343"/>
      <c r="E752" s="1343"/>
      <c r="F752" s="1344"/>
      <c r="G752" s="1339"/>
      <c r="H752" s="1340"/>
      <c r="I752" s="1340"/>
      <c r="J752" s="1341"/>
      <c r="K752" s="1355"/>
      <c r="L752" s="1356"/>
      <c r="M752" s="1356"/>
      <c r="N752" s="1357"/>
      <c r="O752" s="1358"/>
      <c r="P752" s="1359"/>
      <c r="Q752" s="1359"/>
      <c r="R752" s="1359"/>
      <c r="S752" s="1360"/>
      <c r="T752" s="1358"/>
      <c r="U752" s="1359"/>
      <c r="V752" s="1359"/>
      <c r="W752" s="1360"/>
      <c r="X752" s="1352">
        <f>O752+T752</f>
        <v>0</v>
      </c>
      <c r="Y752" s="1353"/>
      <c r="Z752" s="1353"/>
      <c r="AA752" s="1353"/>
      <c r="AB752" s="1354"/>
      <c r="AC752" s="1345"/>
      <c r="AD752" s="1346"/>
      <c r="AE752" s="1346"/>
      <c r="AF752" s="1346"/>
      <c r="AG752" s="1347"/>
      <c r="AH752" s="1349" t="str">
        <f t="shared" si="35"/>
        <v/>
      </c>
      <c r="AI752" s="1350"/>
      <c r="AJ752" s="1351"/>
      <c r="AK752" s="1342" t="s">
        <v>591</v>
      </c>
      <c r="AL752" s="1343"/>
      <c r="AM752" s="1343"/>
      <c r="AN752" s="1343"/>
      <c r="AO752" s="1344"/>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33">
        <f t="shared" si="36"/>
        <v>0</v>
      </c>
      <c r="CH752" s="1434"/>
      <c r="CI752" s="1435">
        <f t="shared" si="37"/>
        <v>0</v>
      </c>
      <c r="CJ752" s="1436"/>
      <c r="CK752" s="1433">
        <f t="shared" si="15"/>
        <v>0</v>
      </c>
      <c r="CL752" s="1434"/>
      <c r="CM752" s="1435">
        <f t="shared" si="16"/>
        <v>0</v>
      </c>
      <c r="CN752" s="1436"/>
      <c r="CP752" s="1463">
        <f t="shared" si="17"/>
        <v>0</v>
      </c>
      <c r="CQ752" s="1464"/>
      <c r="CR752" s="1464"/>
      <c r="CS752" s="1464"/>
      <c r="CT752" s="1465"/>
      <c r="CU752" s="1467">
        <f t="shared" si="18"/>
        <v>0</v>
      </c>
      <c r="CV752" s="1467"/>
      <c r="CW752" s="1467"/>
      <c r="CX752" s="1467"/>
      <c r="CY752" s="1467"/>
      <c r="CZ752" s="1467">
        <f t="shared" si="19"/>
        <v>0</v>
      </c>
      <c r="DA752" s="1467"/>
      <c r="DB752" s="1467"/>
      <c r="DC752" s="1467"/>
      <c r="DD752" s="1467"/>
      <c r="DE752" s="1467">
        <f t="shared" si="20"/>
        <v>0</v>
      </c>
      <c r="DF752" s="1467"/>
      <c r="DG752" s="1467"/>
      <c r="DH752" s="1467"/>
      <c r="DI752" s="1467"/>
      <c r="DJ752" s="1467">
        <f t="shared" si="21"/>
        <v>0</v>
      </c>
      <c r="DK752" s="1467"/>
      <c r="DL752" s="1467"/>
      <c r="DM752" s="1467"/>
      <c r="DN752" s="1467"/>
      <c r="DO752" s="1467">
        <f t="shared" si="22"/>
        <v>0</v>
      </c>
      <c r="DP752" s="1467"/>
      <c r="DQ752" s="1467"/>
      <c r="DR752" s="1467"/>
      <c r="DS752" s="1467"/>
      <c r="DT752" s="6"/>
      <c r="DU752" s="1466">
        <f t="shared" si="23"/>
        <v>0</v>
      </c>
      <c r="DV752" s="1466"/>
      <c r="DW752" s="1466"/>
      <c r="DX752" s="1466"/>
      <c r="DY752" s="1466"/>
      <c r="DZ752" s="1466">
        <f t="shared" si="24"/>
        <v>0</v>
      </c>
      <c r="EA752" s="1466"/>
      <c r="EB752" s="1466"/>
      <c r="EC752" s="1466"/>
      <c r="ED752" s="1466"/>
      <c r="EE752" s="1466">
        <f t="shared" si="25"/>
        <v>0</v>
      </c>
      <c r="EF752" s="1466"/>
      <c r="EG752" s="1466"/>
      <c r="EH752" s="1466"/>
      <c r="EI752" s="1466"/>
      <c r="EJ752" s="1466">
        <f t="shared" si="26"/>
        <v>0</v>
      </c>
      <c r="EK752" s="1466"/>
      <c r="EL752" s="1466"/>
      <c r="EM752" s="1466"/>
      <c r="EN752" s="1466"/>
      <c r="EO752" s="1466">
        <f t="shared" si="27"/>
        <v>0</v>
      </c>
      <c r="EP752" s="1466"/>
      <c r="EQ752" s="1466"/>
      <c r="ER752" s="1466"/>
      <c r="ES752" s="1466"/>
      <c r="ET752" s="1466">
        <f t="shared" si="28"/>
        <v>0</v>
      </c>
      <c r="EU752" s="1466"/>
      <c r="EV752" s="1466"/>
      <c r="EW752" s="1466"/>
      <c r="EX752" s="1466"/>
      <c r="EY752"/>
      <c r="EZ752" s="1433" t="str">
        <f t="shared" si="29"/>
        <v/>
      </c>
      <c r="FA752" s="1473"/>
      <c r="FB752" s="1473"/>
      <c r="FC752" s="1473"/>
      <c r="FD752" s="1434"/>
      <c r="FE752" s="1433" t="str">
        <f t="shared" si="30"/>
        <v/>
      </c>
      <c r="FF752" s="1473"/>
      <c r="FG752" s="1473"/>
      <c r="FH752" s="1473"/>
      <c r="FI752" s="1434"/>
      <c r="FJ752" s="1433" t="str">
        <f t="shared" si="31"/>
        <v/>
      </c>
      <c r="FK752" s="1473"/>
      <c r="FL752" s="1473"/>
      <c r="FM752" s="1473"/>
      <c r="FN752" s="1434"/>
      <c r="FO752" s="1433" t="str">
        <f t="shared" si="32"/>
        <v/>
      </c>
      <c r="FP752" s="1473"/>
      <c r="FQ752" s="1473"/>
      <c r="FR752" s="1473"/>
      <c r="FS752" s="1434"/>
      <c r="FT752" s="1433" t="str">
        <f t="shared" si="33"/>
        <v/>
      </c>
      <c r="FU752" s="1473"/>
      <c r="FV752" s="1473"/>
      <c r="FW752" s="1473"/>
      <c r="FX752" s="1434"/>
      <c r="FY752" s="1433" t="str">
        <f t="shared" si="34"/>
        <v/>
      </c>
      <c r="FZ752" s="1473"/>
      <c r="GA752" s="1473"/>
      <c r="GB752" s="1473"/>
      <c r="GC752" s="1434"/>
    </row>
    <row r="753" spans="1:185" s="3" customFormat="1" ht="12.95" customHeight="1">
      <c r="A753"/>
      <c r="B753" s="1652" t="s">
        <v>125</v>
      </c>
      <c r="C753" s="1653"/>
      <c r="D753" s="1653"/>
      <c r="E753" s="1653"/>
      <c r="F753" s="1654"/>
      <c r="G753" s="1613">
        <f>SUM(G718:G752)</f>
        <v>65</v>
      </c>
      <c r="H753" s="1614"/>
      <c r="I753" s="1614"/>
      <c r="J753" s="1615"/>
      <c r="K753" s="903" t="s">
        <v>124</v>
      </c>
      <c r="L753" s="5"/>
      <c r="M753" s="5"/>
      <c r="N753" s="46"/>
      <c r="O753" s="1352">
        <f>SUMPRODUCT(G718:G752,O718:O752)</f>
        <v>97613</v>
      </c>
      <c r="P753" s="1353"/>
      <c r="Q753" s="1353"/>
      <c r="R753" s="1353"/>
      <c r="S753" s="1354"/>
      <c r="T753"/>
      <c r="U753"/>
      <c r="V753"/>
      <c r="W753"/>
      <c r="X753" s="905" t="s">
        <v>900</v>
      </c>
      <c r="Y753" s="904"/>
      <c r="Z753" s="904"/>
      <c r="AA753" s="904"/>
      <c r="AB753" s="906"/>
      <c r="AC753" s="1591">
        <f>BH753</f>
        <v>0.40153846153846151</v>
      </c>
      <c r="AD753" s="1592"/>
      <c r="AE753" s="1592"/>
      <c r="AF753" s="1592"/>
      <c r="AG753" s="1593"/>
      <c r="AH753" s="1591">
        <f>IFERROR(BU753,"")</f>
        <v>0.40156902277364159</v>
      </c>
      <c r="AI753" s="1592"/>
      <c r="AJ753" s="1593"/>
      <c r="AK753"/>
      <c r="AL753"/>
      <c r="AM753"/>
      <c r="AN753"/>
      <c r="AO753"/>
      <c r="AP753" s="206"/>
      <c r="AQ753" s="206"/>
      <c r="AR753" s="206"/>
      <c r="AS753" s="206"/>
      <c r="AT753"/>
      <c r="AU753"/>
      <c r="AV753"/>
      <c r="AW753"/>
      <c r="AX753"/>
      <c r="AY753"/>
      <c r="AZ753" s="34"/>
      <c r="BA753" s="34"/>
      <c r="BB753" s="34"/>
      <c r="BC753" s="34"/>
      <c r="BE753" s="291" t="s">
        <v>899</v>
      </c>
      <c r="BF753" s="300">
        <f>SUM(BF718:BF752)</f>
        <v>65</v>
      </c>
      <c r="BG753" s="301">
        <f>SUM(BG718:BG752)</f>
        <v>1</v>
      </c>
      <c r="BH753" s="301">
        <f>SUM(BH718:BH752)</f>
        <v>0.40153846153846151</v>
      </c>
      <c r="BI753"/>
      <c r="BJ753"/>
      <c r="BK753"/>
      <c r="BL753"/>
      <c r="BO753"/>
      <c r="BP753"/>
      <c r="BQ753"/>
      <c r="BR753"/>
      <c r="BS753" s="860">
        <f>SUM(BS718:BS752)</f>
        <v>65</v>
      </c>
      <c r="BT753" s="301">
        <f>SUM(BT718:BT752)</f>
        <v>1</v>
      </c>
      <c r="BU753" s="301">
        <f>SUM(BU718:BU752)</f>
        <v>0.40156902277364159</v>
      </c>
      <c r="CI753" s="1433">
        <f>SUM(CI718:CJ752)</f>
        <v>33</v>
      </c>
      <c r="CJ753" s="1434"/>
      <c r="CM753" s="1433">
        <f>SUM(CM718:CN752)</f>
        <v>32</v>
      </c>
      <c r="CN753" s="1434"/>
      <c r="CP753" s="1433">
        <f>SUM(CP718:CT752)</f>
        <v>15</v>
      </c>
      <c r="CQ753" s="1473"/>
      <c r="CR753" s="1473"/>
      <c r="CS753" s="1473"/>
      <c r="CT753" s="1434"/>
      <c r="CU753" s="1471">
        <f>SUM(CU718:CY752)</f>
        <v>16</v>
      </c>
      <c r="CV753" s="1471"/>
      <c r="CW753" s="1471"/>
      <c r="CX753" s="1471"/>
      <c r="CY753" s="1471"/>
      <c r="CZ753" s="1471">
        <f>SUM(CZ718:DD752)</f>
        <v>17</v>
      </c>
      <c r="DA753" s="1471"/>
      <c r="DB753" s="1471"/>
      <c r="DC753" s="1471"/>
      <c r="DD753" s="1471"/>
      <c r="DE753" s="1471">
        <f>SUM(DE718:DI752)</f>
        <v>17</v>
      </c>
      <c r="DF753" s="1471"/>
      <c r="DG753" s="1471"/>
      <c r="DH753" s="1471"/>
      <c r="DI753" s="1471"/>
      <c r="DJ753" s="1471">
        <f>SUM(DJ718:DN752)</f>
        <v>0</v>
      </c>
      <c r="DK753" s="1471"/>
      <c r="DL753" s="1471"/>
      <c r="DM753" s="1471"/>
      <c r="DN753" s="1471"/>
      <c r="DO753" s="1471">
        <f>SUM(DO718:DS752)</f>
        <v>0</v>
      </c>
      <c r="DP753" s="1471"/>
      <c r="DQ753" s="1471"/>
      <c r="DR753" s="1471"/>
      <c r="DS753" s="1471"/>
      <c r="DT753" s="355"/>
      <c r="DU753" s="1471">
        <f>SUM(DU718:DY752)</f>
        <v>11</v>
      </c>
      <c r="DV753" s="1471"/>
      <c r="DW753" s="1471"/>
      <c r="DX753" s="1471"/>
      <c r="DY753" s="1471"/>
      <c r="DZ753" s="1471">
        <f>SUM(DZ718:ED752)</f>
        <v>1</v>
      </c>
      <c r="EA753" s="1471"/>
      <c r="EB753" s="1471"/>
      <c r="EC753" s="1471"/>
      <c r="ED753" s="1471"/>
      <c r="EE753" s="1471">
        <f>SUM(EE718:EI752)</f>
        <v>12</v>
      </c>
      <c r="EF753" s="1471"/>
      <c r="EG753" s="1471"/>
      <c r="EH753" s="1471"/>
      <c r="EI753" s="1471"/>
      <c r="EJ753" s="1471">
        <f>SUM(EJ718:EN752)</f>
        <v>8</v>
      </c>
      <c r="EK753" s="1471"/>
      <c r="EL753" s="1471"/>
      <c r="EM753" s="1471"/>
      <c r="EN753" s="1471"/>
      <c r="EO753" s="1471">
        <f>SUM(EO718:ES752)</f>
        <v>0</v>
      </c>
      <c r="EP753" s="1471"/>
      <c r="EQ753" s="1471"/>
      <c r="ER753" s="1471"/>
      <c r="ES753" s="1471"/>
      <c r="ET753" s="1471">
        <f>SUM(ET718:EX752)</f>
        <v>0</v>
      </c>
      <c r="EU753" s="1471"/>
      <c r="EV753" s="1471"/>
      <c r="EW753" s="1471"/>
      <c r="EX753" s="1471"/>
      <c r="EY753"/>
      <c r="EZ753" s="1471">
        <f>SUM(EZ718:FD752)</f>
        <v>3399</v>
      </c>
      <c r="FA753" s="1471"/>
      <c r="FB753" s="1471"/>
      <c r="FC753" s="1471"/>
      <c r="FD753" s="1471"/>
      <c r="FE753" s="1471">
        <f>SUM(FE718:FI752)</f>
        <v>4316</v>
      </c>
      <c r="FF753" s="1471"/>
      <c r="FG753" s="1471"/>
      <c r="FH753" s="1471"/>
      <c r="FI753" s="1471"/>
      <c r="FJ753" s="1471">
        <f>SUM(FJ718:FN752)</f>
        <v>4321</v>
      </c>
      <c r="FK753" s="1471"/>
      <c r="FL753" s="1471"/>
      <c r="FM753" s="1471"/>
      <c r="FN753" s="1471"/>
      <c r="FO753" s="1471">
        <f>SUM(FO718:FS752)</f>
        <v>3628</v>
      </c>
      <c r="FP753" s="1471"/>
      <c r="FQ753" s="1471"/>
      <c r="FR753" s="1471"/>
      <c r="FS753" s="1471"/>
      <c r="FT753" s="1471">
        <f>SUM(FT718:FX752)</f>
        <v>0</v>
      </c>
      <c r="FU753" s="1471"/>
      <c r="FV753" s="1471"/>
      <c r="FW753" s="1471"/>
      <c r="FX753" s="1471"/>
      <c r="FY753" s="1471">
        <f>SUM(FY718:GC752)</f>
        <v>0</v>
      </c>
      <c r="FZ753" s="1471"/>
      <c r="GA753" s="1471"/>
      <c r="GB753" s="1471"/>
      <c r="GC753" s="1471"/>
    </row>
    <row r="754" spans="1:185" s="3" customFormat="1" ht="12.95" customHeight="1">
      <c r="A754"/>
      <c r="B754" s="1599" t="s">
        <v>1894</v>
      </c>
      <c r="C754" s="1599"/>
      <c r="D754" s="1599"/>
      <c r="E754" s="1599"/>
      <c r="F754" s="1599"/>
      <c r="G754" s="1599"/>
      <c r="H754" s="1599"/>
      <c r="I754" s="1599"/>
      <c r="J754" s="1599"/>
      <c r="K754" s="1599"/>
      <c r="L754" s="1599"/>
      <c r="M754" s="1599"/>
      <c r="N754" s="1599"/>
      <c r="O754" s="1599"/>
      <c r="P754" s="1599"/>
      <c r="Q754" s="1599"/>
      <c r="R754" s="1599"/>
      <c r="S754" s="1599"/>
      <c r="T754" s="1599"/>
      <c r="U754" s="1599"/>
      <c r="V754" s="1599"/>
      <c r="W754" s="1599"/>
      <c r="X754" s="1599"/>
      <c r="Y754" s="1599"/>
      <c r="Z754" s="1599"/>
      <c r="AA754" s="1599"/>
      <c r="AB754" s="1599"/>
      <c r="AC754" s="1599"/>
      <c r="AD754" s="1599"/>
      <c r="AE754" s="1599"/>
      <c r="AF754" s="1599"/>
      <c r="AG754" s="1599"/>
      <c r="AH754" s="1599"/>
      <c r="AI754"/>
      <c r="AJ754"/>
      <c r="AK754"/>
      <c r="AT754"/>
      <c r="AU754"/>
      <c r="AV754"/>
      <c r="AW754"/>
      <c r="AX754"/>
      <c r="AY754"/>
      <c r="CD754"/>
      <c r="DN754" s="56" t="s">
        <v>1861</v>
      </c>
      <c r="DO754" s="1433">
        <f>CP753+CU753+CZ753+DE753+DJ753+DO753</f>
        <v>65</v>
      </c>
      <c r="DP754" s="1473"/>
      <c r="DQ754" s="1473"/>
      <c r="DR754" s="1473"/>
      <c r="DS754" s="143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99"/>
      <c r="C755" s="1599"/>
      <c r="D755" s="1599"/>
      <c r="E755" s="1599"/>
      <c r="F755" s="1599"/>
      <c r="G755" s="1599"/>
      <c r="H755" s="1599"/>
      <c r="I755" s="1599"/>
      <c r="J755" s="1599"/>
      <c r="K755" s="1599"/>
      <c r="L755" s="1599"/>
      <c r="M755" s="1599"/>
      <c r="N755" s="1599"/>
      <c r="O755" s="1599"/>
      <c r="P755" s="1599"/>
      <c r="Q755" s="1599"/>
      <c r="R755" s="1599"/>
      <c r="S755" s="1599"/>
      <c r="T755" s="1599"/>
      <c r="U755" s="1599"/>
      <c r="V755" s="1599"/>
      <c r="W755" s="1599"/>
      <c r="X755" s="1599"/>
      <c r="Y755" s="1599"/>
      <c r="Z755" s="1599"/>
      <c r="AA755" s="1599"/>
      <c r="AB755" s="1599"/>
      <c r="AC755" s="1599"/>
      <c r="AD755" s="1599"/>
      <c r="AE755" s="1599"/>
      <c r="AF755" s="1599"/>
      <c r="AG755" s="1599"/>
      <c r="AH755" s="159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15</v>
      </c>
      <c r="CU755" s="3"/>
      <c r="CV755" s="3"/>
      <c r="CW755" s="3"/>
      <c r="CX755" s="3"/>
      <c r="CY755" s="862">
        <f>CU753*1</f>
        <v>16</v>
      </c>
      <c r="CZ755" s="3"/>
      <c r="DA755" s="3"/>
      <c r="DB755" s="3"/>
      <c r="DC755" s="3"/>
      <c r="DD755" s="862">
        <f>CZ753*2</f>
        <v>34</v>
      </c>
      <c r="DE755" s="3"/>
      <c r="DF755" s="3"/>
      <c r="DG755" s="3"/>
      <c r="DH755" s="3"/>
      <c r="DI755" s="862">
        <f>DE753*3</f>
        <v>51</v>
      </c>
      <c r="DJ755" s="3"/>
      <c r="DK755" s="3"/>
      <c r="DL755" s="3"/>
      <c r="DM755" s="3"/>
      <c r="DN755" s="862">
        <f>DJ753*4</f>
        <v>0</v>
      </c>
      <c r="DO755" s="3"/>
      <c r="DP755" s="3"/>
      <c r="DQ755" s="3"/>
      <c r="DR755" s="3"/>
      <c r="DS755" s="862">
        <f>DO753*5</f>
        <v>0</v>
      </c>
      <c r="DU755" s="862">
        <f>CT755+CY755+DD755+DI755+DN755+DS755</f>
        <v>116</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471">
        <f>DU755</f>
        <v>116</v>
      </c>
      <c r="P756" s="1471"/>
      <c r="Q756" s="1471"/>
      <c r="R756" s="1471"/>
      <c r="S756" s="970"/>
      <c r="T756" s="970"/>
      <c r="U756" s="118" t="s">
        <v>1893</v>
      </c>
      <c r="V756" s="1033"/>
      <c r="W756" s="1033"/>
      <c r="X756" s="1033"/>
      <c r="Y756" s="1034"/>
      <c r="Z756" s="1034"/>
      <c r="AA756" s="1034"/>
      <c r="AB756" s="1034"/>
      <c r="AC756" s="1033"/>
      <c r="AD756" s="1033"/>
      <c r="AE756" s="1033"/>
      <c r="AF756" s="1033"/>
      <c r="AG756" s="1619">
        <v>57</v>
      </c>
      <c r="AH756" s="1619"/>
      <c r="AI756" s="1619"/>
      <c r="AJ756" s="1619"/>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74" t="str">
        <f>IF(G753&lt;&gt;AG440,"! Total Low-Income Units in the Unit Mix Table above does not match the number of Total Low-Income Units on row #"&amp;TEXT(ROW(D440),"#"),"")</f>
        <v/>
      </c>
      <c r="D757" s="1374"/>
      <c r="E757" s="1374"/>
      <c r="F757" s="1374"/>
      <c r="G757" s="1374"/>
      <c r="H757" s="1374"/>
      <c r="I757" s="1374"/>
      <c r="J757" s="1374"/>
      <c r="K757" s="1374"/>
      <c r="L757" s="1374"/>
      <c r="M757" s="1374"/>
      <c r="N757" s="1374"/>
      <c r="O757" s="1374"/>
      <c r="P757" s="1374"/>
      <c r="Q757" s="1374"/>
      <c r="R757" s="1374"/>
      <c r="S757" s="1374"/>
      <c r="T757" s="1374"/>
      <c r="U757" s="1374"/>
      <c r="V757" s="1374"/>
      <c r="W757" s="1374"/>
      <c r="X757" s="1374"/>
      <c r="Y757" s="1374"/>
      <c r="Z757" s="1374"/>
      <c r="AA757" s="1374"/>
      <c r="AB757" s="1374"/>
      <c r="AC757" s="1374"/>
      <c r="AD757" s="1374"/>
      <c r="AE757" s="1374"/>
      <c r="AF757" s="1374"/>
      <c r="AG757" s="1374"/>
      <c r="AH757" s="1374"/>
      <c r="AI757" s="1374"/>
      <c r="AJ757" s="1374"/>
      <c r="AK757" s="1374"/>
      <c r="AL757" s="1374"/>
      <c r="AM757" s="137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74"/>
      <c r="D758" s="1374"/>
      <c r="E758" s="1374"/>
      <c r="F758" s="1374"/>
      <c r="G758" s="1374"/>
      <c r="H758" s="1374"/>
      <c r="I758" s="1374"/>
      <c r="J758" s="1374"/>
      <c r="K758" s="1374"/>
      <c r="L758" s="1374"/>
      <c r="M758" s="1374"/>
      <c r="N758" s="1374"/>
      <c r="O758" s="1374"/>
      <c r="P758" s="1374"/>
      <c r="Q758" s="1374"/>
      <c r="R758" s="1374"/>
      <c r="S758" s="1374"/>
      <c r="T758" s="1374"/>
      <c r="U758" s="1374"/>
      <c r="V758" s="1374"/>
      <c r="W758" s="1374"/>
      <c r="X758" s="1374"/>
      <c r="Y758" s="1374"/>
      <c r="Z758" s="1374"/>
      <c r="AA758" s="1374"/>
      <c r="AB758" s="1374"/>
      <c r="AC758" s="1374"/>
      <c r="AD758" s="1374"/>
      <c r="AE758" s="1374"/>
      <c r="AF758" s="1374"/>
      <c r="AG758" s="1374"/>
      <c r="AH758" s="1374"/>
      <c r="AI758" s="1374"/>
      <c r="AJ758" s="1374"/>
      <c r="AK758" s="1374"/>
      <c r="AL758" s="1374"/>
      <c r="AM758" s="137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16" t="s">
        <v>591</v>
      </c>
      <c r="AE759" s="1616"/>
      <c r="AF759" s="1616"/>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9" t="s">
        <v>2091</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9" t="s">
        <v>2092</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04" t="s">
        <v>388</v>
      </c>
      <c r="K769" s="1605"/>
      <c r="L769" s="1605"/>
      <c r="M769" s="1605"/>
      <c r="N769" s="1606"/>
      <c r="O769" s="1598" t="s">
        <v>284</v>
      </c>
      <c r="P769" s="1598"/>
      <c r="Q769" s="1598"/>
      <c r="R769" s="1598"/>
      <c r="S769" s="1598"/>
      <c r="T769" s="1709" t="s">
        <v>1679</v>
      </c>
      <c r="U769" s="1710"/>
      <c r="V769" s="1710"/>
      <c r="W769" s="1711"/>
      <c r="X769" s="1604" t="s">
        <v>447</v>
      </c>
      <c r="Y769" s="1605"/>
      <c r="Z769" s="1605"/>
      <c r="AA769" s="1605"/>
      <c r="AB769" s="1606"/>
      <c r="AC769" s="1604" t="s">
        <v>285</v>
      </c>
      <c r="AD769" s="1605"/>
      <c r="AE769" s="1605"/>
      <c r="AF769" s="1605"/>
      <c r="AG769" s="160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607"/>
      <c r="K770" s="1608"/>
      <c r="L770" s="1608"/>
      <c r="M770" s="1608"/>
      <c r="N770" s="1609"/>
      <c r="O770" s="1598"/>
      <c r="P770" s="1598"/>
      <c r="Q770" s="1598"/>
      <c r="R770" s="1598"/>
      <c r="S770" s="1598"/>
      <c r="T770" s="1712"/>
      <c r="U770" s="1713"/>
      <c r="V770" s="1713"/>
      <c r="W770" s="1714"/>
      <c r="X770" s="1607"/>
      <c r="Y770" s="1608"/>
      <c r="Z770" s="1608"/>
      <c r="AA770" s="1608"/>
      <c r="AB770" s="1609"/>
      <c r="AC770" s="1607"/>
      <c r="AD770" s="1608"/>
      <c r="AE770" s="1608"/>
      <c r="AF770" s="1608"/>
      <c r="AG770" s="160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607"/>
      <c r="K771" s="1608"/>
      <c r="L771" s="1608"/>
      <c r="M771" s="1608"/>
      <c r="N771" s="1609"/>
      <c r="O771" s="1598"/>
      <c r="P771" s="1598"/>
      <c r="Q771" s="1598"/>
      <c r="R771" s="1598"/>
      <c r="S771" s="1598"/>
      <c r="T771" s="1712"/>
      <c r="U771" s="1713"/>
      <c r="V771" s="1713"/>
      <c r="W771" s="1714"/>
      <c r="X771" s="1607"/>
      <c r="Y771" s="1608"/>
      <c r="Z771" s="1608"/>
      <c r="AA771" s="1608"/>
      <c r="AB771" s="1609"/>
      <c r="AC771" s="1607"/>
      <c r="AD771" s="1608"/>
      <c r="AE771" s="1608"/>
      <c r="AF771" s="1608"/>
      <c r="AG771" s="160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610"/>
      <c r="K772" s="1611"/>
      <c r="L772" s="1611"/>
      <c r="M772" s="1611"/>
      <c r="N772" s="1612"/>
      <c r="O772" s="1598"/>
      <c r="P772" s="1598"/>
      <c r="Q772" s="1598"/>
      <c r="R772" s="1598"/>
      <c r="S772" s="1598"/>
      <c r="T772" s="1730"/>
      <c r="U772" s="1731"/>
      <c r="V772" s="1731"/>
      <c r="W772" s="1732"/>
      <c r="X772" s="1610"/>
      <c r="Y772" s="1611"/>
      <c r="Z772" s="1611"/>
      <c r="AA772" s="1611"/>
      <c r="AB772" s="1612"/>
      <c r="AC772" s="1610"/>
      <c r="AD772" s="1611"/>
      <c r="AE772" s="1611"/>
      <c r="AF772" s="1611"/>
      <c r="AG772" s="161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2" t="s">
        <v>164</v>
      </c>
      <c r="K773" s="1343"/>
      <c r="L773" s="1343"/>
      <c r="M773" s="1343"/>
      <c r="N773" s="1344"/>
      <c r="O773" s="1597">
        <v>1</v>
      </c>
      <c r="P773" s="1597"/>
      <c r="Q773" s="1597"/>
      <c r="R773" s="1597"/>
      <c r="S773" s="1597"/>
      <c r="T773" s="1355">
        <v>1084</v>
      </c>
      <c r="U773" s="1356"/>
      <c r="V773" s="1356"/>
      <c r="W773" s="1357"/>
      <c r="X773" s="1358">
        <v>0</v>
      </c>
      <c r="Y773" s="1359"/>
      <c r="Z773" s="1359"/>
      <c r="AA773" s="1359"/>
      <c r="AB773" s="1360"/>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3">
        <f>IF(J773="SRO/Studio",O773,0)</f>
        <v>0</v>
      </c>
      <c r="CQ773" s="1464"/>
      <c r="CR773" s="1464"/>
      <c r="CS773" s="1464"/>
      <c r="CT773" s="1465"/>
      <c r="CU773" s="1467">
        <f>IF(J773="1 Bedroom",O773,0)</f>
        <v>0</v>
      </c>
      <c r="CV773" s="1467"/>
      <c r="CW773" s="1467"/>
      <c r="CX773" s="1467"/>
      <c r="CY773" s="1467"/>
      <c r="CZ773" s="1467">
        <f>IF(J773="2 Bedrooms",O773,0)</f>
        <v>0</v>
      </c>
      <c r="DA773" s="1467"/>
      <c r="DB773" s="1467"/>
      <c r="DC773" s="1467"/>
      <c r="DD773" s="1467"/>
      <c r="DE773" s="1467">
        <f>IF(J773="3 Bedrooms",O773,0)</f>
        <v>1</v>
      </c>
      <c r="DF773" s="1467"/>
      <c r="DG773" s="1467"/>
      <c r="DH773" s="1467"/>
      <c r="DI773" s="1467"/>
      <c r="DJ773" s="1467">
        <f>IF(J773="4 Bedrooms",O773,0)</f>
        <v>0</v>
      </c>
      <c r="DK773" s="1467"/>
      <c r="DL773" s="1467"/>
      <c r="DM773" s="1467"/>
      <c r="DN773" s="1467"/>
      <c r="DO773" s="1467">
        <f>IF(J773="5 Bedrooms",O773,0)</f>
        <v>0</v>
      </c>
      <c r="DP773" s="1467"/>
      <c r="DQ773" s="1467"/>
      <c r="DR773" s="1467"/>
      <c r="DS773" s="1467"/>
      <c r="DT773" s="6"/>
      <c r="DU773" s="3"/>
      <c r="DV773" s="3"/>
    </row>
    <row r="774" spans="1:126" ht="12.95" customHeight="1">
      <c r="J774" s="1342"/>
      <c r="K774" s="1343"/>
      <c r="L774" s="1343"/>
      <c r="M774" s="1343"/>
      <c r="N774" s="1344"/>
      <c r="O774" s="1597"/>
      <c r="P774" s="1597"/>
      <c r="Q774" s="1597"/>
      <c r="R774" s="1597"/>
      <c r="S774" s="1597"/>
      <c r="T774" s="1355"/>
      <c r="U774" s="1356"/>
      <c r="V774" s="1356"/>
      <c r="W774" s="1357"/>
      <c r="X774" s="1358"/>
      <c r="Y774" s="1359"/>
      <c r="Z774" s="1359"/>
      <c r="AA774" s="1359"/>
      <c r="AB774" s="1360"/>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3">
        <f>IF(J774="SRO/Studio",O774,0)</f>
        <v>0</v>
      </c>
      <c r="CQ774" s="1464"/>
      <c r="CR774" s="1464"/>
      <c r="CS774" s="1464"/>
      <c r="CT774" s="1465"/>
      <c r="CU774" s="1467">
        <f>IF(J774="1 Bedroom",O774,0)</f>
        <v>0</v>
      </c>
      <c r="CV774" s="1467"/>
      <c r="CW774" s="1467"/>
      <c r="CX774" s="1467"/>
      <c r="CY774" s="1467"/>
      <c r="CZ774" s="1467">
        <f>IF(J774="2 Bedrooms",O774,0)</f>
        <v>0</v>
      </c>
      <c r="DA774" s="1467"/>
      <c r="DB774" s="1467"/>
      <c r="DC774" s="1467"/>
      <c r="DD774" s="1467"/>
      <c r="DE774" s="1467">
        <f>IF(J774="3 Bedrooms",O774,0)</f>
        <v>0</v>
      </c>
      <c r="DF774" s="1467"/>
      <c r="DG774" s="1467"/>
      <c r="DH774" s="1467"/>
      <c r="DI774" s="1467"/>
      <c r="DJ774" s="1467">
        <f>IF(J774="4 Bedrooms",O774,0)</f>
        <v>0</v>
      </c>
      <c r="DK774" s="1467"/>
      <c r="DL774" s="1467"/>
      <c r="DM774" s="1467"/>
      <c r="DN774" s="1467"/>
      <c r="DO774" s="1467">
        <f>IF(J774="5 Bedrooms",O774,0)</f>
        <v>0</v>
      </c>
      <c r="DP774" s="1467"/>
      <c r="DQ774" s="1467"/>
      <c r="DR774" s="1467"/>
      <c r="DS774" s="1467"/>
      <c r="DT774" s="6"/>
      <c r="DU774" s="3"/>
      <c r="DV774" s="3"/>
    </row>
    <row r="775" spans="1:126" ht="12.95" customHeight="1">
      <c r="J775" s="1342"/>
      <c r="K775" s="1343"/>
      <c r="L775" s="1343"/>
      <c r="M775" s="1343"/>
      <c r="N775" s="1344"/>
      <c r="O775" s="1597"/>
      <c r="P775" s="1597"/>
      <c r="Q775" s="1597"/>
      <c r="R775" s="1597"/>
      <c r="S775" s="1597"/>
      <c r="T775" s="1355"/>
      <c r="U775" s="1356"/>
      <c r="V775" s="1356"/>
      <c r="W775" s="1357"/>
      <c r="X775" s="1358"/>
      <c r="Y775" s="1359"/>
      <c r="Z775" s="1359"/>
      <c r="AA775" s="1359"/>
      <c r="AB775" s="1360"/>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3">
        <f>IF(J775="SRO/Studio",O775,0)</f>
        <v>0</v>
      </c>
      <c r="CQ775" s="1464"/>
      <c r="CR775" s="1464"/>
      <c r="CS775" s="1464"/>
      <c r="CT775" s="1465"/>
      <c r="CU775" s="1467">
        <f>IF(J775="1 Bedroom",O775,0)</f>
        <v>0</v>
      </c>
      <c r="CV775" s="1467"/>
      <c r="CW775" s="1467"/>
      <c r="CX775" s="1467"/>
      <c r="CY775" s="1467"/>
      <c r="CZ775" s="1467">
        <f>IF(J775="2 Bedrooms",O775,0)</f>
        <v>0</v>
      </c>
      <c r="DA775" s="1467"/>
      <c r="DB775" s="1467"/>
      <c r="DC775" s="1467"/>
      <c r="DD775" s="1467"/>
      <c r="DE775" s="1467">
        <f>IF(J775="3 Bedrooms",O775,0)</f>
        <v>0</v>
      </c>
      <c r="DF775" s="1467"/>
      <c r="DG775" s="1467"/>
      <c r="DH775" s="1467"/>
      <c r="DI775" s="1467"/>
      <c r="DJ775" s="1467">
        <f>IF(J775="4 Bedrooms",O775,0)</f>
        <v>0</v>
      </c>
      <c r="DK775" s="1467"/>
      <c r="DL775" s="1467"/>
      <c r="DM775" s="1467"/>
      <c r="DN775" s="1467"/>
      <c r="DO775" s="1467">
        <f>IF(J775="5 Bedrooms",O775,0)</f>
        <v>0</v>
      </c>
      <c r="DP775" s="1467"/>
      <c r="DQ775" s="1467"/>
      <c r="DR775" s="1467"/>
      <c r="DS775" s="1467"/>
      <c r="DT775" s="1013"/>
    </row>
    <row r="776" spans="1:126" ht="12.95" customHeight="1">
      <c r="J776" s="1342"/>
      <c r="K776" s="1343"/>
      <c r="L776" s="1343"/>
      <c r="M776" s="1343"/>
      <c r="N776" s="1344"/>
      <c r="O776" s="1597"/>
      <c r="P776" s="1597"/>
      <c r="Q776" s="1597"/>
      <c r="R776" s="1597"/>
      <c r="S776" s="1597"/>
      <c r="T776" s="1355"/>
      <c r="U776" s="1356"/>
      <c r="V776" s="1356"/>
      <c r="W776" s="1357"/>
      <c r="X776" s="1358"/>
      <c r="Y776" s="1359"/>
      <c r="Z776" s="1359"/>
      <c r="AA776" s="1359"/>
      <c r="AB776" s="1360"/>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3">
        <f>IF(J776="SRO/Studio",O776,0)</f>
        <v>0</v>
      </c>
      <c r="CQ776" s="1464"/>
      <c r="CR776" s="1464"/>
      <c r="CS776" s="1464"/>
      <c r="CT776" s="1465"/>
      <c r="CU776" s="1467">
        <f>IF(J776="1 Bedroom",O776,0)</f>
        <v>0</v>
      </c>
      <c r="CV776" s="1467"/>
      <c r="CW776" s="1467"/>
      <c r="CX776" s="1467"/>
      <c r="CY776" s="1467"/>
      <c r="CZ776" s="1467">
        <f>IF(J776="2 Bedrooms",O776,0)</f>
        <v>0</v>
      </c>
      <c r="DA776" s="1467"/>
      <c r="DB776" s="1467"/>
      <c r="DC776" s="1467"/>
      <c r="DD776" s="1467"/>
      <c r="DE776" s="1467">
        <f>IF(J776="3 Bedrooms",O776,0)</f>
        <v>0</v>
      </c>
      <c r="DF776" s="1467"/>
      <c r="DG776" s="1467"/>
      <c r="DH776" s="1467"/>
      <c r="DI776" s="1467"/>
      <c r="DJ776" s="1467">
        <f>IF(J776="4 Bedrooms",O776,0)</f>
        <v>0</v>
      </c>
      <c r="DK776" s="1467"/>
      <c r="DL776" s="1467"/>
      <c r="DM776" s="1467"/>
      <c r="DN776" s="1467"/>
      <c r="DO776" s="1467">
        <f>IF(J776="5 Bedrooms",O776,0)</f>
        <v>0</v>
      </c>
      <c r="DP776" s="1467"/>
      <c r="DQ776" s="1467"/>
      <c r="DR776" s="1467"/>
      <c r="DS776" s="1467"/>
    </row>
    <row r="777" spans="1:126" ht="12.95" customHeight="1">
      <c r="J777" s="1652" t="s">
        <v>125</v>
      </c>
      <c r="K777" s="1653"/>
      <c r="L777" s="1653"/>
      <c r="M777" s="1653"/>
      <c r="N777" s="1654"/>
      <c r="O777" s="1435">
        <f>SUM(O773:S776)</f>
        <v>1</v>
      </c>
      <c r="P777" s="1474"/>
      <c r="Q777" s="1474"/>
      <c r="R777" s="1474"/>
      <c r="S777" s="1436"/>
      <c r="X777" s="1652" t="s">
        <v>124</v>
      </c>
      <c r="Y777" s="1653"/>
      <c r="Z777" s="1653"/>
      <c r="AA777" s="1653"/>
      <c r="AB777" s="1654"/>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35">
        <f>SUM(CP773:CT776)</f>
        <v>0</v>
      </c>
      <c r="CQ777" s="1474"/>
      <c r="CR777" s="1474"/>
      <c r="CS777" s="1474"/>
      <c r="CT777" s="1436"/>
      <c r="CU777" s="1475">
        <f>SUM(CU773:CY776)</f>
        <v>0</v>
      </c>
      <c r="CV777" s="1476"/>
      <c r="CW777" s="1476"/>
      <c r="CX777" s="1476"/>
      <c r="CY777" s="1477"/>
      <c r="CZ777" s="1475">
        <f>SUM(CZ773:DD776)</f>
        <v>0</v>
      </c>
      <c r="DA777" s="1476"/>
      <c r="DB777" s="1476"/>
      <c r="DC777" s="1476"/>
      <c r="DD777" s="1477"/>
      <c r="DE777" s="1475">
        <f>SUM(DE773:DI776)</f>
        <v>1</v>
      </c>
      <c r="DF777" s="1476"/>
      <c r="DG777" s="1476"/>
      <c r="DH777" s="1476"/>
      <c r="DI777" s="1477"/>
      <c r="DJ777" s="1475">
        <f>SUM(DJ773:DN776)</f>
        <v>0</v>
      </c>
      <c r="DK777" s="1476"/>
      <c r="DL777" s="1476"/>
      <c r="DM777" s="1476"/>
      <c r="DN777" s="1477"/>
      <c r="DO777" s="1475">
        <f>SUM(DO773:DS776)</f>
        <v>0</v>
      </c>
      <c r="DP777" s="1476"/>
      <c r="DQ777" s="1476"/>
      <c r="DR777" s="1476"/>
      <c r="DS777" s="1477"/>
      <c r="DU777" s="862">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2.95" customHeight="1">
      <c r="B779" s="56"/>
      <c r="C779" s="56"/>
      <c r="D779" s="56"/>
      <c r="E779" s="56"/>
      <c r="F779" s="56"/>
      <c r="G779" s="6"/>
      <c r="H779" s="6"/>
      <c r="I779" s="6"/>
      <c r="J779" s="1705" t="s">
        <v>669</v>
      </c>
      <c r="K779" s="170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04" t="s">
        <v>388</v>
      </c>
      <c r="K783" s="1605"/>
      <c r="L783" s="1605"/>
      <c r="M783" s="1605"/>
      <c r="N783" s="1606"/>
      <c r="O783" s="1598" t="s">
        <v>284</v>
      </c>
      <c r="P783" s="1598"/>
      <c r="Q783" s="1598"/>
      <c r="R783" s="1598"/>
      <c r="S783" s="1598"/>
      <c r="T783" s="1709" t="s">
        <v>1679</v>
      </c>
      <c r="U783" s="1710"/>
      <c r="V783" s="1710"/>
      <c r="W783" s="1711"/>
      <c r="X783" s="1604" t="s">
        <v>447</v>
      </c>
      <c r="Y783" s="1605"/>
      <c r="Z783" s="1605"/>
      <c r="AA783" s="1605"/>
      <c r="AB783" s="1606"/>
      <c r="AC783" s="1604" t="s">
        <v>285</v>
      </c>
      <c r="AD783" s="1605"/>
      <c r="AE783" s="1605"/>
      <c r="AF783" s="1605"/>
      <c r="AG783" s="160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607"/>
      <c r="K784" s="1608"/>
      <c r="L784" s="1608"/>
      <c r="M784" s="1608"/>
      <c r="N784" s="1609"/>
      <c r="O784" s="1598"/>
      <c r="P784" s="1598"/>
      <c r="Q784" s="1598"/>
      <c r="R784" s="1598"/>
      <c r="S784" s="1598"/>
      <c r="T784" s="1712"/>
      <c r="U784" s="1713"/>
      <c r="V784" s="1713"/>
      <c r="W784" s="1714"/>
      <c r="X784" s="1607"/>
      <c r="Y784" s="1608"/>
      <c r="Z784" s="1608"/>
      <c r="AA784" s="1608"/>
      <c r="AB784" s="1609"/>
      <c r="AC784" s="1607"/>
      <c r="AD784" s="1608"/>
      <c r="AE784" s="1608"/>
      <c r="AF784" s="1608"/>
      <c r="AG784" s="160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607"/>
      <c r="K785" s="1608"/>
      <c r="L785" s="1608"/>
      <c r="M785" s="1608"/>
      <c r="N785" s="1609"/>
      <c r="O785" s="1598"/>
      <c r="P785" s="1598"/>
      <c r="Q785" s="1598"/>
      <c r="R785" s="1598"/>
      <c r="S785" s="1598"/>
      <c r="T785" s="1712"/>
      <c r="U785" s="1713"/>
      <c r="V785" s="1713"/>
      <c r="W785" s="1714"/>
      <c r="X785" s="1607"/>
      <c r="Y785" s="1608"/>
      <c r="Z785" s="1608"/>
      <c r="AA785" s="1608"/>
      <c r="AB785" s="1609"/>
      <c r="AC785" s="1607"/>
      <c r="AD785" s="1608"/>
      <c r="AE785" s="1608"/>
      <c r="AF785" s="1608"/>
      <c r="AG785" s="160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610"/>
      <c r="K786" s="1611"/>
      <c r="L786" s="1611"/>
      <c r="M786" s="1611"/>
      <c r="N786" s="1612"/>
      <c r="O786" s="1598"/>
      <c r="P786" s="1598"/>
      <c r="Q786" s="1598"/>
      <c r="R786" s="1598"/>
      <c r="S786" s="1598"/>
      <c r="T786" s="1730"/>
      <c r="U786" s="1731"/>
      <c r="V786" s="1731"/>
      <c r="W786" s="1732"/>
      <c r="X786" s="1610"/>
      <c r="Y786" s="1611"/>
      <c r="Z786" s="1611"/>
      <c r="AA786" s="1611"/>
      <c r="AB786" s="1612"/>
      <c r="AC786" s="1610"/>
      <c r="AD786" s="1611"/>
      <c r="AE786" s="1611"/>
      <c r="AF786" s="1611"/>
      <c r="AG786" s="161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42"/>
      <c r="K787" s="1343"/>
      <c r="L787" s="1343"/>
      <c r="M787" s="1343"/>
      <c r="N787" s="1344"/>
      <c r="O787" s="1597"/>
      <c r="P787" s="1597"/>
      <c r="Q787" s="1597"/>
      <c r="R787" s="1597"/>
      <c r="S787" s="1597"/>
      <c r="T787" s="1355"/>
      <c r="U787" s="1356"/>
      <c r="V787" s="1356"/>
      <c r="W787" s="1357"/>
      <c r="X787" s="1358"/>
      <c r="Y787" s="1359"/>
      <c r="Z787" s="1359"/>
      <c r="AA787" s="1359"/>
      <c r="AB787" s="1360"/>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3">
        <f t="shared" ref="CP787:CP796" si="40">IF(J787="SRO/Studio",O787,0)</f>
        <v>0</v>
      </c>
      <c r="CQ787" s="1464"/>
      <c r="CR787" s="1464"/>
      <c r="CS787" s="1464"/>
      <c r="CT787" s="1465"/>
      <c r="CU787" s="1463">
        <f t="shared" ref="CU787:CU796" si="41">IF(J787="1 Bedroom",O787,0)</f>
        <v>0</v>
      </c>
      <c r="CV787" s="1464"/>
      <c r="CW787" s="1464"/>
      <c r="CX787" s="1464"/>
      <c r="CY787" s="1465"/>
      <c r="CZ787" s="1463">
        <f t="shared" ref="CZ787:CZ796" si="42">IF(J787="2 Bedrooms",O787,0)</f>
        <v>0</v>
      </c>
      <c r="DA787" s="1464"/>
      <c r="DB787" s="1464"/>
      <c r="DC787" s="1464"/>
      <c r="DD787" s="1465"/>
      <c r="DE787" s="1463">
        <f t="shared" ref="DE787:DE796" si="43">IF(J787="3 Bedrooms",O787,0)</f>
        <v>0</v>
      </c>
      <c r="DF787" s="1464"/>
      <c r="DG787" s="1464"/>
      <c r="DH787" s="1464"/>
      <c r="DI787" s="1465"/>
      <c r="DJ787" s="1463">
        <f t="shared" ref="DJ787:DJ796" si="44">IF(J787="4 Bedrooms",O787,0)</f>
        <v>0</v>
      </c>
      <c r="DK787" s="1464"/>
      <c r="DL787" s="1464"/>
      <c r="DM787" s="1464"/>
      <c r="DN787" s="1465"/>
      <c r="DO787" s="1463">
        <f t="shared" ref="DO787:DO796" si="45">IF(J787="5 Bedrooms",O787,0)</f>
        <v>0</v>
      </c>
      <c r="DP787" s="1464"/>
      <c r="DQ787" s="1464"/>
      <c r="DR787" s="1464"/>
      <c r="DS787" s="1465"/>
      <c r="DT787" s="6"/>
      <c r="DU787" s="1463">
        <f t="shared" ref="DU787:DU796" si="46">IF(AND(CP787&gt;=1,AH787&gt;=0.1,AH787&lt;=1),O787,0)</f>
        <v>0</v>
      </c>
      <c r="DV787" s="1464"/>
      <c r="DW787" s="1464"/>
      <c r="DX787" s="1464"/>
      <c r="DY787" s="1465"/>
      <c r="DZ787" s="1463">
        <f t="shared" ref="DZ787:DZ796" si="47">IF(AND(CU787&gt;=1,AH787&gt;=0.1,AH787&lt;=1),O787,0)</f>
        <v>0</v>
      </c>
      <c r="EA787" s="1464"/>
      <c r="EB787" s="1464"/>
      <c r="EC787" s="1464"/>
      <c r="ED787" s="1465"/>
      <c r="EE787" s="1463">
        <f t="shared" ref="EE787:EE796" si="48">IF(AND(CZ787&gt;=1,AH787&gt;=0.1,AH787&lt;=1),O787,0)</f>
        <v>0</v>
      </c>
      <c r="EF787" s="1464"/>
      <c r="EG787" s="1464"/>
      <c r="EH787" s="1464"/>
      <c r="EI787" s="1465"/>
      <c r="EJ787" s="1463">
        <f t="shared" ref="EJ787:EJ796" si="49">IF(AND(DE787&gt;=1,AH787&gt;=0.1,AH787&lt;=1),O787,0)</f>
        <v>0</v>
      </c>
      <c r="EK787" s="1464"/>
      <c r="EL787" s="1464"/>
      <c r="EM787" s="1464"/>
      <c r="EN787" s="1465"/>
      <c r="EO787" s="1463">
        <f t="shared" ref="EO787:EO796" si="50">IF(AND(DJ787&gt;=1,AH787&gt;=0.1,AH787&lt;=1),O787,0)</f>
        <v>0</v>
      </c>
      <c r="EP787" s="1464"/>
      <c r="EQ787" s="1464"/>
      <c r="ER787" s="1464"/>
      <c r="ES787" s="1465"/>
      <c r="ET787" s="1463">
        <f t="shared" ref="ET787:ET796" si="51">IF(AND(DO787&gt;=1,AH787&gt;=0.1,AH787&lt;=1),O787,0)</f>
        <v>0</v>
      </c>
      <c r="EU787" s="1464"/>
      <c r="EV787" s="1464"/>
      <c r="EW787" s="1464"/>
      <c r="EX787" s="1465"/>
    </row>
    <row r="788" spans="1:154" s="14" customFormat="1" ht="12.95" customHeight="1">
      <c r="A788"/>
      <c r="B788"/>
      <c r="C788"/>
      <c r="D788"/>
      <c r="E788"/>
      <c r="F788"/>
      <c r="G788"/>
      <c r="H788"/>
      <c r="I788"/>
      <c r="J788" s="1342"/>
      <c r="K788" s="1343"/>
      <c r="L788" s="1343"/>
      <c r="M788" s="1343"/>
      <c r="N788" s="1344"/>
      <c r="O788" s="1597"/>
      <c r="P788" s="1597"/>
      <c r="Q788" s="1597"/>
      <c r="R788" s="1597"/>
      <c r="S788" s="1597"/>
      <c r="T788" s="1355"/>
      <c r="U788" s="1356"/>
      <c r="V788" s="1356"/>
      <c r="W788" s="1357"/>
      <c r="X788" s="1358"/>
      <c r="Y788" s="1359"/>
      <c r="Z788" s="1359"/>
      <c r="AA788" s="1359"/>
      <c r="AB788" s="1360"/>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3">
        <f t="shared" si="40"/>
        <v>0</v>
      </c>
      <c r="CQ788" s="1464"/>
      <c r="CR788" s="1464"/>
      <c r="CS788" s="1464"/>
      <c r="CT788" s="1465"/>
      <c r="CU788" s="1463">
        <f t="shared" si="41"/>
        <v>0</v>
      </c>
      <c r="CV788" s="1464"/>
      <c r="CW788" s="1464"/>
      <c r="CX788" s="1464"/>
      <c r="CY788" s="1465"/>
      <c r="CZ788" s="1463">
        <f t="shared" si="42"/>
        <v>0</v>
      </c>
      <c r="DA788" s="1464"/>
      <c r="DB788" s="1464"/>
      <c r="DC788" s="1464"/>
      <c r="DD788" s="1465"/>
      <c r="DE788" s="1463">
        <f t="shared" si="43"/>
        <v>0</v>
      </c>
      <c r="DF788" s="1464"/>
      <c r="DG788" s="1464"/>
      <c r="DH788" s="1464"/>
      <c r="DI788" s="1465"/>
      <c r="DJ788" s="1463">
        <f t="shared" si="44"/>
        <v>0</v>
      </c>
      <c r="DK788" s="1464"/>
      <c r="DL788" s="1464"/>
      <c r="DM788" s="1464"/>
      <c r="DN788" s="1465"/>
      <c r="DO788" s="1463">
        <f t="shared" si="45"/>
        <v>0</v>
      </c>
      <c r="DP788" s="1464"/>
      <c r="DQ788" s="1464"/>
      <c r="DR788" s="1464"/>
      <c r="DS788" s="1465"/>
      <c r="DT788" s="6"/>
      <c r="DU788" s="1463">
        <f t="shared" si="46"/>
        <v>0</v>
      </c>
      <c r="DV788" s="1464"/>
      <c r="DW788" s="1464"/>
      <c r="DX788" s="1464"/>
      <c r="DY788" s="1465"/>
      <c r="DZ788" s="1463">
        <f t="shared" si="47"/>
        <v>0</v>
      </c>
      <c r="EA788" s="1464"/>
      <c r="EB788" s="1464"/>
      <c r="EC788" s="1464"/>
      <c r="ED788" s="1465"/>
      <c r="EE788" s="1463">
        <f t="shared" si="48"/>
        <v>0</v>
      </c>
      <c r="EF788" s="1464"/>
      <c r="EG788" s="1464"/>
      <c r="EH788" s="1464"/>
      <c r="EI788" s="1465"/>
      <c r="EJ788" s="1463">
        <f t="shared" si="49"/>
        <v>0</v>
      </c>
      <c r="EK788" s="1464"/>
      <c r="EL788" s="1464"/>
      <c r="EM788" s="1464"/>
      <c r="EN788" s="1465"/>
      <c r="EO788" s="1463">
        <f t="shared" si="50"/>
        <v>0</v>
      </c>
      <c r="EP788" s="1464"/>
      <c r="EQ788" s="1464"/>
      <c r="ER788" s="1464"/>
      <c r="ES788" s="1465"/>
      <c r="ET788" s="1463">
        <f t="shared" si="51"/>
        <v>0</v>
      </c>
      <c r="EU788" s="1464"/>
      <c r="EV788" s="1464"/>
      <c r="EW788" s="1464"/>
      <c r="EX788" s="1465"/>
    </row>
    <row r="789" spans="1:154" s="14" customFormat="1" ht="12.95" customHeight="1">
      <c r="A789"/>
      <c r="B789"/>
      <c r="C789"/>
      <c r="D789"/>
      <c r="E789"/>
      <c r="F789"/>
      <c r="G789"/>
      <c r="H789"/>
      <c r="I789"/>
      <c r="J789" s="1342"/>
      <c r="K789" s="1343"/>
      <c r="L789" s="1343"/>
      <c r="M789" s="1343"/>
      <c r="N789" s="1344"/>
      <c r="O789" s="1597"/>
      <c r="P789" s="1597"/>
      <c r="Q789" s="1597"/>
      <c r="R789" s="1597"/>
      <c r="S789" s="1597"/>
      <c r="T789" s="1355"/>
      <c r="U789" s="1356"/>
      <c r="V789" s="1356"/>
      <c r="W789" s="1357"/>
      <c r="X789" s="1358"/>
      <c r="Y789" s="1359"/>
      <c r="Z789" s="1359"/>
      <c r="AA789" s="1359"/>
      <c r="AB789" s="1360"/>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3">
        <f t="shared" si="40"/>
        <v>0</v>
      </c>
      <c r="CQ789" s="1464"/>
      <c r="CR789" s="1464"/>
      <c r="CS789" s="1464"/>
      <c r="CT789" s="1465"/>
      <c r="CU789" s="1463">
        <f t="shared" si="41"/>
        <v>0</v>
      </c>
      <c r="CV789" s="1464"/>
      <c r="CW789" s="1464"/>
      <c r="CX789" s="1464"/>
      <c r="CY789" s="1465"/>
      <c r="CZ789" s="1463">
        <f t="shared" si="42"/>
        <v>0</v>
      </c>
      <c r="DA789" s="1464"/>
      <c r="DB789" s="1464"/>
      <c r="DC789" s="1464"/>
      <c r="DD789" s="1465"/>
      <c r="DE789" s="1463">
        <f t="shared" si="43"/>
        <v>0</v>
      </c>
      <c r="DF789" s="1464"/>
      <c r="DG789" s="1464"/>
      <c r="DH789" s="1464"/>
      <c r="DI789" s="1465"/>
      <c r="DJ789" s="1463">
        <f t="shared" si="44"/>
        <v>0</v>
      </c>
      <c r="DK789" s="1464"/>
      <c r="DL789" s="1464"/>
      <c r="DM789" s="1464"/>
      <c r="DN789" s="1465"/>
      <c r="DO789" s="1463">
        <f t="shared" si="45"/>
        <v>0</v>
      </c>
      <c r="DP789" s="1464"/>
      <c r="DQ789" s="1464"/>
      <c r="DR789" s="1464"/>
      <c r="DS789" s="1465"/>
      <c r="DT789" s="6"/>
      <c r="DU789" s="1463">
        <f t="shared" si="46"/>
        <v>0</v>
      </c>
      <c r="DV789" s="1464"/>
      <c r="DW789" s="1464"/>
      <c r="DX789" s="1464"/>
      <c r="DY789" s="1465"/>
      <c r="DZ789" s="1463">
        <f t="shared" si="47"/>
        <v>0</v>
      </c>
      <c r="EA789" s="1464"/>
      <c r="EB789" s="1464"/>
      <c r="EC789" s="1464"/>
      <c r="ED789" s="1465"/>
      <c r="EE789" s="1463">
        <f t="shared" si="48"/>
        <v>0</v>
      </c>
      <c r="EF789" s="1464"/>
      <c r="EG789" s="1464"/>
      <c r="EH789" s="1464"/>
      <c r="EI789" s="1465"/>
      <c r="EJ789" s="1463">
        <f t="shared" si="49"/>
        <v>0</v>
      </c>
      <c r="EK789" s="1464"/>
      <c r="EL789" s="1464"/>
      <c r="EM789" s="1464"/>
      <c r="EN789" s="1465"/>
      <c r="EO789" s="1463">
        <f t="shared" si="50"/>
        <v>0</v>
      </c>
      <c r="EP789" s="1464"/>
      <c r="EQ789" s="1464"/>
      <c r="ER789" s="1464"/>
      <c r="ES789" s="1465"/>
      <c r="ET789" s="1463">
        <f t="shared" si="51"/>
        <v>0</v>
      </c>
      <c r="EU789" s="1464"/>
      <c r="EV789" s="1464"/>
      <c r="EW789" s="1464"/>
      <c r="EX789" s="1465"/>
    </row>
    <row r="790" spans="1:154" s="14" customFormat="1" ht="12.95" customHeight="1">
      <c r="A790"/>
      <c r="B790"/>
      <c r="C790"/>
      <c r="D790"/>
      <c r="E790"/>
      <c r="F790"/>
      <c r="G790"/>
      <c r="H790"/>
      <c r="I790"/>
      <c r="J790" s="1342"/>
      <c r="K790" s="1343"/>
      <c r="L790" s="1343"/>
      <c r="M790" s="1343"/>
      <c r="N790" s="1344"/>
      <c r="O790" s="1597"/>
      <c r="P790" s="1597"/>
      <c r="Q790" s="1597"/>
      <c r="R790" s="1597"/>
      <c r="S790" s="1597"/>
      <c r="T790" s="1355"/>
      <c r="U790" s="1356"/>
      <c r="V790" s="1356"/>
      <c r="W790" s="1357"/>
      <c r="X790" s="1358"/>
      <c r="Y790" s="1359"/>
      <c r="Z790" s="1359"/>
      <c r="AA790" s="1359"/>
      <c r="AB790" s="1360"/>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3">
        <f t="shared" si="40"/>
        <v>0</v>
      </c>
      <c r="CQ790" s="1464"/>
      <c r="CR790" s="1464"/>
      <c r="CS790" s="1464"/>
      <c r="CT790" s="1465"/>
      <c r="CU790" s="1463">
        <f t="shared" si="41"/>
        <v>0</v>
      </c>
      <c r="CV790" s="1464"/>
      <c r="CW790" s="1464"/>
      <c r="CX790" s="1464"/>
      <c r="CY790" s="1465"/>
      <c r="CZ790" s="1463">
        <f t="shared" si="42"/>
        <v>0</v>
      </c>
      <c r="DA790" s="1464"/>
      <c r="DB790" s="1464"/>
      <c r="DC790" s="1464"/>
      <c r="DD790" s="1465"/>
      <c r="DE790" s="1463">
        <f t="shared" si="43"/>
        <v>0</v>
      </c>
      <c r="DF790" s="1464"/>
      <c r="DG790" s="1464"/>
      <c r="DH790" s="1464"/>
      <c r="DI790" s="1465"/>
      <c r="DJ790" s="1463">
        <f t="shared" si="44"/>
        <v>0</v>
      </c>
      <c r="DK790" s="1464"/>
      <c r="DL790" s="1464"/>
      <c r="DM790" s="1464"/>
      <c r="DN790" s="1465"/>
      <c r="DO790" s="1463">
        <f t="shared" si="45"/>
        <v>0</v>
      </c>
      <c r="DP790" s="1464"/>
      <c r="DQ790" s="1464"/>
      <c r="DR790" s="1464"/>
      <c r="DS790" s="1465"/>
      <c r="DT790" s="6"/>
      <c r="DU790" s="1463">
        <f t="shared" si="46"/>
        <v>0</v>
      </c>
      <c r="DV790" s="1464"/>
      <c r="DW790" s="1464"/>
      <c r="DX790" s="1464"/>
      <c r="DY790" s="1465"/>
      <c r="DZ790" s="1463">
        <f t="shared" si="47"/>
        <v>0</v>
      </c>
      <c r="EA790" s="1464"/>
      <c r="EB790" s="1464"/>
      <c r="EC790" s="1464"/>
      <c r="ED790" s="1465"/>
      <c r="EE790" s="1463">
        <f t="shared" si="48"/>
        <v>0</v>
      </c>
      <c r="EF790" s="1464"/>
      <c r="EG790" s="1464"/>
      <c r="EH790" s="1464"/>
      <c r="EI790" s="1465"/>
      <c r="EJ790" s="1463">
        <f t="shared" si="49"/>
        <v>0</v>
      </c>
      <c r="EK790" s="1464"/>
      <c r="EL790" s="1464"/>
      <c r="EM790" s="1464"/>
      <c r="EN790" s="1465"/>
      <c r="EO790" s="1463">
        <f t="shared" si="50"/>
        <v>0</v>
      </c>
      <c r="EP790" s="1464"/>
      <c r="EQ790" s="1464"/>
      <c r="ER790" s="1464"/>
      <c r="ES790" s="1465"/>
      <c r="ET790" s="1463">
        <f t="shared" si="51"/>
        <v>0</v>
      </c>
      <c r="EU790" s="1464"/>
      <c r="EV790" s="1464"/>
      <c r="EW790" s="1464"/>
      <c r="EX790" s="1465"/>
    </row>
    <row r="791" spans="1:154" s="14" customFormat="1" ht="12.95" customHeight="1">
      <c r="A791"/>
      <c r="B791"/>
      <c r="C791"/>
      <c r="D791"/>
      <c r="E791"/>
      <c r="F791"/>
      <c r="G791"/>
      <c r="H791"/>
      <c r="I791"/>
      <c r="J791" s="1342"/>
      <c r="K791" s="1343"/>
      <c r="L791" s="1343"/>
      <c r="M791" s="1343"/>
      <c r="N791" s="1344"/>
      <c r="O791" s="1597"/>
      <c r="P791" s="1597"/>
      <c r="Q791" s="1597"/>
      <c r="R791" s="1597"/>
      <c r="S791" s="1597"/>
      <c r="T791" s="1355"/>
      <c r="U791" s="1356"/>
      <c r="V791" s="1356"/>
      <c r="W791" s="1357"/>
      <c r="X791" s="1358"/>
      <c r="Y791" s="1359"/>
      <c r="Z791" s="1359"/>
      <c r="AA791" s="1359"/>
      <c r="AB791" s="1360"/>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3">
        <f t="shared" si="40"/>
        <v>0</v>
      </c>
      <c r="CQ791" s="1464"/>
      <c r="CR791" s="1464"/>
      <c r="CS791" s="1464"/>
      <c r="CT791" s="1465"/>
      <c r="CU791" s="1463">
        <f t="shared" si="41"/>
        <v>0</v>
      </c>
      <c r="CV791" s="1464"/>
      <c r="CW791" s="1464"/>
      <c r="CX791" s="1464"/>
      <c r="CY791" s="1465"/>
      <c r="CZ791" s="1463">
        <f t="shared" si="42"/>
        <v>0</v>
      </c>
      <c r="DA791" s="1464"/>
      <c r="DB791" s="1464"/>
      <c r="DC791" s="1464"/>
      <c r="DD791" s="1465"/>
      <c r="DE791" s="1463">
        <f t="shared" si="43"/>
        <v>0</v>
      </c>
      <c r="DF791" s="1464"/>
      <c r="DG791" s="1464"/>
      <c r="DH791" s="1464"/>
      <c r="DI791" s="1465"/>
      <c r="DJ791" s="1463">
        <f t="shared" si="44"/>
        <v>0</v>
      </c>
      <c r="DK791" s="1464"/>
      <c r="DL791" s="1464"/>
      <c r="DM791" s="1464"/>
      <c r="DN791" s="1465"/>
      <c r="DO791" s="1463">
        <f t="shared" si="45"/>
        <v>0</v>
      </c>
      <c r="DP791" s="1464"/>
      <c r="DQ791" s="1464"/>
      <c r="DR791" s="1464"/>
      <c r="DS791" s="1465"/>
      <c r="DT791" s="6"/>
      <c r="DU791" s="1463">
        <f t="shared" si="46"/>
        <v>0</v>
      </c>
      <c r="DV791" s="1464"/>
      <c r="DW791" s="1464"/>
      <c r="DX791" s="1464"/>
      <c r="DY791" s="1465"/>
      <c r="DZ791" s="1463">
        <f t="shared" si="47"/>
        <v>0</v>
      </c>
      <c r="EA791" s="1464"/>
      <c r="EB791" s="1464"/>
      <c r="EC791" s="1464"/>
      <c r="ED791" s="1465"/>
      <c r="EE791" s="1463">
        <f t="shared" si="48"/>
        <v>0</v>
      </c>
      <c r="EF791" s="1464"/>
      <c r="EG791" s="1464"/>
      <c r="EH791" s="1464"/>
      <c r="EI791" s="1465"/>
      <c r="EJ791" s="1463">
        <f t="shared" si="49"/>
        <v>0</v>
      </c>
      <c r="EK791" s="1464"/>
      <c r="EL791" s="1464"/>
      <c r="EM791" s="1464"/>
      <c r="EN791" s="1465"/>
      <c r="EO791" s="1463">
        <f t="shared" si="50"/>
        <v>0</v>
      </c>
      <c r="EP791" s="1464"/>
      <c r="EQ791" s="1464"/>
      <c r="ER791" s="1464"/>
      <c r="ES791" s="1465"/>
      <c r="ET791" s="1463">
        <f t="shared" si="51"/>
        <v>0</v>
      </c>
      <c r="EU791" s="1464"/>
      <c r="EV791" s="1464"/>
      <c r="EW791" s="1464"/>
      <c r="EX791" s="1465"/>
    </row>
    <row r="792" spans="1:154" s="14" customFormat="1" ht="12.95" customHeight="1">
      <c r="A792"/>
      <c r="B792"/>
      <c r="C792"/>
      <c r="D792"/>
      <c r="E792"/>
      <c r="F792"/>
      <c r="G792"/>
      <c r="H792"/>
      <c r="I792"/>
      <c r="J792" s="1342"/>
      <c r="K792" s="1343"/>
      <c r="L792" s="1343"/>
      <c r="M792" s="1343"/>
      <c r="N792" s="1344"/>
      <c r="O792" s="1597"/>
      <c r="P792" s="1597"/>
      <c r="Q792" s="1597"/>
      <c r="R792" s="1597"/>
      <c r="S792" s="1597"/>
      <c r="T792" s="1355"/>
      <c r="U792" s="1356"/>
      <c r="V792" s="1356"/>
      <c r="W792" s="1357"/>
      <c r="X792" s="1358"/>
      <c r="Y792" s="1359"/>
      <c r="Z792" s="1359"/>
      <c r="AA792" s="1359"/>
      <c r="AB792" s="1360"/>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3">
        <f t="shared" si="40"/>
        <v>0</v>
      </c>
      <c r="CQ792" s="1464"/>
      <c r="CR792" s="1464"/>
      <c r="CS792" s="1464"/>
      <c r="CT792" s="1465"/>
      <c r="CU792" s="1463">
        <f t="shared" si="41"/>
        <v>0</v>
      </c>
      <c r="CV792" s="1464"/>
      <c r="CW792" s="1464"/>
      <c r="CX792" s="1464"/>
      <c r="CY792" s="1465"/>
      <c r="CZ792" s="1463">
        <f t="shared" si="42"/>
        <v>0</v>
      </c>
      <c r="DA792" s="1464"/>
      <c r="DB792" s="1464"/>
      <c r="DC792" s="1464"/>
      <c r="DD792" s="1465"/>
      <c r="DE792" s="1463">
        <f t="shared" si="43"/>
        <v>0</v>
      </c>
      <c r="DF792" s="1464"/>
      <c r="DG792" s="1464"/>
      <c r="DH792" s="1464"/>
      <c r="DI792" s="1465"/>
      <c r="DJ792" s="1463">
        <f t="shared" si="44"/>
        <v>0</v>
      </c>
      <c r="DK792" s="1464"/>
      <c r="DL792" s="1464"/>
      <c r="DM792" s="1464"/>
      <c r="DN792" s="1465"/>
      <c r="DO792" s="1463">
        <f t="shared" si="45"/>
        <v>0</v>
      </c>
      <c r="DP792" s="1464"/>
      <c r="DQ792" s="1464"/>
      <c r="DR792" s="1464"/>
      <c r="DS792" s="1465"/>
      <c r="DT792" s="6"/>
      <c r="DU792" s="1463">
        <f t="shared" si="46"/>
        <v>0</v>
      </c>
      <c r="DV792" s="1464"/>
      <c r="DW792" s="1464"/>
      <c r="DX792" s="1464"/>
      <c r="DY792" s="1465"/>
      <c r="DZ792" s="1463">
        <f t="shared" si="47"/>
        <v>0</v>
      </c>
      <c r="EA792" s="1464"/>
      <c r="EB792" s="1464"/>
      <c r="EC792" s="1464"/>
      <c r="ED792" s="1465"/>
      <c r="EE792" s="1463">
        <f t="shared" si="48"/>
        <v>0</v>
      </c>
      <c r="EF792" s="1464"/>
      <c r="EG792" s="1464"/>
      <c r="EH792" s="1464"/>
      <c r="EI792" s="1465"/>
      <c r="EJ792" s="1463">
        <f t="shared" si="49"/>
        <v>0</v>
      </c>
      <c r="EK792" s="1464"/>
      <c r="EL792" s="1464"/>
      <c r="EM792" s="1464"/>
      <c r="EN792" s="1465"/>
      <c r="EO792" s="1463">
        <f t="shared" si="50"/>
        <v>0</v>
      </c>
      <c r="EP792" s="1464"/>
      <c r="EQ792" s="1464"/>
      <c r="ER792" s="1464"/>
      <c r="ES792" s="1465"/>
      <c r="ET792" s="1463">
        <f t="shared" si="51"/>
        <v>0</v>
      </c>
      <c r="EU792" s="1464"/>
      <c r="EV792" s="1464"/>
      <c r="EW792" s="1464"/>
      <c r="EX792" s="1465"/>
    </row>
    <row r="793" spans="1:154" s="14" customFormat="1" ht="12.95" customHeight="1">
      <c r="A793"/>
      <c r="B793"/>
      <c r="C793"/>
      <c r="D793"/>
      <c r="E793"/>
      <c r="F793"/>
      <c r="G793"/>
      <c r="H793"/>
      <c r="I793"/>
      <c r="J793" s="1342"/>
      <c r="K793" s="1343"/>
      <c r="L793" s="1343"/>
      <c r="M793" s="1343"/>
      <c r="N793" s="1344"/>
      <c r="O793" s="1597"/>
      <c r="P793" s="1597"/>
      <c r="Q793" s="1597"/>
      <c r="R793" s="1597"/>
      <c r="S793" s="1597"/>
      <c r="T793" s="1355"/>
      <c r="U793" s="1356"/>
      <c r="V793" s="1356"/>
      <c r="W793" s="1357"/>
      <c r="X793" s="1358"/>
      <c r="Y793" s="1359"/>
      <c r="Z793" s="1359"/>
      <c r="AA793" s="1359"/>
      <c r="AB793" s="1360"/>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3">
        <f t="shared" si="40"/>
        <v>0</v>
      </c>
      <c r="CQ793" s="1464"/>
      <c r="CR793" s="1464"/>
      <c r="CS793" s="1464"/>
      <c r="CT793" s="1465"/>
      <c r="CU793" s="1463">
        <f t="shared" si="41"/>
        <v>0</v>
      </c>
      <c r="CV793" s="1464"/>
      <c r="CW793" s="1464"/>
      <c r="CX793" s="1464"/>
      <c r="CY793" s="1465"/>
      <c r="CZ793" s="1463">
        <f t="shared" si="42"/>
        <v>0</v>
      </c>
      <c r="DA793" s="1464"/>
      <c r="DB793" s="1464"/>
      <c r="DC793" s="1464"/>
      <c r="DD793" s="1465"/>
      <c r="DE793" s="1463">
        <f t="shared" si="43"/>
        <v>0</v>
      </c>
      <c r="DF793" s="1464"/>
      <c r="DG793" s="1464"/>
      <c r="DH793" s="1464"/>
      <c r="DI793" s="1465"/>
      <c r="DJ793" s="1463">
        <f t="shared" si="44"/>
        <v>0</v>
      </c>
      <c r="DK793" s="1464"/>
      <c r="DL793" s="1464"/>
      <c r="DM793" s="1464"/>
      <c r="DN793" s="1465"/>
      <c r="DO793" s="1463">
        <f t="shared" si="45"/>
        <v>0</v>
      </c>
      <c r="DP793" s="1464"/>
      <c r="DQ793" s="1464"/>
      <c r="DR793" s="1464"/>
      <c r="DS793" s="1465"/>
      <c r="DT793" s="6"/>
      <c r="DU793" s="1463">
        <f t="shared" si="46"/>
        <v>0</v>
      </c>
      <c r="DV793" s="1464"/>
      <c r="DW793" s="1464"/>
      <c r="DX793" s="1464"/>
      <c r="DY793" s="1465"/>
      <c r="DZ793" s="1463">
        <f t="shared" si="47"/>
        <v>0</v>
      </c>
      <c r="EA793" s="1464"/>
      <c r="EB793" s="1464"/>
      <c r="EC793" s="1464"/>
      <c r="ED793" s="1465"/>
      <c r="EE793" s="1463">
        <f t="shared" si="48"/>
        <v>0</v>
      </c>
      <c r="EF793" s="1464"/>
      <c r="EG793" s="1464"/>
      <c r="EH793" s="1464"/>
      <c r="EI793" s="1465"/>
      <c r="EJ793" s="1463">
        <f t="shared" si="49"/>
        <v>0</v>
      </c>
      <c r="EK793" s="1464"/>
      <c r="EL793" s="1464"/>
      <c r="EM793" s="1464"/>
      <c r="EN793" s="1465"/>
      <c r="EO793" s="1463">
        <f t="shared" si="50"/>
        <v>0</v>
      </c>
      <c r="EP793" s="1464"/>
      <c r="EQ793" s="1464"/>
      <c r="ER793" s="1464"/>
      <c r="ES793" s="1465"/>
      <c r="ET793" s="1463">
        <f t="shared" si="51"/>
        <v>0</v>
      </c>
      <c r="EU793" s="1464"/>
      <c r="EV793" s="1464"/>
      <c r="EW793" s="1464"/>
      <c r="EX793" s="1465"/>
    </row>
    <row r="794" spans="1:154" s="14" customFormat="1" ht="12.95" customHeight="1">
      <c r="A794"/>
      <c r="B794"/>
      <c r="C794"/>
      <c r="D794"/>
      <c r="E794"/>
      <c r="F794"/>
      <c r="G794"/>
      <c r="H794"/>
      <c r="I794"/>
      <c r="J794" s="1342"/>
      <c r="K794" s="1343"/>
      <c r="L794" s="1343"/>
      <c r="M794" s="1343"/>
      <c r="N794" s="1344"/>
      <c r="O794" s="1597"/>
      <c r="P794" s="1597"/>
      <c r="Q794" s="1597"/>
      <c r="R794" s="1597"/>
      <c r="S794" s="1597"/>
      <c r="T794" s="1355"/>
      <c r="U794" s="1356"/>
      <c r="V794" s="1356"/>
      <c r="W794" s="1357"/>
      <c r="X794" s="1358"/>
      <c r="Y794" s="1359"/>
      <c r="Z794" s="1359"/>
      <c r="AA794" s="1359"/>
      <c r="AB794" s="1360"/>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3">
        <f t="shared" si="40"/>
        <v>0</v>
      </c>
      <c r="CQ794" s="1464"/>
      <c r="CR794" s="1464"/>
      <c r="CS794" s="1464"/>
      <c r="CT794" s="1465"/>
      <c r="CU794" s="1463">
        <f t="shared" si="41"/>
        <v>0</v>
      </c>
      <c r="CV794" s="1464"/>
      <c r="CW794" s="1464"/>
      <c r="CX794" s="1464"/>
      <c r="CY794" s="1465"/>
      <c r="CZ794" s="1463">
        <f t="shared" si="42"/>
        <v>0</v>
      </c>
      <c r="DA794" s="1464"/>
      <c r="DB794" s="1464"/>
      <c r="DC794" s="1464"/>
      <c r="DD794" s="1465"/>
      <c r="DE794" s="1463">
        <f t="shared" si="43"/>
        <v>0</v>
      </c>
      <c r="DF794" s="1464"/>
      <c r="DG794" s="1464"/>
      <c r="DH794" s="1464"/>
      <c r="DI794" s="1465"/>
      <c r="DJ794" s="1463">
        <f t="shared" si="44"/>
        <v>0</v>
      </c>
      <c r="DK794" s="1464"/>
      <c r="DL794" s="1464"/>
      <c r="DM794" s="1464"/>
      <c r="DN794" s="1465"/>
      <c r="DO794" s="1463">
        <f t="shared" si="45"/>
        <v>0</v>
      </c>
      <c r="DP794" s="1464"/>
      <c r="DQ794" s="1464"/>
      <c r="DR794" s="1464"/>
      <c r="DS794" s="1465"/>
      <c r="DT794" s="6"/>
      <c r="DU794" s="1463">
        <f t="shared" si="46"/>
        <v>0</v>
      </c>
      <c r="DV794" s="1464"/>
      <c r="DW794" s="1464"/>
      <c r="DX794" s="1464"/>
      <c r="DY794" s="1465"/>
      <c r="DZ794" s="1463">
        <f t="shared" si="47"/>
        <v>0</v>
      </c>
      <c r="EA794" s="1464"/>
      <c r="EB794" s="1464"/>
      <c r="EC794" s="1464"/>
      <c r="ED794" s="1465"/>
      <c r="EE794" s="1463">
        <f t="shared" si="48"/>
        <v>0</v>
      </c>
      <c r="EF794" s="1464"/>
      <c r="EG794" s="1464"/>
      <c r="EH794" s="1464"/>
      <c r="EI794" s="1465"/>
      <c r="EJ794" s="1463">
        <f t="shared" si="49"/>
        <v>0</v>
      </c>
      <c r="EK794" s="1464"/>
      <c r="EL794" s="1464"/>
      <c r="EM794" s="1464"/>
      <c r="EN794" s="1465"/>
      <c r="EO794" s="1463">
        <f t="shared" si="50"/>
        <v>0</v>
      </c>
      <c r="EP794" s="1464"/>
      <c r="EQ794" s="1464"/>
      <c r="ER794" s="1464"/>
      <c r="ES794" s="1465"/>
      <c r="ET794" s="1463">
        <f t="shared" si="51"/>
        <v>0</v>
      </c>
      <c r="EU794" s="1464"/>
      <c r="EV794" s="1464"/>
      <c r="EW794" s="1464"/>
      <c r="EX794" s="1465"/>
    </row>
    <row r="795" spans="1:154" s="14" customFormat="1" ht="12.95" customHeight="1">
      <c r="A795"/>
      <c r="B795"/>
      <c r="C795"/>
      <c r="D795"/>
      <c r="E795"/>
      <c r="F795"/>
      <c r="G795"/>
      <c r="H795"/>
      <c r="I795"/>
      <c r="J795" s="1342"/>
      <c r="K795" s="1343"/>
      <c r="L795" s="1343"/>
      <c r="M795" s="1343"/>
      <c r="N795" s="1344"/>
      <c r="O795" s="1597"/>
      <c r="P795" s="1597"/>
      <c r="Q795" s="1597"/>
      <c r="R795" s="1597"/>
      <c r="S795" s="1597"/>
      <c r="T795" s="1355"/>
      <c r="U795" s="1356"/>
      <c r="V795" s="1356"/>
      <c r="W795" s="1357"/>
      <c r="X795" s="1358"/>
      <c r="Y795" s="1359"/>
      <c r="Z795" s="1359"/>
      <c r="AA795" s="1359"/>
      <c r="AB795" s="1360"/>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3">
        <f t="shared" si="40"/>
        <v>0</v>
      </c>
      <c r="CQ795" s="1464"/>
      <c r="CR795" s="1464"/>
      <c r="CS795" s="1464"/>
      <c r="CT795" s="1465"/>
      <c r="CU795" s="1463">
        <f t="shared" si="41"/>
        <v>0</v>
      </c>
      <c r="CV795" s="1464"/>
      <c r="CW795" s="1464"/>
      <c r="CX795" s="1464"/>
      <c r="CY795" s="1465"/>
      <c r="CZ795" s="1463">
        <f t="shared" si="42"/>
        <v>0</v>
      </c>
      <c r="DA795" s="1464"/>
      <c r="DB795" s="1464"/>
      <c r="DC795" s="1464"/>
      <c r="DD795" s="1465"/>
      <c r="DE795" s="1463">
        <f t="shared" si="43"/>
        <v>0</v>
      </c>
      <c r="DF795" s="1464"/>
      <c r="DG795" s="1464"/>
      <c r="DH795" s="1464"/>
      <c r="DI795" s="1465"/>
      <c r="DJ795" s="1463">
        <f t="shared" si="44"/>
        <v>0</v>
      </c>
      <c r="DK795" s="1464"/>
      <c r="DL795" s="1464"/>
      <c r="DM795" s="1464"/>
      <c r="DN795" s="1465"/>
      <c r="DO795" s="1463">
        <f t="shared" si="45"/>
        <v>0</v>
      </c>
      <c r="DP795" s="1464"/>
      <c r="DQ795" s="1464"/>
      <c r="DR795" s="1464"/>
      <c r="DS795" s="1465"/>
      <c r="DT795" s="6"/>
      <c r="DU795" s="1463">
        <f t="shared" si="46"/>
        <v>0</v>
      </c>
      <c r="DV795" s="1464"/>
      <c r="DW795" s="1464"/>
      <c r="DX795" s="1464"/>
      <c r="DY795" s="1465"/>
      <c r="DZ795" s="1463">
        <f t="shared" si="47"/>
        <v>0</v>
      </c>
      <c r="EA795" s="1464"/>
      <c r="EB795" s="1464"/>
      <c r="EC795" s="1464"/>
      <c r="ED795" s="1465"/>
      <c r="EE795" s="1463">
        <f t="shared" si="48"/>
        <v>0</v>
      </c>
      <c r="EF795" s="1464"/>
      <c r="EG795" s="1464"/>
      <c r="EH795" s="1464"/>
      <c r="EI795" s="1465"/>
      <c r="EJ795" s="1463">
        <f t="shared" si="49"/>
        <v>0</v>
      </c>
      <c r="EK795" s="1464"/>
      <c r="EL795" s="1464"/>
      <c r="EM795" s="1464"/>
      <c r="EN795" s="1465"/>
      <c r="EO795" s="1463">
        <f t="shared" si="50"/>
        <v>0</v>
      </c>
      <c r="EP795" s="1464"/>
      <c r="EQ795" s="1464"/>
      <c r="ER795" s="1464"/>
      <c r="ES795" s="1465"/>
      <c r="ET795" s="1463">
        <f t="shared" si="51"/>
        <v>0</v>
      </c>
      <c r="EU795" s="1464"/>
      <c r="EV795" s="1464"/>
      <c r="EW795" s="1464"/>
      <c r="EX795" s="1465"/>
    </row>
    <row r="796" spans="1:154" s="4" customFormat="1" ht="12.95" customHeight="1">
      <c r="A796"/>
      <c r="B796"/>
      <c r="C796"/>
      <c r="D796"/>
      <c r="E796"/>
      <c r="F796"/>
      <c r="G796"/>
      <c r="H796"/>
      <c r="I796"/>
      <c r="J796" s="1342"/>
      <c r="K796" s="1343"/>
      <c r="L796" s="1343"/>
      <c r="M796" s="1343"/>
      <c r="N796" s="1344"/>
      <c r="O796" s="1597"/>
      <c r="P796" s="1597"/>
      <c r="Q796" s="1597"/>
      <c r="R796" s="1597"/>
      <c r="S796" s="1597"/>
      <c r="T796" s="1355"/>
      <c r="U796" s="1356"/>
      <c r="V796" s="1356"/>
      <c r="W796" s="1357"/>
      <c r="X796" s="1358"/>
      <c r="Y796" s="1359"/>
      <c r="Z796" s="1359"/>
      <c r="AA796" s="1359"/>
      <c r="AB796" s="1360"/>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63">
        <f t="shared" si="40"/>
        <v>0</v>
      </c>
      <c r="CQ796" s="1464"/>
      <c r="CR796" s="1464"/>
      <c r="CS796" s="1464"/>
      <c r="CT796" s="1465"/>
      <c r="CU796" s="1463">
        <f t="shared" si="41"/>
        <v>0</v>
      </c>
      <c r="CV796" s="1464"/>
      <c r="CW796" s="1464"/>
      <c r="CX796" s="1464"/>
      <c r="CY796" s="1465"/>
      <c r="CZ796" s="1463">
        <f t="shared" si="42"/>
        <v>0</v>
      </c>
      <c r="DA796" s="1464"/>
      <c r="DB796" s="1464"/>
      <c r="DC796" s="1464"/>
      <c r="DD796" s="1465"/>
      <c r="DE796" s="1463">
        <f t="shared" si="43"/>
        <v>0</v>
      </c>
      <c r="DF796" s="1464"/>
      <c r="DG796" s="1464"/>
      <c r="DH796" s="1464"/>
      <c r="DI796" s="1465"/>
      <c r="DJ796" s="1463">
        <f t="shared" si="44"/>
        <v>0</v>
      </c>
      <c r="DK796" s="1464"/>
      <c r="DL796" s="1464"/>
      <c r="DM796" s="1464"/>
      <c r="DN796" s="1465"/>
      <c r="DO796" s="1463">
        <f t="shared" si="45"/>
        <v>0</v>
      </c>
      <c r="DP796" s="1464"/>
      <c r="DQ796" s="1464"/>
      <c r="DR796" s="1464"/>
      <c r="DS796" s="1465"/>
      <c r="DT796" s="6"/>
      <c r="DU796" s="1463">
        <f t="shared" si="46"/>
        <v>0</v>
      </c>
      <c r="DV796" s="1464"/>
      <c r="DW796" s="1464"/>
      <c r="DX796" s="1464"/>
      <c r="DY796" s="1465"/>
      <c r="DZ796" s="1463">
        <f t="shared" si="47"/>
        <v>0</v>
      </c>
      <c r="EA796" s="1464"/>
      <c r="EB796" s="1464"/>
      <c r="EC796" s="1464"/>
      <c r="ED796" s="1465"/>
      <c r="EE796" s="1463">
        <f t="shared" si="48"/>
        <v>0</v>
      </c>
      <c r="EF796" s="1464"/>
      <c r="EG796" s="1464"/>
      <c r="EH796" s="1464"/>
      <c r="EI796" s="1465"/>
      <c r="EJ796" s="1463">
        <f t="shared" si="49"/>
        <v>0</v>
      </c>
      <c r="EK796" s="1464"/>
      <c r="EL796" s="1464"/>
      <c r="EM796" s="1464"/>
      <c r="EN796" s="1465"/>
      <c r="EO796" s="1463">
        <f t="shared" si="50"/>
        <v>0</v>
      </c>
      <c r="EP796" s="1464"/>
      <c r="EQ796" s="1464"/>
      <c r="ER796" s="1464"/>
      <c r="ES796" s="1465"/>
      <c r="ET796" s="1463">
        <f t="shared" si="51"/>
        <v>0</v>
      </c>
      <c r="EU796" s="1464"/>
      <c r="EV796" s="1464"/>
      <c r="EW796" s="1464"/>
      <c r="EX796" s="1465"/>
    </row>
    <row r="797" spans="1:154" s="4" customFormat="1" ht="12.95" customHeight="1">
      <c r="A797"/>
      <c r="B797"/>
      <c r="C797"/>
      <c r="D797"/>
      <c r="E797"/>
      <c r="F797"/>
      <c r="G797"/>
      <c r="H797"/>
      <c r="I797"/>
      <c r="J797" s="1652" t="s">
        <v>125</v>
      </c>
      <c r="K797" s="1653"/>
      <c r="L797" s="1653"/>
      <c r="M797" s="1653"/>
      <c r="N797" s="1654"/>
      <c r="O797" s="1738">
        <f>SUM(O787:S796)</f>
        <v>0</v>
      </c>
      <c r="P797" s="1738"/>
      <c r="Q797" s="1738"/>
      <c r="R797" s="1738"/>
      <c r="S797" s="1738"/>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35">
        <f>SUM(CP787:CT796)</f>
        <v>0</v>
      </c>
      <c r="CQ797" s="1474"/>
      <c r="CR797" s="1474"/>
      <c r="CS797" s="1474"/>
      <c r="CT797" s="1436"/>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3"/>
      <c r="DU797" s="1435">
        <f>SUM(DU787:DY796)</f>
        <v>0</v>
      </c>
      <c r="DV797" s="1474"/>
      <c r="DW797" s="1474"/>
      <c r="DX797" s="1474"/>
      <c r="DY797" s="1436"/>
      <c r="DZ797" s="1435">
        <f>SUM(DZ787:ED796)</f>
        <v>0</v>
      </c>
      <c r="EA797" s="1474"/>
      <c r="EB797" s="1474"/>
      <c r="EC797" s="1474"/>
      <c r="ED797" s="1436"/>
      <c r="EE797" s="1435">
        <f>SUM(EE787:EI796)</f>
        <v>0</v>
      </c>
      <c r="EF797" s="1474"/>
      <c r="EG797" s="1474"/>
      <c r="EH797" s="1474"/>
      <c r="EI797" s="1436"/>
      <c r="EJ797" s="1435">
        <f>SUM(EJ787:EN796)</f>
        <v>0</v>
      </c>
      <c r="EK797" s="1474"/>
      <c r="EL797" s="1474"/>
      <c r="EM797" s="1474"/>
      <c r="EN797" s="1436"/>
      <c r="EO797" s="1435">
        <f>SUM(EO787:ES796)</f>
        <v>0</v>
      </c>
      <c r="EP797" s="1474"/>
      <c r="EQ797" s="1474"/>
      <c r="ER797" s="1474"/>
      <c r="ES797" s="1436"/>
      <c r="ET797" s="1435">
        <f>SUM(ET787:EX796)</f>
        <v>0</v>
      </c>
      <c r="EU797" s="1474"/>
      <c r="EV797" s="1474"/>
      <c r="EW797" s="1474"/>
      <c r="EX797" s="1436"/>
    </row>
    <row r="798" spans="1:154" s="4" customFormat="1" ht="12.95" customHeight="1">
      <c r="A798"/>
      <c r="B798"/>
      <c r="C798" s="1741" t="str">
        <f>IF(O797&lt;&gt;AG438,"! Total market rate units in the Unit Mix Table above does not match the number of  market rate units on row #"&amp;TEXT(ROW(D438),"#"),"")</f>
        <v/>
      </c>
      <c r="D798" s="1741"/>
      <c r="E798" s="1741"/>
      <c r="F798" s="1741"/>
      <c r="G798" s="1741"/>
      <c r="H798" s="1741"/>
      <c r="I798" s="1741"/>
      <c r="J798" s="1741"/>
      <c r="K798" s="1741"/>
      <c r="L798" s="1741"/>
      <c r="M798" s="1741"/>
      <c r="N798" s="1741"/>
      <c r="O798" s="1741"/>
      <c r="P798" s="1741"/>
      <c r="Q798" s="1741"/>
      <c r="R798" s="1741"/>
      <c r="S798" s="1741"/>
      <c r="T798" s="1741"/>
      <c r="U798" s="1741"/>
      <c r="V798" s="1741"/>
      <c r="W798" s="1741"/>
      <c r="X798" s="1741"/>
      <c r="Y798" s="1741"/>
      <c r="Z798" s="1741"/>
      <c r="AA798" s="1741"/>
      <c r="AB798" s="1741"/>
      <c r="AC798" s="1741"/>
      <c r="AD798" s="1741"/>
      <c r="AE798" s="1741"/>
      <c r="AF798" s="1741"/>
      <c r="AG798" s="1741"/>
      <c r="AH798" s="1741"/>
      <c r="AI798" s="1741"/>
      <c r="AJ798" s="1741"/>
      <c r="AK798" s="1741"/>
      <c r="AL798" s="1741"/>
      <c r="AM798" s="1741"/>
      <c r="AN798" s="174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1"/>
      <c r="D799" s="1741"/>
      <c r="E799" s="1741"/>
      <c r="F799" s="1741"/>
      <c r="G799" s="1741"/>
      <c r="H799" s="1741"/>
      <c r="I799" s="1741"/>
      <c r="J799" s="1741"/>
      <c r="K799" s="1741"/>
      <c r="L799" s="1741"/>
      <c r="M799" s="1741"/>
      <c r="N799" s="1741"/>
      <c r="O799" s="1741"/>
      <c r="P799" s="1741"/>
      <c r="Q799" s="1741"/>
      <c r="R799" s="1741"/>
      <c r="S799" s="1741"/>
      <c r="T799" s="1741"/>
      <c r="U799" s="1741"/>
      <c r="V799" s="1741"/>
      <c r="W799" s="1741"/>
      <c r="X799" s="1741"/>
      <c r="Y799" s="1741"/>
      <c r="Z799" s="1741"/>
      <c r="AA799" s="1741"/>
      <c r="AB799" s="1741"/>
      <c r="AC799" s="1741"/>
      <c r="AD799" s="1741"/>
      <c r="AE799" s="1741"/>
      <c r="AF799" s="1741"/>
      <c r="AG799" s="1741"/>
      <c r="AH799" s="1741"/>
      <c r="AI799" s="1741"/>
      <c r="AJ799" s="1741"/>
      <c r="AK799" s="1741"/>
      <c r="AL799" s="1741"/>
      <c r="AM799" s="1741"/>
      <c r="AN799" s="174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6">
        <f>O753+AC777+AC797</f>
        <v>97613</v>
      </c>
      <c r="Z800" s="1716"/>
      <c r="AA800" s="1716"/>
      <c r="AB800" s="1716"/>
      <c r="AC800" s="171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6">
        <f>(O753+AC777+AC797)*12</f>
        <v>1171356</v>
      </c>
      <c r="Z801" s="1716"/>
      <c r="AA801" s="1716"/>
      <c r="AB801" s="1716"/>
      <c r="AC801" s="171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15</v>
      </c>
      <c r="CQ802" s="1476"/>
      <c r="CR802" s="1476"/>
      <c r="CS802" s="1476"/>
      <c r="CT802" s="1477"/>
      <c r="CU802" s="1475">
        <f>CU753+CU777+CU797</f>
        <v>16</v>
      </c>
      <c r="CV802" s="1476"/>
      <c r="CW802" s="1476"/>
      <c r="CX802" s="1476"/>
      <c r="CY802" s="1477"/>
      <c r="CZ802" s="1475">
        <f>CZ753+CZ777+CZ797</f>
        <v>17</v>
      </c>
      <c r="DA802" s="1476"/>
      <c r="DB802" s="1476"/>
      <c r="DC802" s="1476"/>
      <c r="DD802" s="1477"/>
      <c r="DE802" s="1475">
        <f>DE753+DE777+DE797</f>
        <v>18</v>
      </c>
      <c r="DF802" s="1476"/>
      <c r="DG802" s="1476"/>
      <c r="DH802" s="1476"/>
      <c r="DI802" s="1477"/>
      <c r="DJ802" s="1475">
        <f>DJ753+DJ777+DJ797</f>
        <v>0</v>
      </c>
      <c r="DK802" s="1476"/>
      <c r="DL802" s="1476"/>
      <c r="DM802" s="1476"/>
      <c r="DN802" s="1477"/>
      <c r="DO802" s="1433">
        <f>DO797+DO777+DO753</f>
        <v>0</v>
      </c>
      <c r="DP802" s="1473"/>
      <c r="DQ802" s="1473"/>
      <c r="DR802" s="1473"/>
      <c r="DS802" s="1434"/>
      <c r="DT802" s="3"/>
      <c r="DU802" s="862">
        <f>DU755+DU800</f>
        <v>116</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73">
        <f>8+8+7</f>
        <v>23</v>
      </c>
      <c r="AA806" s="1574"/>
      <c r="AB806" s="1574"/>
      <c r="AC806" s="1574"/>
      <c r="AD806" s="1574"/>
      <c r="AE806" s="157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15">
        <v>20</v>
      </c>
      <c r="AA807" s="1574"/>
      <c r="AB807" s="1574"/>
      <c r="AC807" s="1574"/>
      <c r="AD807" s="1574"/>
      <c r="AE807" s="157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7" t="s">
        <v>591</v>
      </c>
      <c r="AA808" s="1589"/>
      <c r="AB808" s="1589"/>
      <c r="AC808" s="1589"/>
      <c r="AD808" s="1589"/>
      <c r="AE808" s="159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1">
        <f>'Subsidy Contract Calculation'!J40</f>
        <v>594228</v>
      </c>
      <c r="AA809" s="1602"/>
      <c r="AB809" s="1602"/>
      <c r="AC809" s="1602"/>
      <c r="AD809" s="1602"/>
      <c r="AE809" s="16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37">
        <v>7128</v>
      </c>
      <c r="AA813" s="1438"/>
      <c r="AB813" s="1438"/>
      <c r="AC813" s="1438"/>
      <c r="AD813" s="1438"/>
      <c r="AE813" s="14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37"/>
      <c r="AA814" s="1438"/>
      <c r="AB814" s="1438"/>
      <c r="AC814" s="1438"/>
      <c r="AD814" s="1438"/>
      <c r="AE814" s="14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37"/>
      <c r="AA815" s="1438"/>
      <c r="AB815" s="1438"/>
      <c r="AC815" s="1438"/>
      <c r="AD815" s="1438"/>
      <c r="AE815" s="14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2" t="s">
        <v>333</v>
      </c>
      <c r="Q816" s="1583"/>
      <c r="R816" s="1583"/>
      <c r="S816" s="1583"/>
      <c r="T816" s="1583"/>
      <c r="U816" s="1583"/>
      <c r="V816" s="1583"/>
      <c r="W816" s="1583"/>
      <c r="X816" s="1583"/>
      <c r="Y816" s="1584"/>
      <c r="Z816" s="1437"/>
      <c r="AA816" s="1438"/>
      <c r="AB816" s="1438"/>
      <c r="AC816" s="1438"/>
      <c r="AD816" s="1438"/>
      <c r="AE816" s="14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1">
        <f>SUM(Z813:AE816)</f>
        <v>7128</v>
      </c>
      <c r="AA817" s="1602"/>
      <c r="AB817" s="1602"/>
      <c r="AC817" s="1602"/>
      <c r="AD817" s="1602"/>
      <c r="AE817" s="160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01">
        <f>Z817+Y801+Z809</f>
        <v>1772712</v>
      </c>
      <c r="AA818" s="1602"/>
      <c r="AB818" s="1602"/>
      <c r="AC818" s="1602"/>
      <c r="AD818" s="1602"/>
      <c r="AE818" s="160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30" t="s">
        <v>126</v>
      </c>
      <c r="N823" s="1630"/>
      <c r="O823" s="1630"/>
      <c r="P823" s="1740"/>
      <c r="Q823" s="1600" t="s">
        <v>289</v>
      </c>
      <c r="R823" s="1600"/>
      <c r="S823" s="1600"/>
      <c r="T823" s="1600"/>
      <c r="U823" s="1600" t="s">
        <v>290</v>
      </c>
      <c r="V823" s="1600"/>
      <c r="W823" s="1600"/>
      <c r="X823" s="1600"/>
      <c r="Y823" s="1600" t="s">
        <v>291</v>
      </c>
      <c r="Z823" s="1600"/>
      <c r="AA823" s="1600"/>
      <c r="AB823" s="1600"/>
      <c r="AC823" s="1600" t="s">
        <v>360</v>
      </c>
      <c r="AD823" s="1600"/>
      <c r="AE823" s="1600"/>
      <c r="AF823" s="1600"/>
      <c r="AG823" s="1739" t="s">
        <v>334</v>
      </c>
      <c r="AH823" s="1739"/>
      <c r="AI823" s="1739"/>
      <c r="AJ823" s="173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68"/>
      <c r="N824" s="1568"/>
      <c r="O824" s="1568"/>
      <c r="P824" s="1569"/>
      <c r="Q824" s="1600"/>
      <c r="R824" s="1600"/>
      <c r="S824" s="1600"/>
      <c r="T824" s="1600"/>
      <c r="U824" s="1600"/>
      <c r="V824" s="1600"/>
      <c r="W824" s="1600"/>
      <c r="X824" s="1600"/>
      <c r="Y824" s="1600"/>
      <c r="Z824" s="1600"/>
      <c r="AA824" s="1600"/>
      <c r="AB824" s="1600"/>
      <c r="AC824" s="1600"/>
      <c r="AD824" s="1600"/>
      <c r="AE824" s="1600"/>
      <c r="AF824" s="1600"/>
      <c r="AG824" s="1739"/>
      <c r="AH824" s="1739"/>
      <c r="AI824" s="1739"/>
      <c r="AJ824" s="173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42" t="s">
        <v>40</v>
      </c>
      <c r="D825" s="1416"/>
      <c r="E825" s="1416"/>
      <c r="F825" s="1416"/>
      <c r="G825" s="1416"/>
      <c r="H825" s="1416"/>
      <c r="I825" s="48"/>
      <c r="J825" s="48"/>
      <c r="K825" s="48"/>
      <c r="L825" s="49"/>
      <c r="M825" s="1648">
        <v>15</v>
      </c>
      <c r="N825" s="1648"/>
      <c r="O825" s="1648"/>
      <c r="P825" s="1648"/>
      <c r="Q825" s="1648">
        <v>18</v>
      </c>
      <c r="R825" s="1648"/>
      <c r="S825" s="1648"/>
      <c r="T825" s="1648"/>
      <c r="U825" s="1648">
        <v>22</v>
      </c>
      <c r="V825" s="1648"/>
      <c r="W825" s="1648"/>
      <c r="X825" s="1648"/>
      <c r="Y825" s="1648">
        <v>27</v>
      </c>
      <c r="Z825" s="1648"/>
      <c r="AA825" s="1648"/>
      <c r="AB825" s="1648"/>
      <c r="AC825" s="1440"/>
      <c r="AD825" s="1441"/>
      <c r="AE825" s="1441"/>
      <c r="AF825" s="1442"/>
      <c r="AG825" s="1440"/>
      <c r="AH825" s="1441"/>
      <c r="AI825" s="1441"/>
      <c r="AJ825" s="144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17" t="s">
        <v>41</v>
      </c>
      <c r="D826" s="1618"/>
      <c r="E826" s="1618"/>
      <c r="F826" s="1618"/>
      <c r="G826" s="1618"/>
      <c r="H826" s="1618"/>
      <c r="I826" s="5"/>
      <c r="J826" s="5"/>
      <c r="K826" s="5"/>
      <c r="L826" s="46"/>
      <c r="M826" s="1648"/>
      <c r="N826" s="1648"/>
      <c r="O826" s="1648"/>
      <c r="P826" s="1648"/>
      <c r="Q826" s="1648"/>
      <c r="R826" s="1648"/>
      <c r="S826" s="1648"/>
      <c r="T826" s="1648"/>
      <c r="U826" s="1648"/>
      <c r="V826" s="1648"/>
      <c r="W826" s="1648"/>
      <c r="X826" s="1648"/>
      <c r="Y826" s="1648"/>
      <c r="Z826" s="1648"/>
      <c r="AA826" s="1648"/>
      <c r="AB826" s="1648"/>
      <c r="AC826" s="1440"/>
      <c r="AD826" s="1441"/>
      <c r="AE826" s="1441"/>
      <c r="AF826" s="1442"/>
      <c r="AG826" s="1440"/>
      <c r="AH826" s="1441"/>
      <c r="AI826" s="1441"/>
      <c r="AJ826" s="144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17" t="s">
        <v>42</v>
      </c>
      <c r="D827" s="1618"/>
      <c r="E827" s="1618"/>
      <c r="F827" s="1618"/>
      <c r="G827" s="1618"/>
      <c r="H827" s="1618"/>
      <c r="I827" s="60"/>
      <c r="J827" s="60"/>
      <c r="K827" s="60"/>
      <c r="L827" s="61"/>
      <c r="M827" s="1648">
        <v>8</v>
      </c>
      <c r="N827" s="1648"/>
      <c r="O827" s="1648"/>
      <c r="P827" s="1648"/>
      <c r="Q827" s="1648">
        <v>9</v>
      </c>
      <c r="R827" s="1648"/>
      <c r="S827" s="1648"/>
      <c r="T827" s="1648"/>
      <c r="U827" s="1648">
        <v>13</v>
      </c>
      <c r="V827" s="1648"/>
      <c r="W827" s="1648"/>
      <c r="X827" s="1648"/>
      <c r="Y827" s="1648">
        <v>17</v>
      </c>
      <c r="Z827" s="1648"/>
      <c r="AA827" s="1648"/>
      <c r="AB827" s="1648"/>
      <c r="AC827" s="1440"/>
      <c r="AD827" s="1441"/>
      <c r="AE827" s="1441"/>
      <c r="AF827" s="1442"/>
      <c r="AG827" s="1440"/>
      <c r="AH827" s="1441"/>
      <c r="AI827" s="1441"/>
      <c r="AJ827" s="144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17" t="s">
        <v>762</v>
      </c>
      <c r="D828" s="1618"/>
      <c r="E828" s="1618"/>
      <c r="F828" s="1618"/>
      <c r="G828" s="1618"/>
      <c r="H828" s="1618"/>
      <c r="I828" s="60"/>
      <c r="J828" s="60"/>
      <c r="K828" s="60"/>
      <c r="L828" s="61"/>
      <c r="M828" s="1648"/>
      <c r="N828" s="1648"/>
      <c r="O828" s="1648"/>
      <c r="P828" s="1648"/>
      <c r="Q828" s="1648"/>
      <c r="R828" s="1648"/>
      <c r="S828" s="1648"/>
      <c r="T828" s="1648"/>
      <c r="U828" s="1648"/>
      <c r="V828" s="1648"/>
      <c r="W828" s="1648"/>
      <c r="X828" s="1648"/>
      <c r="Y828" s="1648"/>
      <c r="Z828" s="1648"/>
      <c r="AA828" s="1648"/>
      <c r="AB828" s="1648"/>
      <c r="AC828" s="1440"/>
      <c r="AD828" s="1441"/>
      <c r="AE828" s="1441"/>
      <c r="AF828" s="1442"/>
      <c r="AG828" s="1440"/>
      <c r="AH828" s="1441"/>
      <c r="AI828" s="1441"/>
      <c r="AJ828" s="144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17" t="s">
        <v>459</v>
      </c>
      <c r="D829" s="1618"/>
      <c r="E829" s="1618"/>
      <c r="F829" s="1618"/>
      <c r="G829" s="1618"/>
      <c r="H829" s="1618"/>
      <c r="I829" s="60"/>
      <c r="J829" s="60"/>
      <c r="K829" s="60"/>
      <c r="L829" s="61"/>
      <c r="M829" s="1648">
        <v>27</v>
      </c>
      <c r="N829" s="1648"/>
      <c r="O829" s="1648"/>
      <c r="P829" s="1648"/>
      <c r="Q829" s="1648">
        <v>32</v>
      </c>
      <c r="R829" s="1648"/>
      <c r="S829" s="1648"/>
      <c r="T829" s="1648"/>
      <c r="U829" s="1648">
        <v>45</v>
      </c>
      <c r="V829" s="1648"/>
      <c r="W829" s="1648"/>
      <c r="X829" s="1648"/>
      <c r="Y829" s="1648">
        <v>59</v>
      </c>
      <c r="Z829" s="1648"/>
      <c r="AA829" s="1648"/>
      <c r="AB829" s="1648"/>
      <c r="AC829" s="1440"/>
      <c r="AD829" s="1441"/>
      <c r="AE829" s="1441"/>
      <c r="AF829" s="1442"/>
      <c r="AG829" s="1440"/>
      <c r="AH829" s="1441"/>
      <c r="AI829" s="1441"/>
      <c r="AJ829" s="144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7" t="s">
        <v>783</v>
      </c>
      <c r="D830" s="1618"/>
      <c r="E830" s="1618"/>
      <c r="F830" s="1618"/>
      <c r="G830" s="1618"/>
      <c r="H830" s="1618"/>
      <c r="I830" s="60"/>
      <c r="J830" s="60"/>
      <c r="K830" s="60"/>
      <c r="L830" s="61"/>
      <c r="M830" s="1648"/>
      <c r="N830" s="1648"/>
      <c r="O830" s="1648"/>
      <c r="P830" s="1648"/>
      <c r="Q830" s="1648"/>
      <c r="R830" s="1648"/>
      <c r="S830" s="1648"/>
      <c r="T830" s="1648"/>
      <c r="U830" s="1648"/>
      <c r="V830" s="1648"/>
      <c r="W830" s="1648"/>
      <c r="X830" s="1648"/>
      <c r="Y830" s="1648"/>
      <c r="Z830" s="1648"/>
      <c r="AA830" s="1648"/>
      <c r="AB830" s="1648"/>
      <c r="AC830" s="1440"/>
      <c r="AD830" s="1441"/>
      <c r="AE830" s="1441"/>
      <c r="AF830" s="1442"/>
      <c r="AG830" s="1440"/>
      <c r="AH830" s="1441"/>
      <c r="AI830" s="1441"/>
      <c r="AJ830" s="144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82" t="s">
        <v>333</v>
      </c>
      <c r="G831" s="1583"/>
      <c r="H831" s="1583"/>
      <c r="I831" s="1583"/>
      <c r="J831" s="1583"/>
      <c r="K831" s="1583"/>
      <c r="L831" s="1583"/>
      <c r="M831" s="1648"/>
      <c r="N831" s="1648"/>
      <c r="O831" s="1648"/>
      <c r="P831" s="1648"/>
      <c r="Q831" s="1648"/>
      <c r="R831" s="1648"/>
      <c r="S831" s="1648"/>
      <c r="T831" s="1648"/>
      <c r="U831" s="1648"/>
      <c r="V831" s="1648"/>
      <c r="W831" s="1648"/>
      <c r="X831" s="1648"/>
      <c r="Y831" s="1648"/>
      <c r="Z831" s="1648"/>
      <c r="AA831" s="1648"/>
      <c r="AB831" s="1648"/>
      <c r="AC831" s="1440"/>
      <c r="AD831" s="1441"/>
      <c r="AE831" s="1441"/>
      <c r="AF831" s="1442"/>
      <c r="AG831" s="1440"/>
      <c r="AH831" s="1441"/>
      <c r="AI831" s="1441"/>
      <c r="AJ831" s="144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52" t="s">
        <v>124</v>
      </c>
      <c r="D832" s="1653"/>
      <c r="E832" s="1653"/>
      <c r="F832" s="1653"/>
      <c r="G832" s="1653"/>
      <c r="H832" s="1653"/>
      <c r="I832" s="1653"/>
      <c r="J832" s="1653"/>
      <c r="K832" s="1653"/>
      <c r="L832" s="1654"/>
      <c r="M832" s="1626">
        <f>SUM(M825:P831)</f>
        <v>50</v>
      </c>
      <c r="N832" s="1626"/>
      <c r="O832" s="1626"/>
      <c r="P832" s="1626"/>
      <c r="Q832" s="1626">
        <f>SUM(Q825:T831)</f>
        <v>59</v>
      </c>
      <c r="R832" s="1626"/>
      <c r="S832" s="1626"/>
      <c r="T832" s="1626"/>
      <c r="U832" s="1626">
        <f>SUM(U825:X831)</f>
        <v>80</v>
      </c>
      <c r="V832" s="1626"/>
      <c r="W832" s="1626"/>
      <c r="X832" s="1626"/>
      <c r="Y832" s="1626">
        <f>SUM(Y825:AB831)</f>
        <v>103</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34" t="s">
        <v>2699</v>
      </c>
      <c r="D837" s="1735"/>
      <c r="E837" s="1735"/>
      <c r="F837" s="1735"/>
      <c r="G837" s="1735"/>
      <c r="H837" s="1735"/>
      <c r="I837" s="1735"/>
      <c r="J837" s="1735"/>
      <c r="K837" s="1735"/>
      <c r="L837" s="1735"/>
      <c r="M837" s="1735"/>
      <c r="N837" s="1735"/>
      <c r="O837" s="1735"/>
      <c r="P837" s="1735"/>
      <c r="Q837" s="1735"/>
      <c r="R837" s="1735"/>
      <c r="S837" s="1735"/>
      <c r="T837" s="1735"/>
      <c r="U837" s="1735"/>
      <c r="V837" s="1735"/>
      <c r="W837" s="1735"/>
      <c r="X837" s="1735"/>
      <c r="Y837" s="1735"/>
      <c r="Z837" s="1735"/>
      <c r="AA837" s="1735"/>
      <c r="AB837" s="1735"/>
      <c r="AC837" s="1735"/>
      <c r="AD837" s="1735"/>
      <c r="AE837" s="1735"/>
      <c r="AF837" s="1735"/>
      <c r="AG837" s="1735"/>
      <c r="AH837" s="1735"/>
      <c r="AI837" s="1735"/>
      <c r="AJ837" s="173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25">
        <v>1200</v>
      </c>
      <c r="X842" s="1425"/>
      <c r="Y842" s="1425"/>
      <c r="Z842" s="1425"/>
      <c r="AA842" s="1425"/>
      <c r="AB842" s="1425"/>
      <c r="AC842" s="142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25">
        <v>2800</v>
      </c>
      <c r="X843" s="1425"/>
      <c r="Y843" s="1425"/>
      <c r="Z843" s="1425"/>
      <c r="AA843" s="1425"/>
      <c r="AB843" s="1425"/>
      <c r="AC843" s="142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25">
        <v>21796</v>
      </c>
      <c r="X844" s="1425"/>
      <c r="Y844" s="1425"/>
      <c r="Z844" s="1425"/>
      <c r="AA844" s="1425"/>
      <c r="AB844" s="1425"/>
      <c r="AC844" s="1425"/>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25">
        <v>14560</v>
      </c>
      <c r="X845" s="1425"/>
      <c r="Y845" s="1425"/>
      <c r="Z845" s="1425"/>
      <c r="AA845" s="1425"/>
      <c r="AB845" s="1425"/>
      <c r="AC845" s="1425"/>
      <c r="AZ845" s="30"/>
      <c r="BA845" s="30"/>
      <c r="BB845" s="14"/>
      <c r="BC845" s="14"/>
      <c r="BD845" s="14"/>
      <c r="BE845" s="14"/>
      <c r="BF845" s="14"/>
      <c r="BG845" s="14"/>
      <c r="BH845" s="14"/>
      <c r="BI845" s="14"/>
      <c r="BJ845" s="14"/>
      <c r="BK845" s="14"/>
      <c r="BL845" s="14"/>
    </row>
    <row r="846" spans="1:64" ht="12.95" customHeight="1">
      <c r="J846" s="45" t="s">
        <v>169</v>
      </c>
      <c r="K846" s="5"/>
      <c r="L846" s="5"/>
      <c r="M846" s="1582" t="s">
        <v>2700</v>
      </c>
      <c r="N846" s="1583"/>
      <c r="O846" s="1583"/>
      <c r="P846" s="1583"/>
      <c r="Q846" s="1583"/>
      <c r="R846" s="1583"/>
      <c r="S846" s="1583"/>
      <c r="T846" s="1583"/>
      <c r="U846" s="1583"/>
      <c r="V846" s="1584"/>
      <c r="W846" s="1425">
        <v>50882</v>
      </c>
      <c r="X846" s="1425"/>
      <c r="Y846" s="1425"/>
      <c r="Z846" s="1425"/>
      <c r="AA846" s="1425"/>
      <c r="AB846" s="1425"/>
      <c r="AC846" s="142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01">
        <f>SUM(W842:AC846)</f>
        <v>91238</v>
      </c>
      <c r="X847" s="1602"/>
      <c r="Y847" s="1602"/>
      <c r="Z847" s="1602"/>
      <c r="AA847" s="1602"/>
      <c r="AB847" s="1602"/>
      <c r="AC847" s="160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0"/>
      <c r="BH848" s="1640"/>
      <c r="BI848" s="1640"/>
      <c r="BJ848" s="1640"/>
      <c r="BK848" s="1640"/>
      <c r="BL848" s="1640"/>
    </row>
    <row r="849" spans="3:55" ht="12.95" customHeight="1">
      <c r="C849" s="2" t="s">
        <v>343</v>
      </c>
      <c r="J849" s="1652" t="s">
        <v>344</v>
      </c>
      <c r="K849" s="1653"/>
      <c r="L849" s="1653"/>
      <c r="M849" s="1653"/>
      <c r="N849" s="1653"/>
      <c r="O849" s="1653"/>
      <c r="P849" s="1653"/>
      <c r="Q849" s="1653"/>
      <c r="R849" s="1653"/>
      <c r="S849" s="1653"/>
      <c r="T849" s="1653"/>
      <c r="U849" s="1653"/>
      <c r="V849" s="1654"/>
      <c r="W849" s="1437">
        <v>59400</v>
      </c>
      <c r="X849" s="1438"/>
      <c r="Y849" s="1438"/>
      <c r="Z849" s="1438"/>
      <c r="AA849" s="1438"/>
      <c r="AB849" s="1438"/>
      <c r="AC849" s="1439"/>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7">
        <v>0</v>
      </c>
      <c r="X851" s="1657"/>
      <c r="Y851" s="1657"/>
      <c r="Z851" s="1657"/>
      <c r="AA851" s="1657"/>
      <c r="AB851" s="1657"/>
      <c r="AC851" s="1657"/>
      <c r="AZ851" s="1729"/>
      <c r="BA851" s="1729"/>
      <c r="BB851" s="14"/>
      <c r="BC851" s="14"/>
    </row>
    <row r="852" spans="3:55" ht="12.95" customHeight="1">
      <c r="J852" s="45" t="s">
        <v>350</v>
      </c>
      <c r="K852" s="5"/>
      <c r="L852" s="5"/>
      <c r="M852" s="5"/>
      <c r="N852" s="5"/>
      <c r="O852" s="5"/>
      <c r="P852" s="5"/>
      <c r="Q852" s="5"/>
      <c r="R852" s="5"/>
      <c r="S852" s="5"/>
      <c r="T852" s="5"/>
      <c r="U852" s="5"/>
      <c r="V852" s="46"/>
      <c r="W852" s="1657">
        <v>0</v>
      </c>
      <c r="X852" s="1657"/>
      <c r="Y852" s="1657"/>
      <c r="Z852" s="1657"/>
      <c r="AA852" s="1657"/>
      <c r="AB852" s="1657"/>
      <c r="AC852" s="1657"/>
      <c r="AZ852" s="30"/>
      <c r="BA852" s="30"/>
      <c r="BB852" s="14"/>
      <c r="BC852" s="14"/>
    </row>
    <row r="853" spans="3:55" ht="12.95" customHeight="1">
      <c r="J853" s="45" t="s">
        <v>459</v>
      </c>
      <c r="K853" s="5"/>
      <c r="L853" s="5"/>
      <c r="M853" s="5"/>
      <c r="N853" s="5"/>
      <c r="O853" s="5"/>
      <c r="P853" s="5"/>
      <c r="Q853" s="5"/>
      <c r="R853" s="5"/>
      <c r="S853" s="5"/>
      <c r="T853" s="5"/>
      <c r="U853" s="5"/>
      <c r="V853" s="46"/>
      <c r="W853" s="1657">
        <v>13800</v>
      </c>
      <c r="X853" s="1657"/>
      <c r="Y853" s="1657"/>
      <c r="Z853" s="1657"/>
      <c r="AA853" s="1657"/>
      <c r="AB853" s="1657"/>
      <c r="AC853" s="1657"/>
      <c r="AZ853" s="30"/>
      <c r="BA853" s="30"/>
      <c r="BB853" s="14"/>
      <c r="BC853" s="14"/>
    </row>
    <row r="854" spans="3:55" ht="12.95" customHeight="1">
      <c r="J854" s="62" t="s">
        <v>620</v>
      </c>
      <c r="K854" s="5"/>
      <c r="L854" s="5"/>
      <c r="M854" s="5"/>
      <c r="N854" s="5"/>
      <c r="O854" s="5"/>
      <c r="P854" s="5"/>
      <c r="Q854" s="5"/>
      <c r="R854" s="5"/>
      <c r="S854" s="5"/>
      <c r="T854" s="5"/>
      <c r="U854" s="5"/>
      <c r="V854" s="46"/>
      <c r="W854" s="1657">
        <v>81719</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271</v>
      </c>
      <c r="W855" s="1733">
        <f>SUM(W851:AC854)</f>
        <v>95519</v>
      </c>
      <c r="X855" s="1733"/>
      <c r="Y855" s="1733"/>
      <c r="Z855" s="1733"/>
      <c r="AA855" s="1733"/>
      <c r="AB855" s="1733"/>
      <c r="AC855" s="173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0">
        <v>65472</v>
      </c>
      <c r="X857" s="1621"/>
      <c r="Y857" s="1621"/>
      <c r="Z857" s="1621"/>
      <c r="AA857" s="1621"/>
      <c r="AB857" s="1621"/>
      <c r="AC857" s="1622"/>
      <c r="AD857" s="529"/>
      <c r="AZ857" s="34"/>
      <c r="BA857" s="34"/>
      <c r="BB857" s="34"/>
      <c r="BC857" s="34"/>
    </row>
    <row r="858" spans="3:55" ht="12.95" customHeight="1">
      <c r="C858" s="2" t="s">
        <v>346</v>
      </c>
      <c r="J858" s="121" t="s">
        <v>1655</v>
      </c>
      <c r="K858" s="5"/>
      <c r="L858" s="5"/>
      <c r="M858" s="5"/>
      <c r="N858" s="5"/>
      <c r="O858" s="5"/>
      <c r="P858" s="5"/>
      <c r="Q858" s="5"/>
      <c r="R858" s="5"/>
      <c r="S858" s="5"/>
      <c r="T858" s="1717">
        <v>1</v>
      </c>
      <c r="U858" s="1704"/>
      <c r="V858" s="1718"/>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20">
        <v>54560</v>
      </c>
      <c r="X859" s="1621"/>
      <c r="Y859" s="1621"/>
      <c r="Z859" s="1621"/>
      <c r="AA859" s="1621"/>
      <c r="AB859" s="1621"/>
      <c r="AC859" s="1622"/>
      <c r="AD859" s="534"/>
      <c r="AZ859" s="34"/>
      <c r="BA859" s="34"/>
      <c r="BB859" s="34"/>
      <c r="BC859" s="34"/>
    </row>
    <row r="860" spans="3:55" ht="12.95" customHeight="1">
      <c r="C860" s="2"/>
      <c r="J860" s="121" t="s">
        <v>1656</v>
      </c>
      <c r="K860" s="5"/>
      <c r="L860" s="5"/>
      <c r="M860" s="5"/>
      <c r="N860" s="5"/>
      <c r="O860" s="5"/>
      <c r="P860" s="5"/>
      <c r="Q860" s="5"/>
      <c r="R860" s="5"/>
      <c r="S860" s="5"/>
      <c r="T860" s="1717">
        <v>1</v>
      </c>
      <c r="U860" s="1704"/>
      <c r="V860" s="1718"/>
      <c r="W860" s="875"/>
      <c r="X860" s="876"/>
      <c r="Y860" s="876"/>
      <c r="Z860" s="876"/>
      <c r="AA860" s="876"/>
      <c r="AB860" s="876"/>
      <c r="AC860" s="877"/>
      <c r="AD860" s="534"/>
      <c r="AZ860" s="34"/>
      <c r="BA860" s="34"/>
      <c r="BB860" s="34"/>
      <c r="BC860" s="34"/>
    </row>
    <row r="861" spans="3:55" ht="12.95" customHeight="1">
      <c r="J861" s="45" t="s">
        <v>169</v>
      </c>
      <c r="K861" s="5"/>
      <c r="L861" s="5"/>
      <c r="M861" s="1582" t="s">
        <v>2721</v>
      </c>
      <c r="N861" s="1583"/>
      <c r="O861" s="1583"/>
      <c r="P861" s="1583"/>
      <c r="Q861" s="1583"/>
      <c r="R861" s="1583"/>
      <c r="S861" s="1583"/>
      <c r="T861" s="1583"/>
      <c r="U861" s="1583"/>
      <c r="V861" s="1584"/>
      <c r="W861" s="1620">
        <f>37306+40144</f>
        <v>77450</v>
      </c>
      <c r="X861" s="1621"/>
      <c r="Y861" s="1621"/>
      <c r="Z861" s="1621"/>
      <c r="AA861" s="1621"/>
      <c r="AB861" s="1621"/>
      <c r="AC861" s="1622"/>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719">
        <f>SUM(W857:AC861)</f>
        <v>197482</v>
      </c>
      <c r="X862" s="1720"/>
      <c r="Y862" s="1720"/>
      <c r="Z862" s="1720"/>
      <c r="AA862" s="1720"/>
      <c r="AB862" s="1720"/>
      <c r="AC862" s="1721"/>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20">
        <v>64581</v>
      </c>
      <c r="X863" s="1621"/>
      <c r="Y863" s="1621"/>
      <c r="Z863" s="1621"/>
      <c r="AA863" s="1621"/>
      <c r="AB863" s="1621"/>
      <c r="AC863" s="1622"/>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25">
        <v>5000</v>
      </c>
      <c r="X865" s="1425"/>
      <c r="Y865" s="1425"/>
      <c r="Z865" s="1425"/>
      <c r="AA865" s="1425"/>
      <c r="AB865" s="1425"/>
      <c r="AC865" s="1425"/>
      <c r="AU865" s="14"/>
      <c r="AZ865" s="34"/>
      <c r="BA865" s="34"/>
      <c r="BB865" s="34"/>
      <c r="BC865" s="34"/>
    </row>
    <row r="866" spans="3:55" ht="12.95" customHeight="1">
      <c r="J866" s="45" t="s">
        <v>522</v>
      </c>
      <c r="K866" s="5"/>
      <c r="L866" s="5"/>
      <c r="M866" s="5"/>
      <c r="N866" s="5"/>
      <c r="O866" s="5"/>
      <c r="P866" s="5"/>
      <c r="Q866" s="5"/>
      <c r="R866" s="5"/>
      <c r="S866" s="5"/>
      <c r="T866" s="5"/>
      <c r="U866" s="5"/>
      <c r="V866" s="46"/>
      <c r="W866" s="1425">
        <v>31100</v>
      </c>
      <c r="X866" s="1425"/>
      <c r="Y866" s="1425"/>
      <c r="Z866" s="1425"/>
      <c r="AA866" s="1425"/>
      <c r="AB866" s="1425"/>
      <c r="AC866" s="1425"/>
      <c r="AU866" s="4"/>
      <c r="AZ866" s="34"/>
      <c r="BA866" s="34"/>
      <c r="BB866" s="34"/>
      <c r="BC866" s="34"/>
    </row>
    <row r="867" spans="3:55" ht="12.95" customHeight="1">
      <c r="J867" s="45" t="s">
        <v>521</v>
      </c>
      <c r="K867" s="5"/>
      <c r="L867" s="5"/>
      <c r="M867" s="5"/>
      <c r="N867" s="5"/>
      <c r="O867" s="5"/>
      <c r="P867" s="5"/>
      <c r="Q867" s="5"/>
      <c r="R867" s="5"/>
      <c r="S867" s="5"/>
      <c r="T867" s="5"/>
      <c r="U867" s="5"/>
      <c r="V867" s="46"/>
      <c r="W867" s="1425">
        <v>54800</v>
      </c>
      <c r="X867" s="1425"/>
      <c r="Y867" s="1425"/>
      <c r="Z867" s="1425"/>
      <c r="AA867" s="1425"/>
      <c r="AB867" s="1425"/>
      <c r="AC867" s="1425"/>
      <c r="AU867" s="4"/>
      <c r="AZ867" s="34"/>
      <c r="BA867" s="34"/>
      <c r="BB867" s="34"/>
      <c r="BC867" s="34"/>
    </row>
    <row r="868" spans="3:55" ht="12.95" customHeight="1">
      <c r="J868" s="45" t="s">
        <v>520</v>
      </c>
      <c r="K868" s="5"/>
      <c r="L868" s="5"/>
      <c r="M868" s="5"/>
      <c r="N868" s="5"/>
      <c r="O868" s="5"/>
      <c r="P868" s="5"/>
      <c r="Q868" s="5"/>
      <c r="R868" s="5"/>
      <c r="S868" s="5"/>
      <c r="T868" s="5"/>
      <c r="U868" s="5"/>
      <c r="V868" s="46"/>
      <c r="W868" s="1425">
        <v>3300</v>
      </c>
      <c r="X868" s="1425"/>
      <c r="Y868" s="1425"/>
      <c r="Z868" s="1425"/>
      <c r="AA868" s="1425"/>
      <c r="AB868" s="1425"/>
      <c r="AC868" s="1425"/>
      <c r="AU868" s="4"/>
      <c r="AZ868" s="34"/>
      <c r="BA868" s="34"/>
      <c r="BB868" s="34"/>
      <c r="BC868" s="34"/>
    </row>
    <row r="869" spans="3:55" ht="12.95" customHeight="1">
      <c r="J869" s="45" t="s">
        <v>519</v>
      </c>
      <c r="K869" s="5"/>
      <c r="L869" s="5"/>
      <c r="M869" s="5"/>
      <c r="N869" s="5"/>
      <c r="O869" s="5"/>
      <c r="P869" s="5"/>
      <c r="Q869" s="5"/>
      <c r="R869" s="5"/>
      <c r="S869" s="5"/>
      <c r="T869" s="5"/>
      <c r="U869" s="5"/>
      <c r="V869" s="46"/>
      <c r="W869" s="1425">
        <v>19500</v>
      </c>
      <c r="X869" s="1425"/>
      <c r="Y869" s="1425"/>
      <c r="Z869" s="1425"/>
      <c r="AA869" s="1425"/>
      <c r="AB869" s="1425"/>
      <c r="AC869" s="1425"/>
      <c r="AU869" s="4"/>
      <c r="AZ869" s="34"/>
      <c r="BA869" s="34"/>
      <c r="BB869" s="34"/>
      <c r="BC869" s="34"/>
    </row>
    <row r="870" spans="3:55" ht="12.95" customHeight="1">
      <c r="J870" s="45" t="s">
        <v>518</v>
      </c>
      <c r="K870" s="5"/>
      <c r="L870" s="5"/>
      <c r="M870" s="5"/>
      <c r="N870" s="5"/>
      <c r="O870" s="5"/>
      <c r="P870" s="5"/>
      <c r="Q870" s="5"/>
      <c r="R870" s="5"/>
      <c r="S870" s="5"/>
      <c r="T870" s="5"/>
      <c r="U870" s="5"/>
      <c r="V870" s="46"/>
      <c r="W870" s="1425">
        <v>21400</v>
      </c>
      <c r="X870" s="1425"/>
      <c r="Y870" s="1425"/>
      <c r="Z870" s="1425"/>
      <c r="AA870" s="1425"/>
      <c r="AB870" s="1425"/>
      <c r="AC870" s="1425"/>
      <c r="AU870" s="4"/>
      <c r="AZ870" s="34"/>
      <c r="BA870" s="34"/>
      <c r="BB870" s="34"/>
      <c r="BC870" s="34"/>
    </row>
    <row r="871" spans="3:55" ht="12.95" customHeight="1">
      <c r="J871" s="45" t="s">
        <v>169</v>
      </c>
      <c r="K871" s="5"/>
      <c r="L871" s="5"/>
      <c r="M871" s="1582" t="s">
        <v>333</v>
      </c>
      <c r="N871" s="1583"/>
      <c r="O871" s="1583"/>
      <c r="P871" s="1583"/>
      <c r="Q871" s="1583"/>
      <c r="R871" s="1583"/>
      <c r="S871" s="1583"/>
      <c r="T871" s="1583"/>
      <c r="U871" s="1583"/>
      <c r="V871" s="1584"/>
      <c r="W871" s="1425"/>
      <c r="X871" s="1425"/>
      <c r="Y871" s="1425"/>
      <c r="Z871" s="1425"/>
      <c r="AA871" s="1425"/>
      <c r="AB871" s="1425"/>
      <c r="AC871" s="1425"/>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16">
        <f>SUM(W865:AC871)</f>
        <v>135100</v>
      </c>
      <c r="X872" s="1716"/>
      <c r="Y872" s="1716"/>
      <c r="Z872" s="1716"/>
      <c r="AA872" s="1716"/>
      <c r="AB872" s="1716"/>
      <c r="AC872" s="171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82" t="s">
        <v>2701</v>
      </c>
      <c r="N874" s="1583"/>
      <c r="O874" s="1583"/>
      <c r="P874" s="1583"/>
      <c r="Q874" s="1583"/>
      <c r="R874" s="1583"/>
      <c r="S874" s="1583"/>
      <c r="T874" s="1583"/>
      <c r="U874" s="1583"/>
      <c r="V874" s="1584"/>
      <c r="W874" s="1437">
        <v>5900</v>
      </c>
      <c r="X874" s="1438"/>
      <c r="Y874" s="1438"/>
      <c r="Z874" s="1438"/>
      <c r="AA874" s="1438"/>
      <c r="AB874" s="1438"/>
      <c r="AC874" s="1439"/>
      <c r="AD874" s="534"/>
      <c r="AV874" s="14"/>
      <c r="AW874" s="14"/>
      <c r="AX874" s="14"/>
      <c r="AY874" s="14"/>
      <c r="AZ874" s="34"/>
      <c r="BA874" s="34"/>
      <c r="BB874" s="34"/>
      <c r="BC874" s="34"/>
    </row>
    <row r="875" spans="3:55" ht="12.95" customHeight="1">
      <c r="C875" s="2" t="s">
        <v>1244</v>
      </c>
      <c r="J875" s="45" t="s">
        <v>169</v>
      </c>
      <c r="K875" s="5"/>
      <c r="L875" s="5"/>
      <c r="M875" s="1582" t="s">
        <v>333</v>
      </c>
      <c r="N875" s="1583"/>
      <c r="O875" s="1583"/>
      <c r="P875" s="1583"/>
      <c r="Q875" s="1583"/>
      <c r="R875" s="1583"/>
      <c r="S875" s="1583"/>
      <c r="T875" s="1583"/>
      <c r="U875" s="1583"/>
      <c r="V875" s="1584"/>
      <c r="W875" s="1437"/>
      <c r="X875" s="1438"/>
      <c r="Y875" s="1438"/>
      <c r="Z875" s="1438"/>
      <c r="AA875" s="1438"/>
      <c r="AB875" s="1438"/>
      <c r="AC875" s="1439"/>
      <c r="AD875" s="534"/>
      <c r="AV875" s="14"/>
      <c r="AW875" s="14"/>
      <c r="AX875" s="14"/>
      <c r="AY875" s="14"/>
      <c r="AZ875" s="34"/>
      <c r="BA875" s="34"/>
      <c r="BB875" s="34"/>
      <c r="BC875" s="34"/>
    </row>
    <row r="876" spans="3:55" ht="12.95" customHeight="1">
      <c r="J876" s="45" t="s">
        <v>169</v>
      </c>
      <c r="K876" s="5"/>
      <c r="L876" s="5"/>
      <c r="M876" s="1582" t="s">
        <v>333</v>
      </c>
      <c r="N876" s="1583"/>
      <c r="O876" s="1583"/>
      <c r="P876" s="1583"/>
      <c r="Q876" s="1583"/>
      <c r="R876" s="1583"/>
      <c r="S876" s="1583"/>
      <c r="T876" s="1583"/>
      <c r="U876" s="1583"/>
      <c r="V876" s="1584"/>
      <c r="W876" s="1437"/>
      <c r="X876" s="1438"/>
      <c r="Y876" s="1438"/>
      <c r="Z876" s="1438"/>
      <c r="AA876" s="1438"/>
      <c r="AB876" s="1438"/>
      <c r="AC876" s="14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82" t="s">
        <v>333</v>
      </c>
      <c r="N877" s="1583"/>
      <c r="O877" s="1583"/>
      <c r="P877" s="1583"/>
      <c r="Q877" s="1583"/>
      <c r="R877" s="1583"/>
      <c r="S877" s="1583"/>
      <c r="T877" s="1583"/>
      <c r="U877" s="1583"/>
      <c r="V877" s="1584"/>
      <c r="W877" s="1437"/>
      <c r="X877" s="1438"/>
      <c r="Y877" s="1438"/>
      <c r="Z877" s="1438"/>
      <c r="AA877" s="1438"/>
      <c r="AB877" s="1438"/>
      <c r="AC877" s="14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82" t="s">
        <v>333</v>
      </c>
      <c r="N878" s="1583"/>
      <c r="O878" s="1583"/>
      <c r="P878" s="1583"/>
      <c r="Q878" s="1583"/>
      <c r="R878" s="1583"/>
      <c r="S878" s="1583"/>
      <c r="T878" s="1583"/>
      <c r="U878" s="1583"/>
      <c r="V878" s="1584"/>
      <c r="W878" s="1437"/>
      <c r="X878" s="1438"/>
      <c r="Y878" s="1438"/>
      <c r="Z878" s="1438"/>
      <c r="AA878" s="1438"/>
      <c r="AB878" s="1438"/>
      <c r="AC878" s="14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01">
        <f>SUM(W874:AC878)</f>
        <v>5900</v>
      </c>
      <c r="X879" s="1602"/>
      <c r="Y879" s="1602"/>
      <c r="Z879" s="1602"/>
      <c r="AA879" s="1602"/>
      <c r="AB879" s="1602"/>
      <c r="AC879" s="1603"/>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02">
        <f>W847+W855+W862+W863+W872+W879+W849</f>
        <v>649220</v>
      </c>
      <c r="AD883" s="1602"/>
      <c r="AE883" s="1602"/>
      <c r="AF883" s="1602"/>
      <c r="AG883" s="1602"/>
      <c r="AH883" s="160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22">
        <f>O797+O777+G753</f>
        <v>66</v>
      </c>
      <c r="AD884" s="1722"/>
      <c r="AE884" s="1722"/>
      <c r="AF884" s="1722"/>
      <c r="AG884" s="1722"/>
      <c r="AH884" s="1723"/>
      <c r="AL884" s="4"/>
      <c r="AM884" s="4"/>
      <c r="AN884" s="4"/>
      <c r="AO884" s="4"/>
      <c r="AP884" s="4"/>
      <c r="AQ884" s="4"/>
      <c r="AR884" s="4"/>
      <c r="AS884" s="4"/>
      <c r="AT884" s="4"/>
      <c r="AZ884" s="34"/>
      <c r="BA884" s="34"/>
      <c r="BB884" s="34"/>
      <c r="BC884" s="34"/>
    </row>
    <row r="885" spans="3:55" ht="12.95" customHeight="1">
      <c r="C885" s="41"/>
      <c r="D885" s="42"/>
      <c r="E885" s="1655" t="s">
        <v>32</v>
      </c>
      <c r="F885" s="1655"/>
      <c r="G885" s="1655"/>
      <c r="H885" s="1655"/>
      <c r="I885" s="1655"/>
      <c r="J885" s="1655"/>
      <c r="K885" s="1655"/>
      <c r="L885" s="1655"/>
      <c r="M885" s="1655"/>
      <c r="N885" s="1655"/>
      <c r="O885" s="1655"/>
      <c r="P885" s="1655"/>
      <c r="Q885" s="1655"/>
      <c r="R885" s="1655"/>
      <c r="S885" s="1655"/>
      <c r="T885" s="1655"/>
      <c r="U885" s="1655"/>
      <c r="V885" s="1655"/>
      <c r="W885" s="1655"/>
      <c r="X885" s="1655"/>
      <c r="Y885" s="1655"/>
      <c r="Z885" s="1655"/>
      <c r="AA885" s="1655"/>
      <c r="AB885" s="1656"/>
      <c r="AC885" s="1716">
        <f>IF(ISERROR((ROUNDDOWN(AC883/AC884,0))),0,(ROUNDDOWN(AC883/AC884,0)))</f>
        <v>9836</v>
      </c>
      <c r="AD885" s="1716"/>
      <c r="AE885" s="1716"/>
      <c r="AF885" s="1716"/>
      <c r="AG885" s="1716"/>
      <c r="AH885" s="171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4">
        <v>391000</v>
      </c>
      <c r="AD886" s="1725"/>
      <c r="AE886" s="1725"/>
      <c r="AF886" s="1725"/>
      <c r="AG886" s="1725"/>
      <c r="AH886" s="172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39">
        <v>0</v>
      </c>
      <c r="AD887" s="1425"/>
      <c r="AE887" s="1425"/>
      <c r="AF887" s="1425"/>
      <c r="AG887" s="1425"/>
      <c r="AH887" s="142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38">
        <f>135039+6755</f>
        <v>141794</v>
      </c>
      <c r="AD888" s="1438"/>
      <c r="AE888" s="1438"/>
      <c r="AF888" s="1438"/>
      <c r="AG888" s="1438"/>
      <c r="AH888" s="14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38">
        <v>19800</v>
      </c>
      <c r="AD889" s="1438"/>
      <c r="AE889" s="1438"/>
      <c r="AF889" s="1438"/>
      <c r="AG889" s="1438"/>
      <c r="AH889" s="14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40">
        <v>6600</v>
      </c>
      <c r="AD890" s="1441"/>
      <c r="AE890" s="1441"/>
      <c r="AF890" s="1441"/>
      <c r="AG890" s="1441"/>
      <c r="AH890" s="144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38">
        <v>2950</v>
      </c>
      <c r="AD891" s="1438"/>
      <c r="AE891" s="1438"/>
      <c r="AF891" s="1438"/>
      <c r="AG891" s="1438"/>
      <c r="AH891" s="1439"/>
      <c r="AZ891" s="34"/>
      <c r="BA891" s="34"/>
      <c r="BB891" s="34"/>
      <c r="BC891" s="34"/>
    </row>
    <row r="892" spans="3:55" ht="12.95" hidden="1" customHeight="1">
      <c r="C892" s="1652" t="s">
        <v>2236</v>
      </c>
      <c r="D892" s="1653"/>
      <c r="E892" s="1653"/>
      <c r="F892" s="1653"/>
      <c r="G892" s="1653"/>
      <c r="H892" s="1653"/>
      <c r="I892" s="1653"/>
      <c r="J892" s="1653"/>
      <c r="K892" s="1653"/>
      <c r="L892" s="1653"/>
      <c r="M892" s="1653"/>
      <c r="N892" s="1653"/>
      <c r="O892" s="1653"/>
      <c r="P892" s="1653"/>
      <c r="Q892" s="1653"/>
      <c r="R892" s="1653"/>
      <c r="S892" s="1653"/>
      <c r="T892" s="1653"/>
      <c r="U892" s="1653"/>
      <c r="V892" s="1653"/>
      <c r="W892" s="1653"/>
      <c r="X892" s="1653"/>
      <c r="Y892" s="1653"/>
      <c r="Z892" s="1653"/>
      <c r="AA892" s="1653"/>
      <c r="AB892" s="1654"/>
      <c r="AC892" s="1438"/>
      <c r="AD892" s="1438"/>
      <c r="AE892" s="1438"/>
      <c r="AF892" s="1438"/>
      <c r="AG892" s="1438"/>
      <c r="AH892" s="14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38">
        <v>0</v>
      </c>
      <c r="AD893" s="1438"/>
      <c r="AE893" s="1438"/>
      <c r="AF893" s="1438"/>
      <c r="AG893" s="1438"/>
      <c r="AH893" s="1439"/>
      <c r="AZ893" s="34"/>
      <c r="BA893" s="34"/>
      <c r="BB893" s="34"/>
      <c r="BC893" s="34"/>
    </row>
    <row r="894" spans="3:55" ht="12.95" customHeight="1">
      <c r="C894" s="1623" t="s">
        <v>2702</v>
      </c>
      <c r="D894" s="1624"/>
      <c r="E894" s="1624"/>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5"/>
      <c r="AC894" s="1425">
        <v>5275</v>
      </c>
      <c r="AD894" s="1425"/>
      <c r="AE894" s="1425"/>
      <c r="AF894" s="1425"/>
      <c r="AG894" s="1425"/>
      <c r="AH894" s="1425"/>
      <c r="AZ894" s="34"/>
      <c r="BA894" s="34"/>
      <c r="BB894" s="34"/>
      <c r="BC894" s="34"/>
    </row>
    <row r="895" spans="3:55" ht="12.95" customHeight="1">
      <c r="C895" s="1623" t="s">
        <v>956</v>
      </c>
      <c r="D895" s="1624"/>
      <c r="E895" s="1624"/>
      <c r="F895" s="1624"/>
      <c r="G895" s="1624"/>
      <c r="H895" s="1624"/>
      <c r="I895" s="1624"/>
      <c r="J895" s="1624"/>
      <c r="K895" s="1624"/>
      <c r="L895" s="1624"/>
      <c r="M895" s="1624"/>
      <c r="N895" s="1624"/>
      <c r="O895" s="1624"/>
      <c r="P895" s="1624"/>
      <c r="Q895" s="1624"/>
      <c r="R895" s="1624"/>
      <c r="S895" s="1624"/>
      <c r="T895" s="1624"/>
      <c r="U895" s="1624"/>
      <c r="V895" s="1624"/>
      <c r="W895" s="1624"/>
      <c r="X895" s="1624"/>
      <c r="Y895" s="1624"/>
      <c r="Z895" s="1624"/>
      <c r="AA895" s="1624"/>
      <c r="AB895" s="1625"/>
      <c r="AC895" s="1425"/>
      <c r="AD895" s="1425"/>
      <c r="AE895" s="1425"/>
      <c r="AF895" s="1425"/>
      <c r="AG895" s="1425"/>
      <c r="AH895" s="1425"/>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37">
        <v>0</v>
      </c>
      <c r="AA899" s="1438"/>
      <c r="AB899" s="1438"/>
      <c r="AC899" s="1438"/>
      <c r="AD899" s="1438"/>
      <c r="AE899" s="1439"/>
      <c r="AF899" s="534"/>
      <c r="AZ899" s="34"/>
      <c r="BB899" s="30"/>
      <c r="BC899" s="817"/>
      <c r="BD899" s="1641"/>
      <c r="BE899" s="164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37">
        <v>0</v>
      </c>
      <c r="AA900" s="1438"/>
      <c r="AB900" s="1438"/>
      <c r="AC900" s="1438"/>
      <c r="AD900" s="1438"/>
      <c r="AE900" s="1439"/>
      <c r="AZ900" s="34"/>
      <c r="BB900" s="30"/>
      <c r="BC900" s="817"/>
      <c r="BD900" s="1641"/>
      <c r="BE900" s="164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37">
        <v>0</v>
      </c>
      <c r="AA901" s="1438"/>
      <c r="AB901" s="1438"/>
      <c r="AC901" s="1438"/>
      <c r="AD901" s="1438"/>
      <c r="AE901" s="1439"/>
      <c r="AZ901" s="34"/>
      <c r="BB901" s="30"/>
      <c r="BC901" s="817"/>
      <c r="BD901" s="1640"/>
      <c r="BE901" s="164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01">
        <f>Z899-(Z900+Z901)</f>
        <v>0</v>
      </c>
      <c r="AA902" s="1602"/>
      <c r="AB902" s="1602"/>
      <c r="AC902" s="1602"/>
      <c r="AD902" s="1602"/>
      <c r="AE902" s="1603"/>
      <c r="AZ902" s="34"/>
      <c r="BB902" s="30"/>
      <c r="BC902" s="817"/>
      <c r="BD902" s="1640"/>
      <c r="BE902" s="1640"/>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0"/>
      <c r="BE903" s="164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1"/>
      <c r="BE904" s="164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46"/>
      <c r="BE905" s="1646"/>
      <c r="BF905" s="164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0"/>
      <c r="BE907" s="164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1"/>
      <c r="BE908" s="1640"/>
      <c r="BF908" s="14"/>
    </row>
    <row r="909" spans="1:58" ht="12.95" customHeight="1">
      <c r="AZ909" s="34"/>
      <c r="BB909" s="30"/>
      <c r="BC909" s="817"/>
    </row>
    <row r="910" spans="1:58" ht="12.95" customHeight="1">
      <c r="A910" s="1451" t="s">
        <v>96</v>
      </c>
      <c r="B910" s="1451"/>
      <c r="C910" s="1451"/>
      <c r="D910" s="1451"/>
      <c r="E910" s="1451"/>
      <c r="F910" s="1451"/>
      <c r="G910" s="1451"/>
      <c r="H910" s="1451"/>
      <c r="I910" s="1451"/>
      <c r="J910" s="1451"/>
      <c r="K910" s="1451"/>
      <c r="L910" s="1451"/>
      <c r="M910" s="1451"/>
      <c r="N910" s="1451"/>
      <c r="O910" s="1451"/>
      <c r="P910" s="1451"/>
      <c r="Q910" s="1451"/>
      <c r="R910" s="1451"/>
      <c r="S910" s="1451"/>
      <c r="T910" s="1451"/>
      <c r="U910" s="1451"/>
      <c r="V910" s="1451"/>
      <c r="W910" s="1451"/>
      <c r="X910" s="1451"/>
      <c r="Y910" s="1451"/>
      <c r="Z910" s="1451"/>
      <c r="AA910" s="1451"/>
      <c r="AB910" s="1451"/>
      <c r="AC910" s="1451"/>
      <c r="AD910" s="1451"/>
      <c r="AE910" s="1451"/>
      <c r="AF910" s="1451"/>
      <c r="AG910" s="1451"/>
      <c r="AH910" s="1451"/>
      <c r="AI910" s="1451"/>
      <c r="AJ910" s="1451"/>
      <c r="AK910" s="1451"/>
      <c r="AL910" s="1451"/>
      <c r="AM910" s="1451"/>
      <c r="AN910" s="1451"/>
      <c r="AO910" s="1451"/>
      <c r="AP910" s="1451"/>
      <c r="AQ910" s="1451"/>
      <c r="AR910" s="1451"/>
      <c r="AS910" s="1451"/>
      <c r="AT910" s="1451"/>
      <c r="AZ910" s="34"/>
      <c r="BA910" s="34"/>
      <c r="BB910" s="30"/>
      <c r="BC910" s="30"/>
      <c r="BD910" s="1641"/>
      <c r="BE910" s="1640"/>
      <c r="BF910" s="912"/>
    </row>
    <row r="911" spans="1:58" ht="12.95" customHeight="1">
      <c r="A911" s="1451"/>
      <c r="B911" s="1451"/>
      <c r="C911" s="1451"/>
      <c r="D911" s="1451"/>
      <c r="E911" s="1451"/>
      <c r="F911" s="1451"/>
      <c r="G911" s="1451"/>
      <c r="H911" s="1451"/>
      <c r="I911" s="1451"/>
      <c r="J911" s="1451"/>
      <c r="K911" s="1451"/>
      <c r="L911" s="1451"/>
      <c r="M911" s="1451"/>
      <c r="N911" s="1451"/>
      <c r="O911" s="1451"/>
      <c r="P911" s="1451"/>
      <c r="Q911" s="1451"/>
      <c r="R911" s="1451"/>
      <c r="S911" s="1451"/>
      <c r="T911" s="1451"/>
      <c r="U911" s="1451"/>
      <c r="V911" s="1451"/>
      <c r="W911" s="1451"/>
      <c r="X911" s="1451"/>
      <c r="Y911" s="1451"/>
      <c r="Z911" s="1451"/>
      <c r="AA911" s="1451"/>
      <c r="AB911" s="1451"/>
      <c r="AC911" s="1451"/>
      <c r="AD911" s="1451"/>
      <c r="AE911" s="1451"/>
      <c r="AF911" s="1451"/>
      <c r="AG911" s="1451"/>
      <c r="AH911" s="1451"/>
      <c r="AI911" s="1451"/>
      <c r="AJ911" s="1451"/>
      <c r="AK911" s="1451"/>
      <c r="AL911" s="1451"/>
      <c r="AM911" s="1451"/>
      <c r="AN911" s="1451"/>
      <c r="AO911" s="1451"/>
      <c r="AP911" s="1451"/>
      <c r="AQ911" s="1451"/>
      <c r="AR911" s="1451"/>
      <c r="AS911" s="1451"/>
      <c r="AT911" s="145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26" t="s">
        <v>792</v>
      </c>
      <c r="G915" s="1727"/>
      <c r="H915" s="1727"/>
      <c r="I915" s="1727"/>
      <c r="J915" s="1727"/>
      <c r="K915" s="1727"/>
      <c r="L915" s="1727"/>
      <c r="M915" s="1727"/>
      <c r="N915" s="1727"/>
      <c r="O915" s="1727"/>
      <c r="P915" s="1727"/>
      <c r="Q915" s="1727"/>
      <c r="R915" s="1727"/>
      <c r="S915" s="1727"/>
      <c r="T915" s="1728"/>
      <c r="U915" s="1629" t="s">
        <v>31</v>
      </c>
      <c r="V915" s="1630"/>
      <c r="W915" s="1630"/>
      <c r="X915" s="1630"/>
      <c r="Y915" s="1630"/>
      <c r="Z915" s="1630"/>
      <c r="AA915" s="43"/>
      <c r="AB915" s="105"/>
      <c r="AC915" s="105"/>
      <c r="AD915" s="105"/>
      <c r="AE915" s="105"/>
      <c r="AF915" s="106"/>
      <c r="AZ915" s="34"/>
      <c r="BA915" s="34"/>
      <c r="BB915" s="34"/>
      <c r="BC915" s="34"/>
    </row>
    <row r="916" spans="1:58" ht="12.95" customHeight="1">
      <c r="B916" s="2"/>
      <c r="F916" s="1564" t="s">
        <v>818</v>
      </c>
      <c r="G916" s="1565"/>
      <c r="H916" s="1565"/>
      <c r="I916" s="1565"/>
      <c r="J916" s="1565"/>
      <c r="K916" s="1565"/>
      <c r="L916" s="1565"/>
      <c r="M916" s="1565"/>
      <c r="N916" s="1565"/>
      <c r="O916" s="1565"/>
      <c r="P916" s="1565"/>
      <c r="Q916" s="1565"/>
      <c r="R916" s="1565"/>
      <c r="S916" s="1565"/>
      <c r="T916" s="1566"/>
      <c r="U916" s="1564"/>
      <c r="V916" s="1565"/>
      <c r="W916" s="1565"/>
      <c r="X916" s="1565"/>
      <c r="Y916" s="1565"/>
      <c r="Z916" s="1565"/>
      <c r="AA916" s="44"/>
      <c r="AB916" s="4"/>
      <c r="AC916" s="4"/>
      <c r="AD916" s="4"/>
      <c r="AE916" s="4"/>
      <c r="AF916" s="107"/>
      <c r="AZ916" s="34"/>
      <c r="BA916" s="34"/>
      <c r="BB916" s="34"/>
      <c r="BC916" s="34"/>
    </row>
    <row r="917" spans="1:58" ht="12.95" customHeight="1">
      <c r="B917" s="2"/>
      <c r="F917" s="1567"/>
      <c r="G917" s="1568"/>
      <c r="H917" s="1568"/>
      <c r="I917" s="1568"/>
      <c r="J917" s="1568"/>
      <c r="K917" s="1568"/>
      <c r="L917" s="1568"/>
      <c r="M917" s="1568"/>
      <c r="N917" s="1568"/>
      <c r="O917" s="1568"/>
      <c r="P917" s="1568"/>
      <c r="Q917" s="1568"/>
      <c r="R917" s="1568"/>
      <c r="S917" s="1568"/>
      <c r="T917" s="1569"/>
      <c r="U917" s="1567"/>
      <c r="V917" s="1568"/>
      <c r="W917" s="1568"/>
      <c r="X917" s="1568"/>
      <c r="Y917" s="1568"/>
      <c r="Z917" s="1568"/>
      <c r="AA917" s="108"/>
      <c r="AB917" s="1627" t="s">
        <v>390</v>
      </c>
      <c r="AC917" s="1627"/>
      <c r="AD917" s="1627"/>
      <c r="AE917" s="162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90" t="s">
        <v>545</v>
      </c>
      <c r="V918" s="1391"/>
      <c r="W918" s="1391"/>
      <c r="X918" s="1391"/>
      <c r="Y918" s="1391"/>
      <c r="Z918" s="1392"/>
      <c r="AA918" s="1396">
        <f>AM554</f>
        <v>32378000</v>
      </c>
      <c r="AB918" s="1397"/>
      <c r="AC918" s="1397"/>
      <c r="AD918" s="1397"/>
      <c r="AE918" s="1397"/>
      <c r="AF918" s="139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90" t="s">
        <v>545</v>
      </c>
      <c r="V919" s="1391"/>
      <c r="W919" s="1391"/>
      <c r="X919" s="1391"/>
      <c r="Y919" s="1391"/>
      <c r="Z919" s="1392"/>
      <c r="AA919" s="1396">
        <f>AM555</f>
        <v>2424328</v>
      </c>
      <c r="AB919" s="1397"/>
      <c r="AC919" s="1397"/>
      <c r="AD919" s="1397"/>
      <c r="AE919" s="1397"/>
      <c r="AF919" s="139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90" t="s">
        <v>591</v>
      </c>
      <c r="V920" s="1391"/>
      <c r="W920" s="1391"/>
      <c r="X920" s="1391"/>
      <c r="Y920" s="1391"/>
      <c r="Z920" s="1392"/>
      <c r="AA920" s="1396"/>
      <c r="AB920" s="1397"/>
      <c r="AC920" s="1397"/>
      <c r="AD920" s="1397"/>
      <c r="AE920" s="1397"/>
      <c r="AF920" s="139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90" t="s">
        <v>591</v>
      </c>
      <c r="V921" s="1391"/>
      <c r="W921" s="1391"/>
      <c r="X921" s="1391"/>
      <c r="Y921" s="1391"/>
      <c r="Z921" s="1392"/>
      <c r="AA921" s="1396"/>
      <c r="AB921" s="1397"/>
      <c r="AC921" s="1397"/>
      <c r="AD921" s="1397"/>
      <c r="AE921" s="1397"/>
      <c r="AF921" s="139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90" t="s">
        <v>591</v>
      </c>
      <c r="V922" s="1391"/>
      <c r="W922" s="1391"/>
      <c r="X922" s="1391"/>
      <c r="Y922" s="1391"/>
      <c r="Z922" s="1392"/>
      <c r="AA922" s="1396"/>
      <c r="AB922" s="1397"/>
      <c r="AC922" s="1397"/>
      <c r="AD922" s="1397"/>
      <c r="AE922" s="1397"/>
      <c r="AF922" s="139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90" t="s">
        <v>591</v>
      </c>
      <c r="V923" s="1391"/>
      <c r="W923" s="1391"/>
      <c r="X923" s="1391"/>
      <c r="Y923" s="1391"/>
      <c r="Z923" s="1392"/>
      <c r="AA923" s="1396"/>
      <c r="AB923" s="1397"/>
      <c r="AC923" s="1397"/>
      <c r="AD923" s="1397"/>
      <c r="AE923" s="1397"/>
      <c r="AF923" s="139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90" t="s">
        <v>591</v>
      </c>
      <c r="V924" s="1391"/>
      <c r="W924" s="1391"/>
      <c r="X924" s="1391"/>
      <c r="Y924" s="1391"/>
      <c r="Z924" s="1392"/>
      <c r="AA924" s="1396"/>
      <c r="AB924" s="1397"/>
      <c r="AC924" s="1397"/>
      <c r="AD924" s="1397"/>
      <c r="AE924" s="1397"/>
      <c r="AF924" s="139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90" t="s">
        <v>591</v>
      </c>
      <c r="V925" s="1391"/>
      <c r="W925" s="1391"/>
      <c r="X925" s="1391"/>
      <c r="Y925" s="1391"/>
      <c r="Z925" s="1392"/>
      <c r="AA925" s="1396"/>
      <c r="AB925" s="1397"/>
      <c r="AC925" s="1397"/>
      <c r="AD925" s="1397"/>
      <c r="AE925" s="1397"/>
      <c r="AF925" s="1398"/>
      <c r="AZ925" s="34"/>
      <c r="BA925" s="34"/>
      <c r="BB925" s="34"/>
      <c r="BC925" s="34"/>
    </row>
    <row r="926" spans="1:58" ht="12.95" customHeight="1">
      <c r="F926" s="1570" t="s">
        <v>2194</v>
      </c>
      <c r="G926" s="1571"/>
      <c r="H926" s="1571"/>
      <c r="I926" s="1571"/>
      <c r="J926" s="1571"/>
      <c r="K926" s="1571"/>
      <c r="L926" s="1571"/>
      <c r="M926" s="1571"/>
      <c r="N926" s="1571"/>
      <c r="O926" s="1571"/>
      <c r="P926" s="1571"/>
      <c r="Q926" s="1571"/>
      <c r="R926" s="1571"/>
      <c r="S926" s="1571"/>
      <c r="T926" s="1572"/>
      <c r="U926" s="1390" t="s">
        <v>591</v>
      </c>
      <c r="V926" s="1391"/>
      <c r="W926" s="1391"/>
      <c r="X926" s="1391"/>
      <c r="Y926" s="1391"/>
      <c r="Z926" s="1392"/>
      <c r="AA926" s="1396"/>
      <c r="AB926" s="1397"/>
      <c r="AC926" s="1397"/>
      <c r="AD926" s="1397"/>
      <c r="AE926" s="1397"/>
      <c r="AF926" s="1398"/>
      <c r="AZ926" s="34"/>
      <c r="BA926" s="34"/>
      <c r="BB926" s="34"/>
      <c r="BC926" s="34"/>
    </row>
    <row r="927" spans="1:58" ht="12.95" customHeight="1">
      <c r="F927" s="1570" t="s">
        <v>679</v>
      </c>
      <c r="G927" s="1571"/>
      <c r="H927" s="1571"/>
      <c r="I927" s="1571"/>
      <c r="J927" s="1571"/>
      <c r="K927" s="1571"/>
      <c r="L927" s="1571"/>
      <c r="M927" s="1571"/>
      <c r="N927" s="1571"/>
      <c r="O927" s="1571"/>
      <c r="P927" s="1571"/>
      <c r="Q927" s="1571"/>
      <c r="R927" s="1571"/>
      <c r="S927" s="1571"/>
      <c r="T927" s="1572"/>
      <c r="U927" s="1390" t="s">
        <v>591</v>
      </c>
      <c r="V927" s="1391"/>
      <c r="W927" s="1391"/>
      <c r="X927" s="1391"/>
      <c r="Y927" s="1391"/>
      <c r="Z927" s="1392"/>
      <c r="AA927" s="1396"/>
      <c r="AB927" s="1397"/>
      <c r="AC927" s="1397"/>
      <c r="AD927" s="1397"/>
      <c r="AE927" s="1397"/>
      <c r="AF927" s="1398"/>
      <c r="AU927" s="2"/>
      <c r="AZ927" s="34"/>
      <c r="BA927" s="34"/>
      <c r="BB927" s="34"/>
      <c r="BC927" s="34"/>
    </row>
    <row r="928" spans="1:58" ht="12.95" customHeight="1">
      <c r="F928" s="1570" t="s">
        <v>2195</v>
      </c>
      <c r="G928" s="1571"/>
      <c r="H928" s="1571"/>
      <c r="I928" s="1571"/>
      <c r="J928" s="1571"/>
      <c r="K928" s="1571"/>
      <c r="L928" s="1571"/>
      <c r="M928" s="1571"/>
      <c r="N928" s="1571"/>
      <c r="O928" s="1571"/>
      <c r="P928" s="1571"/>
      <c r="Q928" s="1571"/>
      <c r="R928" s="1571"/>
      <c r="S928" s="1571"/>
      <c r="T928" s="1572"/>
      <c r="U928" s="1390" t="s">
        <v>591</v>
      </c>
      <c r="V928" s="1391"/>
      <c r="W928" s="1391"/>
      <c r="X928" s="1391"/>
      <c r="Y928" s="1391"/>
      <c r="Z928" s="1392"/>
      <c r="AA928" s="1396"/>
      <c r="AB928" s="1397"/>
      <c r="AC928" s="1397"/>
      <c r="AD928" s="1397"/>
      <c r="AE928" s="1397"/>
      <c r="AF928" s="1398"/>
      <c r="AU928" s="2"/>
      <c r="AZ928" s="34"/>
      <c r="BA928" s="34"/>
      <c r="BB928" s="34"/>
      <c r="BC928" s="34"/>
    </row>
    <row r="929" spans="6:55" ht="12.95" customHeight="1">
      <c r="F929" s="1570" t="s">
        <v>2196</v>
      </c>
      <c r="G929" s="1571"/>
      <c r="H929" s="1571"/>
      <c r="I929" s="1571"/>
      <c r="J929" s="1571"/>
      <c r="K929" s="1571"/>
      <c r="L929" s="1571"/>
      <c r="M929" s="1571"/>
      <c r="N929" s="1571"/>
      <c r="O929" s="1571"/>
      <c r="P929" s="1571"/>
      <c r="Q929" s="1571"/>
      <c r="R929" s="1571"/>
      <c r="S929" s="1571"/>
      <c r="T929" s="1572"/>
      <c r="U929" s="1390" t="s">
        <v>591</v>
      </c>
      <c r="V929" s="1391"/>
      <c r="W929" s="1391"/>
      <c r="X929" s="1391"/>
      <c r="Y929" s="1391"/>
      <c r="Z929" s="1392"/>
      <c r="AA929" s="1396"/>
      <c r="AB929" s="1397"/>
      <c r="AC929" s="1397"/>
      <c r="AD929" s="1397"/>
      <c r="AE929" s="1397"/>
      <c r="AF929" s="1398"/>
      <c r="AU929" s="2"/>
      <c r="AZ929" s="34"/>
      <c r="BA929" s="34"/>
      <c r="BB929" s="34"/>
      <c r="BC929" s="34"/>
    </row>
    <row r="930" spans="6:55" ht="12.95" customHeight="1">
      <c r="F930" s="1570" t="s">
        <v>2197</v>
      </c>
      <c r="G930" s="1571"/>
      <c r="H930" s="1571"/>
      <c r="I930" s="1571"/>
      <c r="J930" s="1571"/>
      <c r="K930" s="1571"/>
      <c r="L930" s="1571"/>
      <c r="M930" s="1571"/>
      <c r="N930" s="1571"/>
      <c r="O930" s="1571"/>
      <c r="P930" s="1571"/>
      <c r="Q930" s="1571"/>
      <c r="R930" s="1571"/>
      <c r="S930" s="1571"/>
      <c r="T930" s="1572"/>
      <c r="U930" s="1390" t="s">
        <v>591</v>
      </c>
      <c r="V930" s="1391"/>
      <c r="W930" s="1391"/>
      <c r="X930" s="1391"/>
      <c r="Y930" s="1391"/>
      <c r="Z930" s="1392"/>
      <c r="AA930" s="1396"/>
      <c r="AB930" s="1397"/>
      <c r="AC930" s="1397"/>
      <c r="AD930" s="1397"/>
      <c r="AE930" s="1397"/>
      <c r="AF930" s="1398"/>
      <c r="AU930" s="2"/>
      <c r="AZ930" s="34"/>
      <c r="BA930" s="34"/>
      <c r="BB930" s="34"/>
      <c r="BC930" s="34"/>
    </row>
    <row r="931" spans="6:55" ht="12.95" customHeight="1">
      <c r="F931" s="1570" t="s">
        <v>2198</v>
      </c>
      <c r="G931" s="1571"/>
      <c r="H931" s="1571"/>
      <c r="I931" s="1571"/>
      <c r="J931" s="1571"/>
      <c r="K931" s="1571"/>
      <c r="L931" s="1571"/>
      <c r="M931" s="1571"/>
      <c r="N931" s="1571"/>
      <c r="O931" s="1571"/>
      <c r="P931" s="1571"/>
      <c r="Q931" s="1571"/>
      <c r="R931" s="1571"/>
      <c r="S931" s="1571"/>
      <c r="T931" s="1572"/>
      <c r="U931" s="1390" t="s">
        <v>591</v>
      </c>
      <c r="V931" s="1391"/>
      <c r="W931" s="1391"/>
      <c r="X931" s="1391"/>
      <c r="Y931" s="1391"/>
      <c r="Z931" s="1392"/>
      <c r="AA931" s="1396"/>
      <c r="AB931" s="1397"/>
      <c r="AC931" s="1397"/>
      <c r="AD931" s="1397"/>
      <c r="AE931" s="1397"/>
      <c r="AF931" s="1398"/>
      <c r="AU931" s="2"/>
      <c r="AZ931" s="34"/>
      <c r="BA931" s="34"/>
      <c r="BB931" s="34"/>
      <c r="BC931" s="34"/>
    </row>
    <row r="932" spans="6:55" ht="12.95" customHeight="1">
      <c r="F932" s="1570" t="s">
        <v>2199</v>
      </c>
      <c r="G932" s="1571"/>
      <c r="H932" s="1571"/>
      <c r="I932" s="1571"/>
      <c r="J932" s="1571"/>
      <c r="K932" s="1571"/>
      <c r="L932" s="1571"/>
      <c r="M932" s="1571"/>
      <c r="N932" s="1571"/>
      <c r="O932" s="1571"/>
      <c r="P932" s="1571"/>
      <c r="Q932" s="1571"/>
      <c r="R932" s="1571"/>
      <c r="S932" s="1571"/>
      <c r="T932" s="1572"/>
      <c r="U932" s="1390" t="s">
        <v>591</v>
      </c>
      <c r="V932" s="1391"/>
      <c r="W932" s="1391"/>
      <c r="X932" s="1391"/>
      <c r="Y932" s="1391"/>
      <c r="Z932" s="1392"/>
      <c r="AA932" s="1396"/>
      <c r="AB932" s="1397"/>
      <c r="AC932" s="1397"/>
      <c r="AD932" s="1397"/>
      <c r="AE932" s="1397"/>
      <c r="AF932" s="1398"/>
      <c r="AZ932" s="30"/>
      <c r="BA932" s="30"/>
    </row>
    <row r="933" spans="6:55" ht="12.95" customHeight="1">
      <c r="F933" s="178" t="s">
        <v>676</v>
      </c>
      <c r="G933" s="5"/>
      <c r="H933" s="5"/>
      <c r="I933" s="5"/>
      <c r="J933" s="5"/>
      <c r="K933" s="5"/>
      <c r="L933" s="5"/>
      <c r="M933" s="5"/>
      <c r="N933" s="5"/>
      <c r="O933" s="5"/>
      <c r="P933" s="5"/>
      <c r="Q933" s="5"/>
      <c r="R933" s="5"/>
      <c r="S933" s="5"/>
      <c r="T933" s="46"/>
      <c r="U933" s="1390" t="s">
        <v>591</v>
      </c>
      <c r="V933" s="1391"/>
      <c r="W933" s="1391"/>
      <c r="X933" s="1391"/>
      <c r="Y933" s="1391"/>
      <c r="Z933" s="1392"/>
      <c r="AA933" s="1396"/>
      <c r="AB933" s="1397"/>
      <c r="AC933" s="1397"/>
      <c r="AD933" s="1397"/>
      <c r="AE933" s="1397"/>
      <c r="AF933" s="1398"/>
    </row>
    <row r="934" spans="6:55" ht="12.95" customHeight="1">
      <c r="F934" s="121" t="s">
        <v>1277</v>
      </c>
      <c r="G934" s="5"/>
      <c r="H934" s="5"/>
      <c r="I934" s="5"/>
      <c r="J934" s="5"/>
      <c r="K934" s="5"/>
      <c r="L934" s="5"/>
      <c r="M934" s="5"/>
      <c r="N934" s="5"/>
      <c r="O934" s="5"/>
      <c r="P934" s="5"/>
      <c r="Q934" s="5"/>
      <c r="R934" s="5"/>
      <c r="S934" s="5"/>
      <c r="T934" s="46"/>
      <c r="U934" s="1390" t="s">
        <v>591</v>
      </c>
      <c r="V934" s="1391"/>
      <c r="W934" s="1391"/>
      <c r="X934" s="1391"/>
      <c r="Y934" s="1391"/>
      <c r="Z934" s="1392"/>
      <c r="AA934" s="1396"/>
      <c r="AB934" s="1397"/>
      <c r="AC934" s="1397"/>
      <c r="AD934" s="1397"/>
      <c r="AE934" s="1397"/>
      <c r="AF934" s="1398"/>
      <c r="AZ934" s="30"/>
      <c r="BA934" s="14"/>
    </row>
    <row r="935" spans="6:55" ht="12.95" customHeight="1">
      <c r="F935" s="66" t="s">
        <v>802</v>
      </c>
      <c r="G935" s="5"/>
      <c r="H935" s="5"/>
      <c r="I935" s="5"/>
      <c r="J935" s="5"/>
      <c r="K935" s="5"/>
      <c r="L935" s="5"/>
      <c r="M935" s="5"/>
      <c r="N935" s="5"/>
      <c r="O935" s="5"/>
      <c r="P935" s="5"/>
      <c r="Q935" s="5"/>
      <c r="R935" s="5"/>
      <c r="S935" s="5"/>
      <c r="T935" s="46"/>
      <c r="U935" s="1390" t="s">
        <v>591</v>
      </c>
      <c r="V935" s="1391"/>
      <c r="W935" s="1391"/>
      <c r="X935" s="1391"/>
      <c r="Y935" s="1391"/>
      <c r="Z935" s="1392"/>
      <c r="AA935" s="1396"/>
      <c r="AB935" s="1397"/>
      <c r="AC935" s="1397"/>
      <c r="AD935" s="1397"/>
      <c r="AE935" s="1397"/>
      <c r="AF935" s="1398"/>
      <c r="AZ935" s="30"/>
      <c r="BA935" s="14"/>
    </row>
    <row r="936" spans="6:55" ht="12.95" customHeight="1">
      <c r="F936" s="1649" t="s">
        <v>2203</v>
      </c>
      <c r="G936" s="1650"/>
      <c r="H936" s="1650"/>
      <c r="I936" s="1650"/>
      <c r="J936" s="1650"/>
      <c r="K936" s="1650"/>
      <c r="L936" s="1650"/>
      <c r="M936" s="1650"/>
      <c r="N936" s="1650"/>
      <c r="O936" s="1650"/>
      <c r="P936" s="1650"/>
      <c r="Q936" s="1650"/>
      <c r="R936" s="1650"/>
      <c r="S936" s="1650"/>
      <c r="T936" s="1651"/>
      <c r="U936" s="1390" t="s">
        <v>591</v>
      </c>
      <c r="V936" s="1391"/>
      <c r="W936" s="1391"/>
      <c r="X936" s="1391"/>
      <c r="Y936" s="1391"/>
      <c r="Z936" s="1392"/>
      <c r="AA936" s="1396"/>
      <c r="AB936" s="1397"/>
      <c r="AC936" s="1397"/>
      <c r="AD936" s="1397"/>
      <c r="AE936" s="1397"/>
      <c r="AF936" s="1398"/>
      <c r="AZ936" s="30"/>
      <c r="BA936" s="14"/>
    </row>
    <row r="937" spans="6:55" ht="12.95" customHeight="1">
      <c r="F937" s="1649" t="s">
        <v>2204</v>
      </c>
      <c r="G937" s="1650"/>
      <c r="H937" s="1650"/>
      <c r="I937" s="1650"/>
      <c r="J937" s="1650"/>
      <c r="K937" s="1650"/>
      <c r="L937" s="1650"/>
      <c r="M937" s="1650"/>
      <c r="N937" s="1650"/>
      <c r="O937" s="1650"/>
      <c r="P937" s="1650"/>
      <c r="Q937" s="1650"/>
      <c r="R937" s="1650"/>
      <c r="S937" s="1650"/>
      <c r="T937" s="1651"/>
      <c r="U937" s="1390" t="s">
        <v>591</v>
      </c>
      <c r="V937" s="1391"/>
      <c r="W937" s="1391"/>
      <c r="X937" s="1391"/>
      <c r="Y937" s="1391"/>
      <c r="Z937" s="1392"/>
      <c r="AA937" s="1396"/>
      <c r="AB937" s="1397"/>
      <c r="AC937" s="1397"/>
      <c r="AD937" s="1397"/>
      <c r="AE937" s="1397"/>
      <c r="AF937" s="1398"/>
      <c r="AZ937" s="30"/>
      <c r="BA937" s="30"/>
    </row>
    <row r="938" spans="6:55" ht="12.95" customHeight="1">
      <c r="F938" s="1570" t="s">
        <v>2200</v>
      </c>
      <c r="G938" s="1571"/>
      <c r="H938" s="1571"/>
      <c r="I938" s="1571"/>
      <c r="J938" s="1571"/>
      <c r="K938" s="1571"/>
      <c r="L938" s="1571"/>
      <c r="M938" s="1571"/>
      <c r="N938" s="1571"/>
      <c r="O938" s="1571"/>
      <c r="P938" s="1571"/>
      <c r="Q938" s="1571"/>
      <c r="R938" s="1571"/>
      <c r="S938" s="1571"/>
      <c r="T938" s="1572"/>
      <c r="U938" s="1390" t="s">
        <v>591</v>
      </c>
      <c r="V938" s="1391"/>
      <c r="W938" s="1391"/>
      <c r="X938" s="1391"/>
      <c r="Y938" s="1391"/>
      <c r="Z938" s="1392"/>
      <c r="AA938" s="1396"/>
      <c r="AB938" s="1397"/>
      <c r="AC938" s="1397"/>
      <c r="AD938" s="1397"/>
      <c r="AE938" s="1397"/>
      <c r="AF938" s="1398"/>
      <c r="AZ938" s="30"/>
      <c r="BA938" s="30"/>
    </row>
    <row r="939" spans="6:55" ht="12.95" customHeight="1">
      <c r="F939" s="1570" t="s">
        <v>2201</v>
      </c>
      <c r="G939" s="1571"/>
      <c r="H939" s="1571"/>
      <c r="I939" s="1571"/>
      <c r="J939" s="1571"/>
      <c r="K939" s="1571"/>
      <c r="L939" s="1571"/>
      <c r="M939" s="1571"/>
      <c r="N939" s="1571"/>
      <c r="O939" s="1571"/>
      <c r="P939" s="1571"/>
      <c r="Q939" s="1571"/>
      <c r="R939" s="1571"/>
      <c r="S939" s="1571"/>
      <c r="T939" s="1572"/>
      <c r="U939" s="1390" t="s">
        <v>591</v>
      </c>
      <c r="V939" s="1391"/>
      <c r="W939" s="1391"/>
      <c r="X939" s="1391"/>
      <c r="Y939" s="1391"/>
      <c r="Z939" s="1392"/>
      <c r="AA939" s="1396"/>
      <c r="AB939" s="1397"/>
      <c r="AC939" s="1397"/>
      <c r="AD939" s="1397"/>
      <c r="AE939" s="1397"/>
      <c r="AF939" s="1398"/>
      <c r="AZ939" s="30"/>
      <c r="BA939" s="30"/>
    </row>
    <row r="940" spans="6:55" ht="12.95" customHeight="1">
      <c r="F940" s="1570" t="s">
        <v>2202</v>
      </c>
      <c r="G940" s="1571"/>
      <c r="H940" s="1571"/>
      <c r="I940" s="1571"/>
      <c r="J940" s="1571"/>
      <c r="K940" s="1571"/>
      <c r="L940" s="1571"/>
      <c r="M940" s="1571"/>
      <c r="N940" s="1571"/>
      <c r="O940" s="1571"/>
      <c r="P940" s="1571"/>
      <c r="Q940" s="1571"/>
      <c r="R940" s="1571"/>
      <c r="S940" s="1571"/>
      <c r="T940" s="1572"/>
      <c r="U940" s="1390" t="s">
        <v>591</v>
      </c>
      <c r="V940" s="1391"/>
      <c r="W940" s="1391"/>
      <c r="X940" s="1391"/>
      <c r="Y940" s="1391"/>
      <c r="Z940" s="1392"/>
      <c r="AA940" s="1396"/>
      <c r="AB940" s="1397"/>
      <c r="AC940" s="1397"/>
      <c r="AD940" s="1397"/>
      <c r="AE940" s="1397"/>
      <c r="AF940" s="1398"/>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390" t="s">
        <v>591</v>
      </c>
      <c r="V941" s="1391"/>
      <c r="W941" s="1391"/>
      <c r="X941" s="1391"/>
      <c r="Y941" s="1391"/>
      <c r="Z941" s="1392"/>
      <c r="AA941" s="1396"/>
      <c r="AB941" s="1397"/>
      <c r="AC941" s="1397"/>
      <c r="AD941" s="1397"/>
      <c r="AE941" s="1397"/>
      <c r="AF941" s="1398"/>
      <c r="AZ941" s="34"/>
      <c r="BA941" s="34"/>
      <c r="BB941" s="14"/>
      <c r="BC941" s="14"/>
    </row>
    <row r="942" spans="6:55" ht="12.95" customHeight="1">
      <c r="F942" s="1649" t="s">
        <v>2205</v>
      </c>
      <c r="G942" s="1650"/>
      <c r="H942" s="1650"/>
      <c r="I942" s="1650"/>
      <c r="J942" s="1650"/>
      <c r="K942" s="1650"/>
      <c r="L942" s="1650"/>
      <c r="M942" s="1650"/>
      <c r="N942" s="1650"/>
      <c r="O942" s="1650"/>
      <c r="P942" s="1650"/>
      <c r="Q942" s="1650"/>
      <c r="R942" s="1650"/>
      <c r="S942" s="1650"/>
      <c r="T942" s="1651"/>
      <c r="U942" s="1390" t="s">
        <v>591</v>
      </c>
      <c r="V942" s="1391"/>
      <c r="W942" s="1391"/>
      <c r="X942" s="1391"/>
      <c r="Y942" s="1391"/>
      <c r="Z942" s="1392"/>
      <c r="AA942" s="1396"/>
      <c r="AB942" s="1397"/>
      <c r="AC942" s="1397"/>
      <c r="AD942" s="1397"/>
      <c r="AE942" s="1397"/>
      <c r="AF942" s="1398"/>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390" t="s">
        <v>591</v>
      </c>
      <c r="V943" s="1391"/>
      <c r="W943" s="1391"/>
      <c r="X943" s="1391"/>
      <c r="Y943" s="1391"/>
      <c r="Z943" s="1392"/>
      <c r="AA943" s="1396"/>
      <c r="AB943" s="1397"/>
      <c r="AC943" s="1397"/>
      <c r="AD943" s="1397"/>
      <c r="AE943" s="1397"/>
      <c r="AF943" s="1398"/>
      <c r="AZ943" s="34"/>
      <c r="BA943" s="34"/>
      <c r="BB943" s="34"/>
      <c r="BC943" s="34"/>
    </row>
    <row r="944" spans="6:55" ht="12.95" customHeight="1">
      <c r="F944" s="1649" t="s">
        <v>2206</v>
      </c>
      <c r="G944" s="1650"/>
      <c r="H944" s="1650"/>
      <c r="I944" s="1650"/>
      <c r="J944" s="1650"/>
      <c r="K944" s="1650"/>
      <c r="L944" s="1650"/>
      <c r="M944" s="1650"/>
      <c r="N944" s="1650"/>
      <c r="O944" s="1650"/>
      <c r="P944" s="1650"/>
      <c r="Q944" s="1650"/>
      <c r="R944" s="1650"/>
      <c r="S944" s="1650"/>
      <c r="T944" s="1651"/>
      <c r="U944" s="1390" t="s">
        <v>591</v>
      </c>
      <c r="V944" s="1391"/>
      <c r="W944" s="1391"/>
      <c r="X944" s="1391"/>
      <c r="Y944" s="1391"/>
      <c r="Z944" s="1392"/>
      <c r="AA944" s="1396"/>
      <c r="AB944" s="1397"/>
      <c r="AC944" s="1397"/>
      <c r="AD944" s="1397"/>
      <c r="AE944" s="1397"/>
      <c r="AF944" s="1398"/>
      <c r="AZ944" s="34"/>
      <c r="BA944" s="34"/>
      <c r="BB944" s="34"/>
      <c r="BC944" s="34"/>
    </row>
    <row r="945" spans="1:55" ht="12.95" customHeight="1">
      <c r="F945" s="45" t="s">
        <v>806</v>
      </c>
      <c r="G945" s="5"/>
      <c r="H945" s="5"/>
      <c r="I945" s="5"/>
      <c r="J945" s="5"/>
      <c r="K945" s="5"/>
      <c r="L945" s="5"/>
      <c r="M945" s="5"/>
      <c r="N945" s="5"/>
      <c r="O945" s="5"/>
      <c r="P945" s="1390" t="s">
        <v>669</v>
      </c>
      <c r="Q945" s="1391"/>
      <c r="R945" s="1391"/>
      <c r="S945" s="1391"/>
      <c r="T945" s="1392"/>
      <c r="U945" s="1390" t="s">
        <v>591</v>
      </c>
      <c r="V945" s="1391"/>
      <c r="W945" s="1391"/>
      <c r="X945" s="1391"/>
      <c r="Y945" s="1391"/>
      <c r="Z945" s="1392"/>
      <c r="AA945" s="1396"/>
      <c r="AB945" s="1397"/>
      <c r="AC945" s="1397"/>
      <c r="AD945" s="1397"/>
      <c r="AE945" s="1397"/>
      <c r="AF945" s="1398"/>
      <c r="AZ945" s="34"/>
      <c r="BA945" s="34"/>
      <c r="BB945" s="34"/>
      <c r="BC945" s="34"/>
    </row>
    <row r="946" spans="1:55" ht="12.95" customHeight="1">
      <c r="F946" s="1570" t="s">
        <v>2193</v>
      </c>
      <c r="G946" s="1571"/>
      <c r="H946" s="1572"/>
      <c r="I946" s="1582" t="s">
        <v>333</v>
      </c>
      <c r="J946" s="1583"/>
      <c r="K946" s="1583"/>
      <c r="L946" s="1583"/>
      <c r="M946" s="1583"/>
      <c r="N946" s="1583"/>
      <c r="O946" s="1583"/>
      <c r="P946" s="1583"/>
      <c r="Q946" s="1583"/>
      <c r="R946" s="1583"/>
      <c r="S946" s="1583"/>
      <c r="T946" s="1584"/>
      <c r="U946" s="1390" t="s">
        <v>591</v>
      </c>
      <c r="V946" s="1391"/>
      <c r="W946" s="1391"/>
      <c r="X946" s="1391"/>
      <c r="Y946" s="1391"/>
      <c r="Z946" s="1392"/>
      <c r="AA946" s="1396"/>
      <c r="AB946" s="1397"/>
      <c r="AC946" s="1397"/>
      <c r="AD946" s="1397"/>
      <c r="AE946" s="1397"/>
      <c r="AF946" s="1398"/>
      <c r="AZ946" s="34"/>
      <c r="BA946" s="34"/>
      <c r="BB946" s="34"/>
      <c r="BC946" s="34"/>
    </row>
    <row r="947" spans="1:55" ht="12.95" customHeight="1">
      <c r="F947" s="45" t="s">
        <v>86</v>
      </c>
      <c r="G947" s="48"/>
      <c r="H947" s="48"/>
      <c r="I947" s="1582" t="s">
        <v>333</v>
      </c>
      <c r="J947" s="1583"/>
      <c r="K947" s="1583"/>
      <c r="L947" s="1583"/>
      <c r="M947" s="1583"/>
      <c r="N947" s="1583"/>
      <c r="O947" s="1583"/>
      <c r="P947" s="1583"/>
      <c r="Q947" s="1583"/>
      <c r="R947" s="1583"/>
      <c r="S947" s="1583"/>
      <c r="T947" s="1584"/>
      <c r="U947" s="1390" t="s">
        <v>591</v>
      </c>
      <c r="V947" s="1391"/>
      <c r="W947" s="1391"/>
      <c r="X947" s="1391"/>
      <c r="Y947" s="1391"/>
      <c r="Z947" s="1392"/>
      <c r="AA947" s="1396"/>
      <c r="AB947" s="1397"/>
      <c r="AC947" s="1397"/>
      <c r="AD947" s="1397"/>
      <c r="AE947" s="1397"/>
      <c r="AF947" s="1398"/>
      <c r="AZ947" s="34"/>
      <c r="BA947" s="34"/>
      <c r="BB947" s="34"/>
      <c r="BC947" s="34"/>
    </row>
    <row r="948" spans="1:55" ht="12.95" customHeight="1">
      <c r="F948" s="45" t="s">
        <v>10</v>
      </c>
      <c r="G948" s="48"/>
      <c r="H948" s="48"/>
      <c r="I948" s="1582" t="s">
        <v>2697</v>
      </c>
      <c r="J948" s="1510"/>
      <c r="K948" s="1510"/>
      <c r="L948" s="1510"/>
      <c r="M948" s="1510"/>
      <c r="N948" s="1510"/>
      <c r="O948" s="1510"/>
      <c r="P948" s="1510"/>
      <c r="Q948" s="1510"/>
      <c r="R948" s="1510"/>
      <c r="S948" s="1510"/>
      <c r="T948" s="1511"/>
      <c r="U948" s="1390" t="s">
        <v>545</v>
      </c>
      <c r="V948" s="1391"/>
      <c r="W948" s="1391"/>
      <c r="X948" s="1391"/>
      <c r="Y948" s="1391"/>
      <c r="Z948" s="1392"/>
      <c r="AA948" s="1396">
        <f>AM558</f>
        <v>600000</v>
      </c>
      <c r="AB948" s="1397"/>
      <c r="AC948" s="1397"/>
      <c r="AD948" s="1397"/>
      <c r="AE948" s="1397"/>
      <c r="AF948" s="1398"/>
      <c r="AV948" s="2"/>
      <c r="AW948" s="2"/>
      <c r="AX948" s="2"/>
      <c r="AY948" s="2"/>
      <c r="AZ948" s="34"/>
      <c r="BA948" s="34"/>
      <c r="BB948" s="34"/>
      <c r="BC948" s="34"/>
    </row>
    <row r="949" spans="1:55" ht="12.95" customHeight="1">
      <c r="F949" s="47" t="s">
        <v>169</v>
      </c>
      <c r="G949" s="48"/>
      <c r="H949" s="48"/>
      <c r="I949" s="1582" t="s">
        <v>2715</v>
      </c>
      <c r="J949" s="1510"/>
      <c r="K949" s="1510"/>
      <c r="L949" s="1510"/>
      <c r="M949" s="1510"/>
      <c r="N949" s="1510"/>
      <c r="O949" s="1510"/>
      <c r="P949" s="1510"/>
      <c r="Q949" s="1510"/>
      <c r="R949" s="1510"/>
      <c r="S949" s="1510"/>
      <c r="T949" s="1511"/>
      <c r="U949" s="1390" t="s">
        <v>545</v>
      </c>
      <c r="V949" s="1391"/>
      <c r="W949" s="1391"/>
      <c r="X949" s="1391"/>
      <c r="Y949" s="1391"/>
      <c r="Z949" s="1392"/>
      <c r="AA949" s="1396">
        <f>AM556</f>
        <v>22250000</v>
      </c>
      <c r="AB949" s="1397"/>
      <c r="AC949" s="1397"/>
      <c r="AD949" s="1397"/>
      <c r="AE949" s="1397"/>
      <c r="AF949" s="1398"/>
      <c r="AU949" s="2"/>
      <c r="AZ949" s="34"/>
      <c r="BA949" s="34"/>
      <c r="BB949" s="34"/>
      <c r="BC949" s="34"/>
    </row>
    <row r="950" spans="1:55" ht="12.95" customHeight="1">
      <c r="F950" s="47" t="s">
        <v>169</v>
      </c>
      <c r="G950" s="48"/>
      <c r="H950" s="48"/>
      <c r="I950" s="1509" t="s">
        <v>333</v>
      </c>
      <c r="J950" s="1510"/>
      <c r="K950" s="1510"/>
      <c r="L950" s="1510"/>
      <c r="M950" s="1510"/>
      <c r="N950" s="1510"/>
      <c r="O950" s="1510"/>
      <c r="P950" s="1510"/>
      <c r="Q950" s="1510"/>
      <c r="R950" s="1510"/>
      <c r="S950" s="1510"/>
      <c r="T950" s="1511"/>
      <c r="U950" s="1390" t="s">
        <v>591</v>
      </c>
      <c r="V950" s="1391"/>
      <c r="W950" s="1391"/>
      <c r="X950" s="1391"/>
      <c r="Y950" s="1391"/>
      <c r="Z950" s="1392"/>
      <c r="AA950" s="1396"/>
      <c r="AB950" s="1397"/>
      <c r="AC950" s="1397"/>
      <c r="AD950" s="1397"/>
      <c r="AE950" s="1397"/>
      <c r="AF950" s="139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88">
        <v>44749</v>
      </c>
      <c r="N955" s="1589"/>
      <c r="O955" s="1589"/>
      <c r="P955" s="1589"/>
      <c r="Q955" s="1589"/>
      <c r="R955" s="1589"/>
      <c r="S955" s="1590"/>
      <c r="U955" s="66" t="s">
        <v>11</v>
      </c>
      <c r="V955" s="5"/>
      <c r="W955" s="5"/>
      <c r="X955" s="5"/>
      <c r="Y955" s="5"/>
      <c r="Z955" s="5"/>
      <c r="AA955" s="5"/>
      <c r="AB955" s="5"/>
      <c r="AC955" s="5"/>
      <c r="AD955" s="46"/>
      <c r="AE955" s="1588">
        <v>44749</v>
      </c>
      <c r="AF955" s="1589"/>
      <c r="AG955" s="1589"/>
      <c r="AH955" s="1589"/>
      <c r="AI955" s="1589"/>
      <c r="AJ955" s="1589"/>
      <c r="AK955" s="1590"/>
      <c r="AZ955" s="34"/>
      <c r="BA955" s="34"/>
      <c r="BB955" s="34"/>
      <c r="BC955" s="34"/>
    </row>
    <row r="956" spans="1:55" ht="12.95" customHeight="1">
      <c r="C956" s="66" t="s">
        <v>12</v>
      </c>
      <c r="D956" s="5"/>
      <c r="E956" s="5"/>
      <c r="F956" s="5"/>
      <c r="G956" s="5"/>
      <c r="H956" s="5"/>
      <c r="I956" s="5"/>
      <c r="J956" s="5"/>
      <c r="K956" s="5"/>
      <c r="L956" s="46"/>
      <c r="M956" s="1521" t="s">
        <v>2699</v>
      </c>
      <c r="N956" s="1522"/>
      <c r="O956" s="1522"/>
      <c r="P956" s="1522"/>
      <c r="Q956" s="1522"/>
      <c r="R956" s="1522"/>
      <c r="S956" s="1523"/>
      <c r="U956" s="66" t="s">
        <v>12</v>
      </c>
      <c r="V956" s="5"/>
      <c r="W956" s="5"/>
      <c r="X956" s="5"/>
      <c r="Y956" s="5"/>
      <c r="Z956" s="5"/>
      <c r="AA956" s="5"/>
      <c r="AB956" s="5"/>
      <c r="AC956" s="5"/>
      <c r="AD956" s="46"/>
      <c r="AE956" s="1521" t="s">
        <v>2699</v>
      </c>
      <c r="AF956" s="1522"/>
      <c r="AG956" s="1522"/>
      <c r="AH956" s="1522"/>
      <c r="AI956" s="1522"/>
      <c r="AJ956" s="1522"/>
      <c r="AK956" s="1523"/>
      <c r="AZ956" s="34"/>
      <c r="BA956" s="34"/>
      <c r="BB956" s="34"/>
      <c r="BC956" s="34"/>
    </row>
    <row r="957" spans="1:55" ht="12.95" customHeight="1">
      <c r="C957" s="66" t="s">
        <v>880</v>
      </c>
      <c r="D957" s="5"/>
      <c r="E957" s="5"/>
      <c r="J957" s="1631" t="s">
        <v>2719</v>
      </c>
      <c r="K957" s="1632"/>
      <c r="L957" s="1632"/>
      <c r="M957" s="1632"/>
      <c r="N957" s="1632"/>
      <c r="O957" s="1632"/>
      <c r="P957" s="1632"/>
      <c r="Q957" s="1632"/>
      <c r="R957" s="1632"/>
      <c r="S957" s="1633"/>
      <c r="U957" s="66" t="s">
        <v>880</v>
      </c>
      <c r="V957" s="5"/>
      <c r="W957" s="5"/>
      <c r="AB957" s="1631" t="s">
        <v>2719</v>
      </c>
      <c r="AC957" s="1632"/>
      <c r="AD957" s="1632"/>
      <c r="AE957" s="1632"/>
      <c r="AF957" s="1632"/>
      <c r="AG957" s="1632"/>
      <c r="AH957" s="1632"/>
      <c r="AI957" s="1632"/>
      <c r="AJ957" s="1632"/>
      <c r="AK957" s="1633"/>
      <c r="AZ957" s="34"/>
      <c r="BA957" s="34"/>
      <c r="BB957" s="34"/>
      <c r="BC957" s="34"/>
    </row>
    <row r="958" spans="1:55" ht="12.95" customHeight="1">
      <c r="C958" s="66" t="s">
        <v>13</v>
      </c>
      <c r="D958" s="5"/>
      <c r="E958" s="5"/>
      <c r="F958" s="5"/>
      <c r="G958" s="5"/>
      <c r="H958" s="5"/>
      <c r="I958" s="5"/>
      <c r="J958" s="5"/>
      <c r="K958" s="5"/>
      <c r="L958" s="46"/>
      <c r="M958" s="1628">
        <f>('Subsidy Contract Calculation'!B10+'Subsidy Contract Calculation'!B13)/Application!G753</f>
        <v>0.24615384615384617</v>
      </c>
      <c r="N958" s="1562"/>
      <c r="O958" s="1562"/>
      <c r="P958" s="1562"/>
      <c r="Q958" s="1562"/>
      <c r="R958" s="1562"/>
      <c r="S958" s="1563"/>
      <c r="U958" s="66" t="s">
        <v>13</v>
      </c>
      <c r="V958" s="5"/>
      <c r="W958" s="5"/>
      <c r="X958" s="5"/>
      <c r="Y958" s="5"/>
      <c r="Z958" s="5"/>
      <c r="AA958" s="5"/>
      <c r="AB958" s="5"/>
      <c r="AC958" s="5"/>
      <c r="AD958" s="46"/>
      <c r="AE958" s="1561">
        <f>'Subsidy Contract Calculation'!B8/G753</f>
        <v>0.1076923076923077</v>
      </c>
      <c r="AF958" s="1562"/>
      <c r="AG958" s="1562"/>
      <c r="AH958" s="1562"/>
      <c r="AI958" s="1562"/>
      <c r="AJ958" s="1562"/>
      <c r="AK958" s="1563"/>
      <c r="AZ958" s="34"/>
      <c r="BA958" s="34"/>
      <c r="BB958" s="34"/>
      <c r="BC958" s="34"/>
    </row>
    <row r="959" spans="1:55" ht="12.95" customHeight="1">
      <c r="C959" s="66" t="s">
        <v>14</v>
      </c>
      <c r="D959" s="5"/>
      <c r="E959" s="5"/>
      <c r="F959" s="5"/>
      <c r="G959" s="5"/>
      <c r="H959" s="5"/>
      <c r="I959" s="5"/>
      <c r="J959" s="5"/>
      <c r="K959" s="5"/>
      <c r="L959" s="46"/>
      <c r="M959" s="1573">
        <f>'Subsidy Contract Calculation'!B10+'Subsidy Contract Calculation'!B13</f>
        <v>16</v>
      </c>
      <c r="N959" s="1574"/>
      <c r="O959" s="1574"/>
      <c r="P959" s="1574"/>
      <c r="Q959" s="1574"/>
      <c r="R959" s="1574"/>
      <c r="S959" s="1575"/>
      <c r="U959" s="66" t="s">
        <v>14</v>
      </c>
      <c r="V959" s="5"/>
      <c r="W959" s="5"/>
      <c r="X959" s="5"/>
      <c r="Y959" s="5"/>
      <c r="Z959" s="5"/>
      <c r="AA959" s="5"/>
      <c r="AB959" s="5"/>
      <c r="AC959" s="5"/>
      <c r="AD959" s="46"/>
      <c r="AE959" s="1573">
        <f>'Subsidy Contract Calculation'!B8</f>
        <v>7</v>
      </c>
      <c r="AF959" s="1574"/>
      <c r="AG959" s="1574"/>
      <c r="AH959" s="1574"/>
      <c r="AI959" s="1574"/>
      <c r="AJ959" s="1574"/>
      <c r="AK959" s="1575"/>
      <c r="AV959" s="2"/>
      <c r="AW959" s="2"/>
      <c r="AX959" s="2"/>
      <c r="AY959" s="2"/>
      <c r="AZ959" s="34"/>
      <c r="BA959" s="34"/>
      <c r="BB959" s="34"/>
      <c r="BC959" s="34"/>
    </row>
    <row r="960" spans="1:55" ht="12.95" customHeight="1">
      <c r="C960" s="66" t="s">
        <v>15</v>
      </c>
      <c r="D960" s="5"/>
      <c r="E960" s="5"/>
      <c r="F960" s="5"/>
      <c r="G960" s="5"/>
      <c r="H960" s="5"/>
      <c r="I960" s="5"/>
      <c r="J960" s="5"/>
      <c r="K960" s="5"/>
      <c r="L960" s="46"/>
      <c r="M960" s="1396">
        <f>('Subsidy Contract Calculation'!J10+'Subsidy Contract Calculation'!J13)*12</f>
        <v>489984</v>
      </c>
      <c r="N960" s="1397"/>
      <c r="O960" s="1397"/>
      <c r="P960" s="1397"/>
      <c r="Q960" s="1397"/>
      <c r="R960" s="1397"/>
      <c r="S960" s="1398"/>
      <c r="U960" s="66" t="s">
        <v>15</v>
      </c>
      <c r="V960" s="5"/>
      <c r="W960" s="5"/>
      <c r="X960" s="5"/>
      <c r="Y960" s="5"/>
      <c r="Z960" s="5"/>
      <c r="AA960" s="5"/>
      <c r="AB960" s="5"/>
      <c r="AC960" s="5"/>
      <c r="AD960" s="46"/>
      <c r="AE960" s="1396">
        <f>'Subsidy Contract Calculation'!J8*12</f>
        <v>104244</v>
      </c>
      <c r="AF960" s="1397"/>
      <c r="AG960" s="1397"/>
      <c r="AH960" s="1397"/>
      <c r="AI960" s="1397"/>
      <c r="AJ960" s="1397"/>
      <c r="AK960" s="1398"/>
      <c r="AV960" s="2"/>
      <c r="AW960" s="2"/>
      <c r="AX960" s="2"/>
      <c r="AY960" s="2"/>
      <c r="AZ960" s="34"/>
      <c r="BA960" s="34"/>
      <c r="BB960" s="34"/>
      <c r="BC960" s="34"/>
    </row>
    <row r="961" spans="1:64" ht="12.95" customHeight="1">
      <c r="C961" s="66" t="s">
        <v>16</v>
      </c>
      <c r="D961" s="5"/>
      <c r="E961" s="5"/>
      <c r="F961" s="5"/>
      <c r="G961" s="5"/>
      <c r="H961" s="5"/>
      <c r="I961" s="5"/>
      <c r="J961" s="5"/>
      <c r="K961" s="5"/>
      <c r="L961" s="46"/>
      <c r="M961" s="1396">
        <f>M960*M962</f>
        <v>9799680</v>
      </c>
      <c r="N961" s="1397"/>
      <c r="O961" s="1397"/>
      <c r="P961" s="1397"/>
      <c r="Q961" s="1397"/>
      <c r="R961" s="1397"/>
      <c r="S961" s="1398"/>
      <c r="U961" s="66" t="s">
        <v>16</v>
      </c>
      <c r="V961" s="5"/>
      <c r="W961" s="5"/>
      <c r="X961" s="5"/>
      <c r="Y961" s="5"/>
      <c r="Z961" s="5"/>
      <c r="AA961" s="5"/>
      <c r="AB961" s="5"/>
      <c r="AC961" s="5"/>
      <c r="AD961" s="46"/>
      <c r="AE961" s="1396">
        <f>AE960*AE962</f>
        <v>2084880</v>
      </c>
      <c r="AF961" s="1397"/>
      <c r="AG961" s="1397"/>
      <c r="AH961" s="1397"/>
      <c r="AI961" s="1397"/>
      <c r="AJ961" s="1397"/>
      <c r="AK961" s="1398"/>
      <c r="AV961" s="2"/>
      <c r="AW961" s="2"/>
      <c r="AX961" s="2"/>
      <c r="AY961" s="2"/>
      <c r="AZ961" s="34"/>
      <c r="BB961" s="34"/>
      <c r="BC961" s="34"/>
    </row>
    <row r="962" spans="1:64" ht="12.95" customHeight="1">
      <c r="C962" s="121" t="s">
        <v>1661</v>
      </c>
      <c r="D962" s="5"/>
      <c r="E962" s="5"/>
      <c r="F962" s="5"/>
      <c r="G962" s="5"/>
      <c r="H962" s="5"/>
      <c r="I962" s="5"/>
      <c r="J962" s="5"/>
      <c r="K962" s="5"/>
      <c r="L962" s="46"/>
      <c r="M962" s="1393">
        <v>20</v>
      </c>
      <c r="N962" s="1394"/>
      <c r="O962" s="1394"/>
      <c r="P962" s="1394"/>
      <c r="Q962" s="1394"/>
      <c r="R962" s="1394"/>
      <c r="S962" s="1395"/>
      <c r="U962" s="121" t="s">
        <v>1661</v>
      </c>
      <c r="V962" s="5"/>
      <c r="W962" s="5"/>
      <c r="X962" s="5"/>
      <c r="Y962" s="5"/>
      <c r="Z962" s="5"/>
      <c r="AA962" s="5"/>
      <c r="AB962" s="5"/>
      <c r="AC962" s="5"/>
      <c r="AD962" s="46"/>
      <c r="AE962" s="1393">
        <v>20</v>
      </c>
      <c r="AF962" s="1394"/>
      <c r="AG962" s="1394"/>
      <c r="AH962" s="1394"/>
      <c r="AI962" s="1394"/>
      <c r="AJ962" s="1394"/>
      <c r="AK962" s="139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18"/>
      <c r="N967" s="1519"/>
      <c r="O967" s="1519"/>
      <c r="P967" s="1519"/>
      <c r="Q967" s="1519"/>
      <c r="R967" s="1519"/>
      <c r="S967" s="1520"/>
      <c r="T967" s="66" t="s">
        <v>790</v>
      </c>
      <c r="U967" s="5"/>
      <c r="V967" s="5"/>
      <c r="W967" s="5"/>
      <c r="X967" s="5"/>
      <c r="Y967" s="5"/>
      <c r="Z967" s="46"/>
      <c r="AA967" s="1518"/>
      <c r="AB967" s="1519"/>
      <c r="AC967" s="1519"/>
      <c r="AD967" s="1519"/>
      <c r="AE967" s="1519"/>
      <c r="AF967" s="1519"/>
      <c r="AG967" s="152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18"/>
      <c r="N968" s="1519"/>
      <c r="O968" s="1519"/>
      <c r="P968" s="1519"/>
      <c r="Q968" s="1519"/>
      <c r="R968" s="1519"/>
      <c r="S968" s="1520"/>
      <c r="T968" s="66" t="s">
        <v>789</v>
      </c>
      <c r="U968" s="5"/>
      <c r="V968" s="5"/>
      <c r="W968" s="5"/>
      <c r="X968" s="5"/>
      <c r="Y968" s="5"/>
      <c r="Z968" s="46"/>
      <c r="AA968" s="1518"/>
      <c r="AB968" s="1519"/>
      <c r="AC968" s="1519"/>
      <c r="AD968" s="1519"/>
      <c r="AE968" s="1519"/>
      <c r="AF968" s="1519"/>
      <c r="AG968" s="152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37" t="s">
        <v>591</v>
      </c>
      <c r="N969" s="1638"/>
      <c r="O969" s="1638"/>
      <c r="P969" s="1638"/>
      <c r="Q969" s="1638"/>
      <c r="R969" s="1638"/>
      <c r="S969" s="1639"/>
      <c r="T969" s="45" t="s">
        <v>336</v>
      </c>
      <c r="U969" s="5"/>
      <c r="V969" s="5"/>
      <c r="W969" s="5"/>
      <c r="X969" s="5"/>
      <c r="Y969" s="5"/>
      <c r="Z969" s="46"/>
      <c r="AA969" s="1518"/>
      <c r="AB969" s="1519"/>
      <c r="AC969" s="1519"/>
      <c r="AD969" s="1519"/>
      <c r="AE969" s="1519"/>
      <c r="AF969" s="1519"/>
      <c r="AG969" s="152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18"/>
      <c r="N970" s="1519"/>
      <c r="O970" s="1519"/>
      <c r="P970" s="1519"/>
      <c r="Q970" s="1519"/>
      <c r="R970" s="1519"/>
      <c r="S970" s="1520"/>
      <c r="T970" s="45" t="s">
        <v>337</v>
      </c>
      <c r="U970" s="5"/>
      <c r="V970" s="5"/>
      <c r="W970" s="5"/>
      <c r="X970" s="5"/>
      <c r="Y970" s="5"/>
      <c r="Z970" s="46"/>
      <c r="AA970" s="1518"/>
      <c r="AB970" s="1519"/>
      <c r="AC970" s="1519"/>
      <c r="AD970" s="1519"/>
      <c r="AE970" s="1519"/>
      <c r="AF970" s="1519"/>
      <c r="AG970" s="152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18"/>
      <c r="N971" s="1519"/>
      <c r="O971" s="1519"/>
      <c r="P971" s="1519"/>
      <c r="Q971" s="1519"/>
      <c r="R971" s="1519"/>
      <c r="S971" s="1520"/>
      <c r="T971" s="45" t="s">
        <v>375</v>
      </c>
      <c r="U971" s="5"/>
      <c r="V971" s="5"/>
      <c r="W971" s="5"/>
      <c r="X971" s="5"/>
      <c r="Y971" s="5"/>
      <c r="Z971" s="46"/>
      <c r="AA971" s="1518"/>
      <c r="AB971" s="1519"/>
      <c r="AC971" s="1519"/>
      <c r="AD971" s="1519"/>
      <c r="AE971" s="1519"/>
      <c r="AF971" s="1519"/>
      <c r="AG971" s="152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631" t="s">
        <v>306</v>
      </c>
      <c r="N972" s="1632"/>
      <c r="O972" s="1632"/>
      <c r="P972" s="1632"/>
      <c r="Q972" s="1632"/>
      <c r="R972" s="1632"/>
      <c r="S972" s="1633"/>
      <c r="T972" s="1634"/>
      <c r="U972" s="1635"/>
      <c r="V972" s="1635"/>
      <c r="W972" s="1635"/>
      <c r="X972" s="1635"/>
      <c r="Y972" s="1635"/>
      <c r="Z972" s="1636"/>
      <c r="AA972" s="1518"/>
      <c r="AB972" s="1519"/>
      <c r="AC972" s="1519"/>
      <c r="AD972" s="1519"/>
      <c r="AE972" s="1519"/>
      <c r="AF972" s="1519"/>
      <c r="AG972" s="152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18"/>
      <c r="N973" s="1519"/>
      <c r="O973" s="1519"/>
      <c r="P973" s="1519"/>
      <c r="Q973" s="1519"/>
      <c r="R973" s="1519"/>
      <c r="S973" s="1520"/>
      <c r="T973" s="1634"/>
      <c r="U973" s="1635"/>
      <c r="V973" s="1635"/>
      <c r="W973" s="1635"/>
      <c r="X973" s="1635"/>
      <c r="Y973" s="1635"/>
      <c r="Z973" s="1636"/>
      <c r="AA973" s="1518"/>
      <c r="AB973" s="1519"/>
      <c r="AC973" s="1519"/>
      <c r="AD973" s="1519"/>
      <c r="AE973" s="1519"/>
      <c r="AF973" s="1519"/>
      <c r="AG973" s="152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51" t="s">
        <v>669</v>
      </c>
      <c r="P974" s="1552"/>
      <c r="Q974" s="92"/>
      <c r="R974" s="92"/>
      <c r="S974" s="93"/>
      <c r="T974" s="41" t="s">
        <v>169</v>
      </c>
      <c r="U974" s="42"/>
      <c r="V974" s="42"/>
      <c r="W974" s="1558" t="s">
        <v>333</v>
      </c>
      <c r="X974" s="1559"/>
      <c r="Y974" s="1559"/>
      <c r="Z974" s="1559"/>
      <c r="AA974" s="1559"/>
      <c r="AB974" s="1559"/>
      <c r="AC974" s="1559"/>
      <c r="AD974" s="1559"/>
      <c r="AE974" s="1559"/>
      <c r="AF974" s="1559"/>
      <c r="AG974" s="1560"/>
      <c r="AU974" s="68"/>
      <c r="AV974" s="95"/>
      <c r="AW974" s="95"/>
      <c r="AX974" s="95"/>
      <c r="AY974" s="95"/>
      <c r="AZ974" s="34"/>
      <c r="BB974" s="34"/>
      <c r="BC974" s="34"/>
      <c r="BD974" s="34"/>
      <c r="BE974" s="34"/>
      <c r="BF974" s="34"/>
      <c r="BG974" s="34"/>
      <c r="BH974" s="34"/>
      <c r="BI974" s="34"/>
      <c r="BJ974" s="34"/>
      <c r="BK974" s="34"/>
      <c r="BL974" s="34"/>
    </row>
    <row r="975" spans="1:64" ht="12.95" customHeight="1">
      <c r="F975" s="1642" t="s">
        <v>33</v>
      </c>
      <c r="G975" s="1416"/>
      <c r="H975" s="1416"/>
      <c r="I975" s="1416"/>
      <c r="J975" s="1416"/>
      <c r="K975" s="1416"/>
      <c r="L975" s="1416"/>
      <c r="M975" s="1518"/>
      <c r="N975" s="1519"/>
      <c r="O975" s="1519"/>
      <c r="P975" s="1519"/>
      <c r="Q975" s="1519"/>
      <c r="R975" s="1519"/>
      <c r="S975" s="1520"/>
      <c r="T975" s="47"/>
      <c r="U975" s="48"/>
      <c r="V975" s="48"/>
      <c r="W975" s="48"/>
      <c r="X975" s="48"/>
      <c r="Y975" s="48"/>
      <c r="Z975" s="124" t="s">
        <v>134</v>
      </c>
      <c r="AA975" s="1643"/>
      <c r="AB975" s="1644"/>
      <c r="AC975" s="1644"/>
      <c r="AD975" s="1644"/>
      <c r="AE975" s="1644"/>
      <c r="AF975" s="1644"/>
      <c r="AG975" s="164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51" t="s">
        <v>548</v>
      </c>
      <c r="B979" s="1451"/>
      <c r="C979" s="1451"/>
      <c r="D979" s="1451"/>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c r="AA979" s="1451"/>
      <c r="AB979" s="1451"/>
      <c r="AC979" s="1451"/>
      <c r="AD979" s="1451"/>
      <c r="AE979" s="1451"/>
      <c r="AF979" s="1451"/>
      <c r="AG979" s="1451"/>
      <c r="AH979" s="1451"/>
      <c r="AI979" s="1451"/>
      <c r="AJ979" s="1451"/>
      <c r="AK979" s="1451"/>
      <c r="AL979" s="1451"/>
      <c r="AM979" s="1451"/>
      <c r="AN979" s="1451"/>
      <c r="AO979" s="1451"/>
      <c r="AP979" s="1451"/>
      <c r="AQ979" s="1451"/>
      <c r="AR979" s="1451"/>
      <c r="AS979" s="1451"/>
      <c r="AT979" s="1451"/>
      <c r="AU979" s="68"/>
      <c r="AV979" s="68"/>
      <c r="AW979" s="68"/>
      <c r="AX979" s="68"/>
      <c r="AY979" s="68"/>
      <c r="AZ979" s="14"/>
      <c r="BA979" s="14"/>
      <c r="BB979" s="913"/>
      <c r="BC979" s="913"/>
    </row>
    <row r="980" spans="1:64" ht="12.95" customHeight="1">
      <c r="A980" s="1451"/>
      <c r="B980" s="1451"/>
      <c r="C980" s="1451"/>
      <c r="D980" s="1451"/>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c r="AA980" s="1451"/>
      <c r="AB980" s="1451"/>
      <c r="AC980" s="1451"/>
      <c r="AD980" s="1451"/>
      <c r="AE980" s="1451"/>
      <c r="AF980" s="1451"/>
      <c r="AG980" s="1451"/>
      <c r="AH980" s="1451"/>
      <c r="AI980" s="1451"/>
      <c r="AJ980" s="1451"/>
      <c r="AK980" s="1451"/>
      <c r="AL980" s="1451"/>
      <c r="AM980" s="1451"/>
      <c r="AN980" s="1451"/>
      <c r="AO980" s="1451"/>
      <c r="AP980" s="1451"/>
      <c r="AQ980" s="1451"/>
      <c r="AR980" s="1451"/>
      <c r="AS980" s="1451"/>
      <c r="AT980" s="1451"/>
      <c r="AU980" s="68"/>
      <c r="AV980" s="68"/>
      <c r="AW980" s="68"/>
      <c r="AX980" s="68"/>
      <c r="AY980" s="68"/>
      <c r="AZ980" s="30"/>
      <c r="BA980" s="14"/>
      <c r="BB980" s="14"/>
      <c r="BC980" s="14"/>
    </row>
    <row r="981" spans="1:64" ht="12.95" customHeight="1">
      <c r="A981" s="1451"/>
      <c r="B981" s="1451"/>
      <c r="C981" s="1451"/>
      <c r="D981" s="1451"/>
      <c r="E981" s="1451"/>
      <c r="F981" s="1451"/>
      <c r="G981" s="1451"/>
      <c r="H981" s="1451"/>
      <c r="I981" s="1451"/>
      <c r="J981" s="1451"/>
      <c r="K981" s="1451"/>
      <c r="L981" s="1451"/>
      <c r="M981" s="1451"/>
      <c r="N981" s="1451"/>
      <c r="O981" s="1451"/>
      <c r="P981" s="1451"/>
      <c r="Q981" s="1451"/>
      <c r="R981" s="1451"/>
      <c r="S981" s="1451"/>
      <c r="T981" s="1451"/>
      <c r="U981" s="1451"/>
      <c r="V981" s="1451"/>
      <c r="W981" s="1451"/>
      <c r="X981" s="1451"/>
      <c r="Y981" s="1451"/>
      <c r="Z981" s="1451"/>
      <c r="AA981" s="1451"/>
      <c r="AB981" s="1451"/>
      <c r="AC981" s="1451"/>
      <c r="AD981" s="1451"/>
      <c r="AE981" s="1451"/>
      <c r="AF981" s="1451"/>
      <c r="AG981" s="1451"/>
      <c r="AH981" s="1451"/>
      <c r="AI981" s="1451"/>
      <c r="AJ981" s="1451"/>
      <c r="AK981" s="1451"/>
      <c r="AL981" s="1451"/>
      <c r="AM981" s="1451"/>
      <c r="AN981" s="1451"/>
      <c r="AO981" s="1451"/>
      <c r="AP981" s="1451"/>
      <c r="AQ981" s="1451"/>
      <c r="AR981" s="1451"/>
      <c r="AS981" s="1451"/>
      <c r="AT981" s="145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26" t="s">
        <v>638</v>
      </c>
      <c r="E985" s="1527"/>
      <c r="F985" s="1527"/>
      <c r="G985" s="1527"/>
      <c r="H985" s="1527"/>
      <c r="I985" s="1527"/>
      <c r="J985" s="1527"/>
      <c r="K985" s="1527"/>
      <c r="L985" s="1527"/>
      <c r="M985" s="1527"/>
      <c r="N985" s="1527"/>
      <c r="O985" s="1527"/>
      <c r="P985" s="1527"/>
      <c r="Q985" s="1528"/>
      <c r="R985" s="1526" t="s">
        <v>639</v>
      </c>
      <c r="S985" s="1527"/>
      <c r="T985" s="1527"/>
      <c r="U985" s="1527"/>
      <c r="V985" s="1527"/>
      <c r="W985" s="1527"/>
      <c r="X985" s="1527"/>
      <c r="Y985" s="1527"/>
      <c r="Z985" s="1527"/>
      <c r="AA985" s="1528"/>
      <c r="AB985" s="1526" t="s">
        <v>640</v>
      </c>
      <c r="AC985" s="1527"/>
      <c r="AD985" s="1527"/>
      <c r="AE985" s="1527"/>
      <c r="AF985" s="1527"/>
      <c r="AG985" s="1527"/>
      <c r="AH985" s="1527"/>
      <c r="AI985" s="1528"/>
      <c r="AJ985" s="1526" t="s">
        <v>641</v>
      </c>
      <c r="AK985" s="1527"/>
      <c r="AL985" s="1527"/>
      <c r="AM985" s="1527"/>
      <c r="AN985" s="1527"/>
      <c r="AO985" s="1527"/>
      <c r="AP985" s="1527"/>
      <c r="AQ985" s="1528"/>
      <c r="AR985" s="68"/>
      <c r="AS985" s="68"/>
      <c r="AT985" s="68"/>
      <c r="AU985" s="68"/>
      <c r="AV985" s="68"/>
      <c r="AW985" s="68"/>
      <c r="AX985" s="68"/>
      <c r="AY985" s="68"/>
      <c r="AZ985" s="30"/>
      <c r="BB985" s="14"/>
      <c r="BC985" s="14"/>
    </row>
    <row r="986" spans="1:64" ht="12.95" customHeight="1">
      <c r="A986" s="14"/>
      <c r="B986" s="73"/>
      <c r="C986" s="930"/>
      <c r="D986" s="1375" t="s">
        <v>633</v>
      </c>
      <c r="E986" s="1376"/>
      <c r="F986" s="1376"/>
      <c r="G986" s="1376"/>
      <c r="H986" s="1376"/>
      <c r="I986" s="1376"/>
      <c r="J986" s="1376"/>
      <c r="K986" s="1376"/>
      <c r="L986" s="1376"/>
      <c r="M986" s="1376"/>
      <c r="N986" s="1376"/>
      <c r="O986" s="1376"/>
      <c r="P986" s="1376"/>
      <c r="Q986" s="1377"/>
      <c r="R986" s="1525">
        <f>IF(ISNA(IF($CU$122="4%",(INDEX($CS$160:$CW$217,MATCH($DG$122,$CR$160:$CR$217,0),MATCH(D986,$CS$159:$CW$159,0))),(INDEX($CZ$160:$DD$217,MATCH($DG$122,$CY$160:$CY$217,0),MATCH(D986,$CZ$159:$DD$159,0))))),0,IF($CU$122="4%",(INDEX($CS$160:$CW$217,MATCH($DG$122,$CR$160:$CR$217,0),MATCH(D986,$CS$159:$CW$159,0))),(INDEX($CZ$160:$DD$217,MATCH($DG$122,$CY$160:$CY$217,0),MATCH(D986,$CZ$159:$DD$159,0)))))</f>
        <v>532060</v>
      </c>
      <c r="S986" s="1525"/>
      <c r="T986" s="1525"/>
      <c r="U986" s="1525"/>
      <c r="V986" s="1525"/>
      <c r="W986" s="1525"/>
      <c r="X986" s="1525"/>
      <c r="Y986" s="1525"/>
      <c r="Z986" s="1525"/>
      <c r="AA986" s="1525"/>
      <c r="AB986" s="1378">
        <f>CP802</f>
        <v>15</v>
      </c>
      <c r="AC986" s="1379"/>
      <c r="AD986" s="1379"/>
      <c r="AE986" s="1379"/>
      <c r="AF986" s="1379"/>
      <c r="AG986" s="1379"/>
      <c r="AH986" s="1379"/>
      <c r="AI986" s="1380"/>
      <c r="AJ986" s="1481">
        <f>IF(ISERROR((R986*AB986)),0,(R986*AB986))</f>
        <v>7980900</v>
      </c>
      <c r="AK986" s="1482"/>
      <c r="AL986" s="1482"/>
      <c r="AM986" s="1482"/>
      <c r="AN986" s="1482"/>
      <c r="AO986" s="1482"/>
      <c r="AP986" s="1482"/>
      <c r="AQ986" s="1483"/>
      <c r="AR986" s="68"/>
      <c r="AS986" s="68"/>
      <c r="AT986" s="68"/>
      <c r="AU986" s="68"/>
      <c r="AV986" s="68"/>
      <c r="AW986" s="68"/>
      <c r="AX986" s="68"/>
      <c r="AY986" s="68"/>
      <c r="AZ986" s="30"/>
      <c r="BB986" s="14"/>
      <c r="BC986" s="14"/>
    </row>
    <row r="987" spans="1:64" ht="12.95" customHeight="1">
      <c r="A987" s="14"/>
      <c r="B987" s="73"/>
      <c r="C987" s="83"/>
      <c r="D987" s="1375" t="s">
        <v>324</v>
      </c>
      <c r="E987" s="1376"/>
      <c r="F987" s="1376"/>
      <c r="G987" s="1376"/>
      <c r="H987" s="1376"/>
      <c r="I987" s="1376"/>
      <c r="J987" s="1376"/>
      <c r="K987" s="1376"/>
      <c r="L987" s="1376"/>
      <c r="M987" s="1376"/>
      <c r="N987" s="1376"/>
      <c r="O987" s="1376"/>
      <c r="P987" s="1376"/>
      <c r="Q987" s="1377"/>
      <c r="R987" s="1525">
        <f>IF(ISNA(IF($CU$122="4%",(INDEX($CS$160:$CW$217,MATCH($DG$122,$CR$160:$CR$217,0),MATCH(D987,$CS$159:$CW$159,0))),(INDEX($CZ$160:$DD$217,MATCH($DG$122,$CY$160:$CY$217,0),MATCH(D987,$CZ$159:$DD$159,0))))),0,IF($CU$122="4%",(INDEX($CS$160:$CW$217,MATCH($DG$122,$CR$160:$CR$217,0),MATCH(D987,$CS$159:$CW$159,0))),(INDEX($CZ$160:$DD$217,MATCH($DG$122,$CY$160:$CY$217,0),MATCH(D987,$CZ$159:$DD$159,0)))))</f>
        <v>613460</v>
      </c>
      <c r="S987" s="1525"/>
      <c r="T987" s="1525"/>
      <c r="U987" s="1525"/>
      <c r="V987" s="1525"/>
      <c r="W987" s="1525"/>
      <c r="X987" s="1525"/>
      <c r="Y987" s="1525"/>
      <c r="Z987" s="1525"/>
      <c r="AA987" s="1525"/>
      <c r="AB987" s="1378">
        <f>CU802</f>
        <v>16</v>
      </c>
      <c r="AC987" s="1379"/>
      <c r="AD987" s="1379"/>
      <c r="AE987" s="1379"/>
      <c r="AF987" s="1379"/>
      <c r="AG987" s="1379"/>
      <c r="AH987" s="1379"/>
      <c r="AI987" s="1380"/>
      <c r="AJ987" s="1481">
        <f>IF(ISERROR((R987*AB987)),0,(R987*AB987))</f>
        <v>9815360</v>
      </c>
      <c r="AK987" s="1482"/>
      <c r="AL987" s="1482"/>
      <c r="AM987" s="1482"/>
      <c r="AN987" s="1482"/>
      <c r="AO987" s="1482"/>
      <c r="AP987" s="1482"/>
      <c r="AQ987" s="1483"/>
      <c r="AR987" s="68"/>
      <c r="AS987" s="68"/>
      <c r="AT987" s="68"/>
      <c r="AU987" s="68"/>
      <c r="AV987" s="68"/>
      <c r="AW987" s="68"/>
      <c r="AX987" s="68"/>
      <c r="AY987" s="68"/>
      <c r="AZ987" s="30"/>
      <c r="BB987" s="14"/>
      <c r="BC987" s="14"/>
    </row>
    <row r="988" spans="1:64" ht="12.95" customHeight="1">
      <c r="A988" s="14"/>
      <c r="B988" s="73"/>
      <c r="C988" s="83"/>
      <c r="D988" s="1375" t="s">
        <v>163</v>
      </c>
      <c r="E988" s="1376"/>
      <c r="F988" s="1376"/>
      <c r="G988" s="1376"/>
      <c r="H988" s="1376"/>
      <c r="I988" s="1376"/>
      <c r="J988" s="1376"/>
      <c r="K988" s="1376"/>
      <c r="L988" s="1376"/>
      <c r="M988" s="1376"/>
      <c r="N988" s="1376"/>
      <c r="O988" s="1376"/>
      <c r="P988" s="1376"/>
      <c r="Q988" s="1377"/>
      <c r="R988" s="1525">
        <f>IF(ISNA(IF($CU$122="4%",(INDEX($CS$160:$CW$217,MATCH($DG$122,$CR$160:$CR$217,0),MATCH(D988,$CS$159:$CW$159,0))),(INDEX($CZ$160:$DD$217,MATCH($DG$122,$CY$160:$CY$217,0),MATCH(D988,$CZ$159:$DD$159,0))))),0,IF($CU$122="4%",(INDEX($CS$160:$CW$217,MATCH($DG$122,$CR$160:$CR$217,0),MATCH(D988,$CS$159:$CW$159,0))),(INDEX($CZ$160:$DD$217,MATCH($DG$122,$CY$160:$CY$217,0),MATCH(D988,$CZ$159:$DD$159,0)))))</f>
        <v>740000</v>
      </c>
      <c r="S988" s="1525"/>
      <c r="T988" s="1525"/>
      <c r="U988" s="1525"/>
      <c r="V988" s="1525"/>
      <c r="W988" s="1525"/>
      <c r="X988" s="1525"/>
      <c r="Y988" s="1525"/>
      <c r="Z988" s="1525"/>
      <c r="AA988" s="1525"/>
      <c r="AB988" s="1378">
        <f>CZ802</f>
        <v>17</v>
      </c>
      <c r="AC988" s="1379"/>
      <c r="AD988" s="1379"/>
      <c r="AE988" s="1379"/>
      <c r="AF988" s="1379"/>
      <c r="AG988" s="1379"/>
      <c r="AH988" s="1379"/>
      <c r="AI988" s="1380"/>
      <c r="AJ988" s="1481">
        <f>IF(ISERROR((R988*AB988)),0,(R988*AB988))</f>
        <v>12580000</v>
      </c>
      <c r="AK988" s="1482"/>
      <c r="AL988" s="1482"/>
      <c r="AM988" s="1482"/>
      <c r="AN988" s="1482"/>
      <c r="AO988" s="1482"/>
      <c r="AP988" s="1482"/>
      <c r="AQ988" s="1483"/>
      <c r="AR988" s="68"/>
      <c r="AS988" s="68"/>
      <c r="AT988" s="68"/>
      <c r="AU988" s="68"/>
      <c r="AV988" s="68"/>
      <c r="AW988" s="68"/>
      <c r="AX988" s="68"/>
      <c r="AY988" s="68"/>
      <c r="AZ988" s="30"/>
      <c r="BB988" s="14"/>
      <c r="BC988" s="14"/>
    </row>
    <row r="989" spans="1:64" ht="12.95" customHeight="1">
      <c r="A989" s="14"/>
      <c r="B989" s="73"/>
      <c r="C989" s="83"/>
      <c r="D989" s="1375" t="s">
        <v>164</v>
      </c>
      <c r="E989" s="1376"/>
      <c r="F989" s="1376"/>
      <c r="G989" s="1376"/>
      <c r="H989" s="1376"/>
      <c r="I989" s="1376"/>
      <c r="J989" s="1376"/>
      <c r="K989" s="1376"/>
      <c r="L989" s="1376"/>
      <c r="M989" s="1376"/>
      <c r="N989" s="1376"/>
      <c r="O989" s="1376"/>
      <c r="P989" s="1376"/>
      <c r="Q989" s="1377"/>
      <c r="R989" s="1525">
        <f>IF(ISNA(IF($CU$122="4%",(INDEX($CS$160:$CW$217,MATCH($DG$122,$CR$160:$CR$217,0),MATCH(D989,$CS$159:$CW$159,0))),(INDEX($CZ$160:$DD$217,MATCH($DG$122,$CY$160:$CY$217,0),MATCH(D989,$CZ$159:$DD$159,0))))),0,IF($CU$122="4%",(INDEX($CS$160:$CW$217,MATCH($DG$122,$CR$160:$CR$217,0),MATCH(D989,$CS$159:$CW$159,0))),(INDEX($CZ$160:$DD$217,MATCH($DG$122,$CY$160:$CY$217,0),MATCH(D989,$CZ$159:$DD$159,0)))))</f>
        <v>947200</v>
      </c>
      <c r="S989" s="1525"/>
      <c r="T989" s="1525"/>
      <c r="U989" s="1525"/>
      <c r="V989" s="1525"/>
      <c r="W989" s="1525"/>
      <c r="X989" s="1525"/>
      <c r="Y989" s="1525"/>
      <c r="Z989" s="1525"/>
      <c r="AA989" s="1525"/>
      <c r="AB989" s="1378">
        <f>DE802</f>
        <v>18</v>
      </c>
      <c r="AC989" s="1379"/>
      <c r="AD989" s="1379"/>
      <c r="AE989" s="1379"/>
      <c r="AF989" s="1379"/>
      <c r="AG989" s="1379"/>
      <c r="AH989" s="1379"/>
      <c r="AI989" s="1380"/>
      <c r="AJ989" s="1481">
        <f>IF(ISERROR((R989*AB989)),0,(R989*AB989))</f>
        <v>17049600</v>
      </c>
      <c r="AK989" s="1482"/>
      <c r="AL989" s="1482"/>
      <c r="AM989" s="1482"/>
      <c r="AN989" s="1482"/>
      <c r="AO989" s="1482"/>
      <c r="AP989" s="1482"/>
      <c r="AQ989" s="1483"/>
      <c r="AR989" s="68"/>
      <c r="AS989" s="68"/>
      <c r="AT989" s="68"/>
      <c r="AU989" s="68"/>
      <c r="AV989" s="68"/>
      <c r="AW989" s="68"/>
      <c r="AX989" s="68"/>
      <c r="AY989" s="68"/>
      <c r="AZ989" s="30"/>
      <c r="BA989" s="34"/>
      <c r="BB989" s="14"/>
      <c r="BC989" s="14"/>
    </row>
    <row r="990" spans="1:64" ht="12.95" customHeight="1">
      <c r="A990" s="14"/>
      <c r="B990" s="47"/>
      <c r="C990" s="78"/>
      <c r="D990" s="1375" t="s">
        <v>460</v>
      </c>
      <c r="E990" s="1376"/>
      <c r="F990" s="1376"/>
      <c r="G990" s="1376"/>
      <c r="H990" s="1376"/>
      <c r="I990" s="1376"/>
      <c r="J990" s="1376"/>
      <c r="K990" s="1376"/>
      <c r="L990" s="1376"/>
      <c r="M990" s="1376"/>
      <c r="N990" s="1376"/>
      <c r="O990" s="1376"/>
      <c r="P990" s="1376"/>
      <c r="Q990" s="1377"/>
      <c r="R990" s="1525">
        <f>IF(ISNA(IF($CU$122="4%",(INDEX($CS$160:$CW$217,MATCH($DG$122,$CR$160:$CR$217,0),MATCH(D990,$CS$159:$CW$159,0))),(INDEX($CZ$160:$DD$217,MATCH($DG$122,$CY$160:$CY$217,0),MATCH(D990,$CZ$159:$DD$159,0))))),0,IF($CU$122="4%",(INDEX($CS$160:$CW$217,MATCH($DG$122,$CR$160:$CR$217,0),MATCH(D990,$CS$159:$CW$159,0))),(INDEX($CZ$160:$DD$217,MATCH($DG$122,$CY$160:$CY$217,0),MATCH(D990,$CZ$159:$DD$159,0)))))</f>
        <v>1055240</v>
      </c>
      <c r="S990" s="1525"/>
      <c r="T990" s="1525"/>
      <c r="U990" s="1525"/>
      <c r="V990" s="1525"/>
      <c r="W990" s="1525"/>
      <c r="X990" s="1525"/>
      <c r="Y990" s="1525"/>
      <c r="Z990" s="1525"/>
      <c r="AA990" s="1525"/>
      <c r="AB990" s="1378">
        <f>DO802+DJ802</f>
        <v>0</v>
      </c>
      <c r="AC990" s="1379"/>
      <c r="AD990" s="1379"/>
      <c r="AE990" s="1379"/>
      <c r="AF990" s="1379"/>
      <c r="AG990" s="1379"/>
      <c r="AH990" s="1379"/>
      <c r="AI990" s="1380"/>
      <c r="AJ990" s="1481">
        <f>IF(ISERROR((R990*AB990)),0,(R990*AB990))</f>
        <v>0</v>
      </c>
      <c r="AK990" s="1482"/>
      <c r="AL990" s="1482"/>
      <c r="AM990" s="1482"/>
      <c r="AN990" s="1482"/>
      <c r="AO990" s="1482"/>
      <c r="AP990" s="1482"/>
      <c r="AQ990" s="1483"/>
      <c r="AR990" s="68"/>
      <c r="AS990" s="68"/>
      <c r="AT990" s="68"/>
      <c r="AU990" s="68"/>
      <c r="AV990" s="68"/>
      <c r="AW990" s="68"/>
      <c r="AX990" s="68"/>
      <c r="AY990" s="68"/>
      <c r="AZ990" s="30"/>
      <c r="BB990" s="14"/>
      <c r="BC990" s="14"/>
    </row>
    <row r="991" spans="1:64" ht="12.95" customHeight="1">
      <c r="A991" s="14"/>
      <c r="B991" s="1576" t="s">
        <v>791</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8"/>
      <c r="AB991" s="1378">
        <f>SUM(AB986:AI990)</f>
        <v>66</v>
      </c>
      <c r="AC991" s="1379"/>
      <c r="AD991" s="1379"/>
      <c r="AE991" s="1379"/>
      <c r="AF991" s="1379"/>
      <c r="AG991" s="1379"/>
      <c r="AH991" s="1379"/>
      <c r="AI991" s="1380"/>
      <c r="AJ991" s="1481"/>
      <c r="AK991" s="1482"/>
      <c r="AL991" s="1482"/>
      <c r="AM991" s="1482"/>
      <c r="AN991" s="1482"/>
      <c r="AO991" s="1482"/>
      <c r="AP991" s="1482"/>
      <c r="AQ991" s="1483"/>
      <c r="AR991" s="68"/>
      <c r="AS991" s="68"/>
      <c r="AT991" s="68"/>
      <c r="AU991" s="68"/>
      <c r="AV991" s="68"/>
      <c r="AW991" s="68"/>
      <c r="AX991" s="68"/>
      <c r="AY991" s="68"/>
      <c r="AZ991" s="34"/>
      <c r="BA991" s="34"/>
      <c r="BB991" s="14"/>
      <c r="BC991" s="14"/>
    </row>
    <row r="992" spans="1:64" ht="12.95" customHeight="1">
      <c r="A992" s="14"/>
      <c r="B992" s="1585" t="s">
        <v>512</v>
      </c>
      <c r="C992" s="1586"/>
      <c r="D992" s="1586"/>
      <c r="E992" s="1586"/>
      <c r="F992" s="1586"/>
      <c r="G992" s="1586"/>
      <c r="H992" s="1586"/>
      <c r="I992" s="1586"/>
      <c r="J992" s="1586"/>
      <c r="K992" s="1586"/>
      <c r="L992" s="1586"/>
      <c r="M992" s="1586"/>
      <c r="N992" s="1586"/>
      <c r="O992" s="1586"/>
      <c r="P992" s="1586"/>
      <c r="Q992" s="1586"/>
      <c r="R992" s="1586"/>
      <c r="S992" s="1586"/>
      <c r="T992" s="1586"/>
      <c r="U992" s="1586"/>
      <c r="V992" s="1586"/>
      <c r="W992" s="1586"/>
      <c r="X992" s="1586"/>
      <c r="Y992" s="1586"/>
      <c r="Z992" s="1586"/>
      <c r="AA992" s="1586"/>
      <c r="AB992" s="1586"/>
      <c r="AC992" s="1586"/>
      <c r="AD992" s="1586"/>
      <c r="AE992" s="1586"/>
      <c r="AF992" s="1586"/>
      <c r="AG992" s="1586"/>
      <c r="AH992" s="1586"/>
      <c r="AI992" s="1587"/>
      <c r="AJ992" s="1481">
        <f>SUM(AJ986:AQ990)</f>
        <v>47425860</v>
      </c>
      <c r="AK992" s="1482"/>
      <c r="AL992" s="1482"/>
      <c r="AM992" s="1482"/>
      <c r="AN992" s="1482"/>
      <c r="AO992" s="1482"/>
      <c r="AP992" s="1482"/>
      <c r="AQ992" s="1483"/>
      <c r="AR992" s="68"/>
      <c r="AS992" s="68"/>
      <c r="AT992" s="68"/>
      <c r="AU992" s="68"/>
      <c r="AV992" s="68"/>
      <c r="AW992" s="68"/>
      <c r="AX992" s="68"/>
      <c r="AY992" s="68"/>
      <c r="AZ992" s="34"/>
      <c r="BB992" s="34"/>
      <c r="BC992" s="34"/>
    </row>
    <row r="993" spans="1:55" ht="12.95" customHeight="1">
      <c r="A993" s="14"/>
      <c r="B993" s="1484"/>
      <c r="C993" s="1485"/>
      <c r="D993" s="1485"/>
      <c r="E993" s="1485"/>
      <c r="F993" s="1485"/>
      <c r="G993" s="1485"/>
      <c r="H993" s="1485"/>
      <c r="I993" s="1485"/>
      <c r="J993" s="1485"/>
      <c r="K993" s="1485"/>
      <c r="L993" s="1485"/>
      <c r="M993" s="1485"/>
      <c r="N993" s="1485"/>
      <c r="O993" s="1485"/>
      <c r="P993" s="1485"/>
      <c r="Q993" s="1485"/>
      <c r="R993" s="1485"/>
      <c r="S993" s="1485"/>
      <c r="T993" s="1485"/>
      <c r="U993" s="1485"/>
      <c r="V993" s="1485"/>
      <c r="W993" s="1485"/>
      <c r="X993" s="1485"/>
      <c r="Y993" s="1485"/>
      <c r="Z993" s="1485"/>
      <c r="AA993" s="1485"/>
      <c r="AB993" s="1485"/>
      <c r="AC993" s="1485"/>
      <c r="AD993" s="1485"/>
      <c r="AE993" s="1486"/>
      <c r="AF993" s="1490" t="s">
        <v>666</v>
      </c>
      <c r="AG993" s="1491"/>
      <c r="AH993" s="1491"/>
      <c r="AI993" s="1492"/>
      <c r="AJ993" s="1484"/>
      <c r="AK993" s="1485"/>
      <c r="AL993" s="1485"/>
      <c r="AM993" s="1485"/>
      <c r="AN993" s="1485"/>
      <c r="AO993" s="1485"/>
      <c r="AP993" s="1485"/>
      <c r="AQ993" s="1486"/>
      <c r="AR993" s="68"/>
      <c r="AS993" s="68"/>
      <c r="AT993" s="68"/>
      <c r="AU993" s="68"/>
      <c r="AV993" s="68"/>
      <c r="AW993" s="68"/>
      <c r="AX993" s="68"/>
      <c r="AY993" s="68"/>
      <c r="AZ993" s="34"/>
      <c r="BA993" s="34"/>
      <c r="BB993" s="34"/>
      <c r="BC993" s="34"/>
    </row>
    <row r="994" spans="1:55" ht="12.95" customHeight="1">
      <c r="A994" s="14"/>
      <c r="B994" s="73"/>
      <c r="C994" s="928" t="s">
        <v>668</v>
      </c>
      <c r="D994" s="1497" t="s">
        <v>1220</v>
      </c>
      <c r="E994" s="1498"/>
      <c r="F994" s="1498"/>
      <c r="G994" s="1498"/>
      <c r="H994" s="1498"/>
      <c r="I994" s="1498"/>
      <c r="J994" s="1498"/>
      <c r="K994" s="1498"/>
      <c r="L994" s="1498"/>
      <c r="M994" s="1498"/>
      <c r="N994" s="1498"/>
      <c r="O994" s="1498"/>
      <c r="P994" s="1498"/>
      <c r="Q994" s="1498"/>
      <c r="R994" s="1498"/>
      <c r="S994" s="1498"/>
      <c r="T994" s="1498"/>
      <c r="U994" s="1498"/>
      <c r="V994" s="1498"/>
      <c r="W994" s="1498"/>
      <c r="X994" s="1498"/>
      <c r="Y994" s="1498"/>
      <c r="Z994" s="1498"/>
      <c r="AA994" s="1498"/>
      <c r="AB994" s="1498"/>
      <c r="AC994" s="1498"/>
      <c r="AD994" s="1498"/>
      <c r="AE994" s="1499"/>
      <c r="AF994" s="79"/>
      <c r="AG994" s="1493" t="s">
        <v>545</v>
      </c>
      <c r="AH994" s="1494"/>
      <c r="AI994" s="87"/>
      <c r="AJ994" s="1381">
        <f>ROUND(IF(AND(AG994="yes",D1000&gt;0),AJ992*0.2,0),0)</f>
        <v>9485172</v>
      </c>
      <c r="AK994" s="1382"/>
      <c r="AL994" s="1382"/>
      <c r="AM994" s="1382"/>
      <c r="AN994" s="1382"/>
      <c r="AO994" s="1382"/>
      <c r="AP994" s="1382"/>
      <c r="AQ994" s="1383"/>
      <c r="AR994" s="68"/>
      <c r="AS994" s="68"/>
      <c r="AT994" s="68"/>
      <c r="AU994" s="68"/>
      <c r="AV994" s="68"/>
      <c r="AW994" s="68"/>
      <c r="AX994" s="68"/>
      <c r="AY994" s="68"/>
      <c r="AZ994" s="34"/>
      <c r="BA994" s="34"/>
      <c r="BB994" s="34"/>
      <c r="BC994" s="34"/>
    </row>
    <row r="995" spans="1:55" ht="12.95" customHeight="1">
      <c r="A995" s="14"/>
      <c r="B995" s="258"/>
      <c r="C995" s="257"/>
      <c r="D995" s="1512" t="s">
        <v>2238</v>
      </c>
      <c r="E995" s="1513"/>
      <c r="F995" s="1513"/>
      <c r="G995" s="1513"/>
      <c r="H995" s="1513"/>
      <c r="I995" s="1513"/>
      <c r="J995" s="1513"/>
      <c r="K995" s="1513"/>
      <c r="L995" s="1513"/>
      <c r="M995" s="1513"/>
      <c r="N995" s="1513"/>
      <c r="O995" s="1513"/>
      <c r="P995" s="1513"/>
      <c r="Q995" s="1513"/>
      <c r="R995" s="1513"/>
      <c r="S995" s="1513"/>
      <c r="T995" s="1513"/>
      <c r="U995" s="1513"/>
      <c r="V995" s="1513"/>
      <c r="W995" s="1513"/>
      <c r="X995" s="1513"/>
      <c r="Y995" s="1513"/>
      <c r="Z995" s="1513"/>
      <c r="AA995" s="1513"/>
      <c r="AB995" s="1513"/>
      <c r="AC995" s="1513"/>
      <c r="AD995" s="1513"/>
      <c r="AE995" s="1514"/>
      <c r="AF995" s="73"/>
      <c r="AG995" s="14"/>
      <c r="AH995" s="14"/>
      <c r="AI995" s="83"/>
      <c r="AJ995" s="1384"/>
      <c r="AK995" s="1385"/>
      <c r="AL995" s="1385"/>
      <c r="AM995" s="1385"/>
      <c r="AN995" s="1385"/>
      <c r="AO995" s="1385"/>
      <c r="AP995" s="1385"/>
      <c r="AQ995" s="1386"/>
      <c r="AR995" s="68"/>
      <c r="AS995" s="68"/>
      <c r="AT995" s="68"/>
      <c r="AU995" s="68"/>
      <c r="AV995" s="68"/>
      <c r="AW995" s="68"/>
      <c r="AX995" s="68"/>
      <c r="AY995" s="68"/>
      <c r="AZ995" s="34"/>
      <c r="BA995" s="34"/>
      <c r="BB995" s="34"/>
      <c r="BC995" s="34"/>
    </row>
    <row r="996" spans="1:55" ht="12.95" customHeight="1">
      <c r="A996" s="14"/>
      <c r="B996" s="258"/>
      <c r="C996" s="257"/>
      <c r="D996" s="1512"/>
      <c r="E996" s="1513"/>
      <c r="F996" s="1513"/>
      <c r="G996" s="1513"/>
      <c r="H996" s="1513"/>
      <c r="I996" s="1513"/>
      <c r="J996" s="1513"/>
      <c r="K996" s="1513"/>
      <c r="L996" s="1513"/>
      <c r="M996" s="1513"/>
      <c r="N996" s="1513"/>
      <c r="O996" s="1513"/>
      <c r="P996" s="1513"/>
      <c r="Q996" s="1513"/>
      <c r="R996" s="1513"/>
      <c r="S996" s="1513"/>
      <c r="T996" s="1513"/>
      <c r="U996" s="1513"/>
      <c r="V996" s="1513"/>
      <c r="W996" s="1513"/>
      <c r="X996" s="1513"/>
      <c r="Y996" s="1513"/>
      <c r="Z996" s="1513"/>
      <c r="AA996" s="1513"/>
      <c r="AB996" s="1513"/>
      <c r="AC996" s="1513"/>
      <c r="AD996" s="1513"/>
      <c r="AE996" s="1514"/>
      <c r="AF996" s="73"/>
      <c r="AG996" s="14"/>
      <c r="AH996" s="14"/>
      <c r="AI996" s="83"/>
      <c r="AJ996" s="1384"/>
      <c r="AK996" s="1385"/>
      <c r="AL996" s="1385"/>
      <c r="AM996" s="1385"/>
      <c r="AN996" s="1385"/>
      <c r="AO996" s="1385"/>
      <c r="AP996" s="1385"/>
      <c r="AQ996" s="1386"/>
      <c r="AR996" s="68"/>
      <c r="AS996" s="68"/>
      <c r="AT996" s="68"/>
      <c r="AU996" s="68"/>
      <c r="AV996" s="68"/>
      <c r="AW996" s="68"/>
      <c r="AX996" s="68"/>
      <c r="AY996" s="68"/>
      <c r="AZ996" s="34"/>
      <c r="BA996" s="34"/>
      <c r="BB996" s="34"/>
      <c r="BC996" s="34"/>
    </row>
    <row r="997" spans="1:55" ht="12.95" customHeight="1">
      <c r="A997" s="14"/>
      <c r="B997" s="258"/>
      <c r="C997" s="257"/>
      <c r="D997" s="1512"/>
      <c r="E997" s="1513"/>
      <c r="F997" s="1513"/>
      <c r="G997" s="1513"/>
      <c r="H997" s="1513"/>
      <c r="I997" s="1513"/>
      <c r="J997" s="1513"/>
      <c r="K997" s="1513"/>
      <c r="L997" s="1513"/>
      <c r="M997" s="1513"/>
      <c r="N997" s="1513"/>
      <c r="O997" s="1513"/>
      <c r="P997" s="1513"/>
      <c r="Q997" s="1513"/>
      <c r="R997" s="1513"/>
      <c r="S997" s="1513"/>
      <c r="T997" s="1513"/>
      <c r="U997" s="1513"/>
      <c r="V997" s="1513"/>
      <c r="W997" s="1513"/>
      <c r="X997" s="1513"/>
      <c r="Y997" s="1513"/>
      <c r="Z997" s="1513"/>
      <c r="AA997" s="1513"/>
      <c r="AB997" s="1513"/>
      <c r="AC997" s="1513"/>
      <c r="AD997" s="1513"/>
      <c r="AE997" s="1514"/>
      <c r="AF997" s="73"/>
      <c r="AG997" s="14"/>
      <c r="AH997" s="14"/>
      <c r="AI997" s="83"/>
      <c r="AJ997" s="1384"/>
      <c r="AK997" s="1385"/>
      <c r="AL997" s="1385"/>
      <c r="AM997" s="1385"/>
      <c r="AN997" s="1385"/>
      <c r="AO997" s="1385"/>
      <c r="AP997" s="1385"/>
      <c r="AQ997" s="1386"/>
      <c r="AR997" s="68"/>
      <c r="AS997" s="68"/>
      <c r="AT997" s="68"/>
      <c r="AU997" s="68"/>
      <c r="AV997" s="68"/>
      <c r="AW997" s="68"/>
      <c r="AX997" s="68"/>
      <c r="AY997" s="68"/>
      <c r="AZ997" s="34"/>
      <c r="BA997" s="34"/>
      <c r="BB997" s="34"/>
      <c r="BC997" s="34"/>
    </row>
    <row r="998" spans="1:55" ht="12.95" customHeight="1">
      <c r="A998" s="14"/>
      <c r="B998" s="258"/>
      <c r="C998" s="257"/>
      <c r="D998" s="1512"/>
      <c r="E998" s="1513"/>
      <c r="F998" s="1513"/>
      <c r="G998" s="1513"/>
      <c r="H998" s="1513"/>
      <c r="I998" s="1513"/>
      <c r="J998" s="1513"/>
      <c r="K998" s="1513"/>
      <c r="L998" s="1513"/>
      <c r="M998" s="1513"/>
      <c r="N998" s="1513"/>
      <c r="O998" s="1513"/>
      <c r="P998" s="1513"/>
      <c r="Q998" s="1513"/>
      <c r="R998" s="1513"/>
      <c r="S998" s="1513"/>
      <c r="T998" s="1513"/>
      <c r="U998" s="1513"/>
      <c r="V998" s="1513"/>
      <c r="W998" s="1513"/>
      <c r="X998" s="1513"/>
      <c r="Y998" s="1513"/>
      <c r="Z998" s="1513"/>
      <c r="AA998" s="1513"/>
      <c r="AB998" s="1513"/>
      <c r="AC998" s="1513"/>
      <c r="AD998" s="1513"/>
      <c r="AE998" s="1514"/>
      <c r="AF998" s="73"/>
      <c r="AG998" s="14"/>
      <c r="AH998" s="14"/>
      <c r="AI998" s="83"/>
      <c r="AJ998" s="1384"/>
      <c r="AK998" s="1385"/>
      <c r="AL998" s="1385"/>
      <c r="AM998" s="1385"/>
      <c r="AN998" s="1385"/>
      <c r="AO998" s="1385"/>
      <c r="AP998" s="1385"/>
      <c r="AQ998" s="1386"/>
      <c r="AR998" s="68"/>
      <c r="AS998" s="68"/>
      <c r="AT998" s="68"/>
      <c r="AU998" s="68"/>
      <c r="AV998" s="68"/>
      <c r="AW998" s="68"/>
      <c r="AX998" s="68"/>
      <c r="AY998" s="68"/>
      <c r="AZ998" s="34"/>
      <c r="BA998" s="34"/>
      <c r="BB998" s="34"/>
      <c r="BC998" s="34"/>
    </row>
    <row r="999" spans="1:55" ht="12.95" customHeight="1">
      <c r="A999" s="14"/>
      <c r="B999" s="258"/>
      <c r="C999" s="257"/>
      <c r="D999" s="1515" t="s">
        <v>2207</v>
      </c>
      <c r="E999" s="1516"/>
      <c r="F999" s="1516"/>
      <c r="G999" s="1516"/>
      <c r="H999" s="1516"/>
      <c r="I999" s="1516"/>
      <c r="J999" s="1516"/>
      <c r="K999" s="1516"/>
      <c r="L999" s="1516"/>
      <c r="M999" s="1516"/>
      <c r="N999" s="1516"/>
      <c r="O999" s="1516"/>
      <c r="P999" s="1516"/>
      <c r="Q999" s="1516"/>
      <c r="R999" s="1516"/>
      <c r="S999" s="1516"/>
      <c r="T999" s="1516"/>
      <c r="U999" s="1516"/>
      <c r="V999" s="1516"/>
      <c r="W999" s="1516"/>
      <c r="X999" s="1516"/>
      <c r="Y999" s="1516"/>
      <c r="Z999" s="1516"/>
      <c r="AA999" s="1516"/>
      <c r="AB999" s="1516"/>
      <c r="AC999" s="1516"/>
      <c r="AD999" s="1516"/>
      <c r="AE999" s="1517"/>
      <c r="AF999" s="73"/>
      <c r="AG999" s="14"/>
      <c r="AH999" s="14"/>
      <c r="AI999" s="83"/>
      <c r="AJ999" s="1384"/>
      <c r="AK999" s="1385"/>
      <c r="AL999" s="1385"/>
      <c r="AM999" s="1385"/>
      <c r="AN999" s="1385"/>
      <c r="AO999" s="1385"/>
      <c r="AP999" s="1385"/>
      <c r="AQ999" s="1386"/>
      <c r="AR999" s="68"/>
      <c r="AS999" s="68"/>
      <c r="AT999" s="68"/>
      <c r="AU999" s="68"/>
      <c r="AV999" s="68"/>
      <c r="AW999" s="68"/>
      <c r="AX999" s="68"/>
      <c r="AY999" s="68"/>
      <c r="AZ999" s="34"/>
      <c r="BA999" s="34"/>
      <c r="BB999" s="34"/>
      <c r="BC999" s="34"/>
    </row>
    <row r="1000" spans="1:55" ht="12.95" customHeight="1">
      <c r="A1000" s="14"/>
      <c r="B1000" s="258"/>
      <c r="C1000" s="257"/>
      <c r="D1000" s="1579" t="s">
        <v>2703</v>
      </c>
      <c r="E1000" s="1580"/>
      <c r="F1000" s="1580"/>
      <c r="G1000" s="1580"/>
      <c r="H1000" s="1580"/>
      <c r="I1000" s="1580"/>
      <c r="J1000" s="1580"/>
      <c r="K1000" s="1580"/>
      <c r="L1000" s="1580"/>
      <c r="M1000" s="1580"/>
      <c r="N1000" s="1580"/>
      <c r="O1000" s="1580"/>
      <c r="P1000" s="1580"/>
      <c r="Q1000" s="1580"/>
      <c r="R1000" s="1580"/>
      <c r="S1000" s="1580"/>
      <c r="T1000" s="1580"/>
      <c r="U1000" s="1580"/>
      <c r="V1000" s="1580"/>
      <c r="W1000" s="1580"/>
      <c r="X1000" s="1580"/>
      <c r="Y1000" s="1580"/>
      <c r="Z1000" s="1580"/>
      <c r="AA1000" s="1580"/>
      <c r="AB1000" s="1580"/>
      <c r="AC1000" s="1580"/>
      <c r="AD1000" s="1580"/>
      <c r="AE1000" s="1581"/>
      <c r="AF1000" s="77"/>
      <c r="AG1000" s="7"/>
      <c r="AH1000" s="7"/>
      <c r="AI1000" s="78"/>
      <c r="AJ1000" s="1387"/>
      <c r="AK1000" s="1388"/>
      <c r="AL1000" s="1388"/>
      <c r="AM1000" s="1388"/>
      <c r="AN1000" s="1388"/>
      <c r="AO1000" s="1388"/>
      <c r="AP1000" s="1388"/>
      <c r="AQ1000" s="1389"/>
      <c r="AR1000" s="68"/>
      <c r="AS1000" s="68"/>
      <c r="AT1000" s="68"/>
      <c r="AU1000" s="68"/>
      <c r="AV1000" s="68"/>
      <c r="AW1000" s="68"/>
      <c r="AX1000" s="68"/>
      <c r="AY1000" s="68"/>
      <c r="AZ1000" s="34"/>
      <c r="BA1000" s="34"/>
      <c r="BB1000" s="34"/>
      <c r="BC1000" s="34"/>
    </row>
    <row r="1001" spans="1:55" ht="12.95" customHeight="1">
      <c r="A1001" s="14"/>
      <c r="B1001" s="256"/>
      <c r="C1001" s="319"/>
      <c r="D1001" s="1487" t="s">
        <v>1286</v>
      </c>
      <c r="E1001" s="1488"/>
      <c r="F1001" s="1488"/>
      <c r="G1001" s="1488"/>
      <c r="H1001" s="1488"/>
      <c r="I1001" s="1488"/>
      <c r="J1001" s="1488"/>
      <c r="K1001" s="1488"/>
      <c r="L1001" s="1488"/>
      <c r="M1001" s="1488"/>
      <c r="N1001" s="1488"/>
      <c r="O1001" s="1488"/>
      <c r="P1001" s="1488"/>
      <c r="Q1001" s="1488"/>
      <c r="R1001" s="1488"/>
      <c r="S1001" s="1488"/>
      <c r="T1001" s="1488"/>
      <c r="U1001" s="1488"/>
      <c r="V1001" s="1488"/>
      <c r="W1001" s="1488"/>
      <c r="X1001" s="1488"/>
      <c r="Y1001" s="1488"/>
      <c r="Z1001" s="1488"/>
      <c r="AA1001" s="1488"/>
      <c r="AB1001" s="1488"/>
      <c r="AC1001" s="1488"/>
      <c r="AD1001" s="1488"/>
      <c r="AE1001" s="1489"/>
      <c r="AF1001" s="79"/>
      <c r="AG1001" s="1495" t="s">
        <v>669</v>
      </c>
      <c r="AH1001" s="1496"/>
      <c r="AI1001" s="87"/>
      <c r="AJ1001" s="1381">
        <f>ROUND(IF(AG1001="yes",AJ992*0.05,0),0)</f>
        <v>0</v>
      </c>
      <c r="AK1001" s="1382"/>
      <c r="AL1001" s="1382"/>
      <c r="AM1001" s="1382"/>
      <c r="AN1001" s="1382"/>
      <c r="AO1001" s="1382"/>
      <c r="AP1001" s="1382"/>
      <c r="AQ1001" s="1383"/>
      <c r="AR1001" s="68"/>
      <c r="AS1001" s="68"/>
      <c r="AT1001" s="68"/>
      <c r="AU1001" s="68"/>
      <c r="AV1001" s="68"/>
      <c r="AW1001" s="68"/>
      <c r="AX1001" s="68"/>
      <c r="AY1001" s="68"/>
      <c r="AZ1001" s="34"/>
      <c r="BA1001" s="34"/>
      <c r="BB1001" s="34"/>
      <c r="BC1001" s="34"/>
    </row>
    <row r="1002" spans="1:55" ht="12.95" customHeight="1">
      <c r="A1002" s="14"/>
      <c r="B1002" s="258"/>
      <c r="C1002" s="82"/>
      <c r="D1002" s="1512" t="s">
        <v>1284</v>
      </c>
      <c r="E1002" s="1513"/>
      <c r="F1002" s="1513"/>
      <c r="G1002" s="1513"/>
      <c r="H1002" s="1513"/>
      <c r="I1002" s="1513"/>
      <c r="J1002" s="1513"/>
      <c r="K1002" s="1513"/>
      <c r="L1002" s="1513"/>
      <c r="M1002" s="1513"/>
      <c r="N1002" s="1513"/>
      <c r="O1002" s="1513"/>
      <c r="P1002" s="1513"/>
      <c r="Q1002" s="1513"/>
      <c r="R1002" s="1513"/>
      <c r="S1002" s="1513"/>
      <c r="T1002" s="1513"/>
      <c r="U1002" s="1513"/>
      <c r="V1002" s="1513"/>
      <c r="W1002" s="1513"/>
      <c r="X1002" s="1513"/>
      <c r="Y1002" s="1513"/>
      <c r="Z1002" s="1513"/>
      <c r="AA1002" s="1513"/>
      <c r="AB1002" s="1513"/>
      <c r="AC1002" s="1513"/>
      <c r="AD1002" s="1513"/>
      <c r="AE1002" s="1514"/>
      <c r="AF1002" s="73"/>
      <c r="AG1002" s="14"/>
      <c r="AH1002" s="14"/>
      <c r="AI1002" s="83"/>
      <c r="AJ1002" s="1384"/>
      <c r="AK1002" s="1385"/>
      <c r="AL1002" s="1385"/>
      <c r="AM1002" s="1385"/>
      <c r="AN1002" s="1385"/>
      <c r="AO1002" s="1385"/>
      <c r="AP1002" s="1385"/>
      <c r="AQ1002" s="1386"/>
      <c r="AR1002" s="68"/>
      <c r="AS1002" s="68"/>
      <c r="AT1002" s="68"/>
      <c r="AU1002" s="68"/>
      <c r="AV1002" s="68"/>
      <c r="AW1002" s="68"/>
      <c r="AX1002" s="68"/>
      <c r="AY1002" s="34"/>
      <c r="AZ1002" s="34"/>
      <c r="BB1002" s="34"/>
    </row>
    <row r="1003" spans="1:55" ht="12.95" customHeight="1">
      <c r="A1003" s="14"/>
      <c r="B1003" s="258"/>
      <c r="C1003" s="82"/>
      <c r="D1003" s="1512"/>
      <c r="E1003" s="1513"/>
      <c r="F1003" s="1513"/>
      <c r="G1003" s="1513"/>
      <c r="H1003" s="1513"/>
      <c r="I1003" s="1513"/>
      <c r="J1003" s="1513"/>
      <c r="K1003" s="1513"/>
      <c r="L1003" s="1513"/>
      <c r="M1003" s="1513"/>
      <c r="N1003" s="1513"/>
      <c r="O1003" s="1513"/>
      <c r="P1003" s="1513"/>
      <c r="Q1003" s="1513"/>
      <c r="R1003" s="1513"/>
      <c r="S1003" s="1513"/>
      <c r="T1003" s="1513"/>
      <c r="U1003" s="1513"/>
      <c r="V1003" s="1513"/>
      <c r="W1003" s="1513"/>
      <c r="X1003" s="1513"/>
      <c r="Y1003" s="1513"/>
      <c r="Z1003" s="1513"/>
      <c r="AA1003" s="1513"/>
      <c r="AB1003" s="1513"/>
      <c r="AC1003" s="1513"/>
      <c r="AD1003" s="1513"/>
      <c r="AE1003" s="1514"/>
      <c r="AF1003" s="73"/>
      <c r="AG1003" s="14"/>
      <c r="AH1003" s="14"/>
      <c r="AI1003" s="83"/>
      <c r="AJ1003" s="1384"/>
      <c r="AK1003" s="1385"/>
      <c r="AL1003" s="1385"/>
      <c r="AM1003" s="1385"/>
      <c r="AN1003" s="1385"/>
      <c r="AO1003" s="1385"/>
      <c r="AP1003" s="1385"/>
      <c r="AQ1003" s="1386"/>
      <c r="AR1003" s="68"/>
      <c r="AS1003" s="68"/>
      <c r="AT1003" s="68"/>
      <c r="AU1003" s="68"/>
      <c r="AV1003" s="68"/>
      <c r="AW1003" s="68"/>
      <c r="AX1003" s="68"/>
      <c r="AY1003" s="915">
        <f>G753+O797</f>
        <v>65</v>
      </c>
      <c r="AZ1003" s="34"/>
      <c r="BB1003" s="34"/>
    </row>
    <row r="1004" spans="1:55" ht="12.95" customHeight="1">
      <c r="A1004" s="14"/>
      <c r="B1004" s="258"/>
      <c r="C1004" s="82"/>
      <c r="D1004" s="1512"/>
      <c r="E1004" s="1513"/>
      <c r="F1004" s="1513"/>
      <c r="G1004" s="1513"/>
      <c r="H1004" s="1513"/>
      <c r="I1004" s="1513"/>
      <c r="J1004" s="1513"/>
      <c r="K1004" s="1513"/>
      <c r="L1004" s="1513"/>
      <c r="M1004" s="1513"/>
      <c r="N1004" s="1513"/>
      <c r="O1004" s="1513"/>
      <c r="P1004" s="1513"/>
      <c r="Q1004" s="1513"/>
      <c r="R1004" s="1513"/>
      <c r="S1004" s="1513"/>
      <c r="T1004" s="1513"/>
      <c r="U1004" s="1513"/>
      <c r="V1004" s="1513"/>
      <c r="W1004" s="1513"/>
      <c r="X1004" s="1513"/>
      <c r="Y1004" s="1513"/>
      <c r="Z1004" s="1513"/>
      <c r="AA1004" s="1513"/>
      <c r="AB1004" s="1513"/>
      <c r="AC1004" s="1513"/>
      <c r="AD1004" s="1513"/>
      <c r="AE1004" s="1514"/>
      <c r="AF1004" s="73"/>
      <c r="AG1004" s="14"/>
      <c r="AH1004" s="14"/>
      <c r="AI1004" s="83"/>
      <c r="AJ1004" s="1384"/>
      <c r="AK1004" s="1385"/>
      <c r="AL1004" s="1385"/>
      <c r="AM1004" s="1385"/>
      <c r="AN1004" s="1385"/>
      <c r="AO1004" s="1385"/>
      <c r="AP1004" s="1385"/>
      <c r="AQ1004" s="1386"/>
      <c r="AR1004" s="68"/>
      <c r="AS1004" s="68"/>
      <c r="AT1004" s="68"/>
      <c r="AU1004" s="68"/>
      <c r="AV1004" s="68"/>
      <c r="AW1004" s="68"/>
      <c r="AX1004" s="68"/>
      <c r="AY1004" s="14"/>
      <c r="AZ1004" s="34"/>
      <c r="BB1004" s="34"/>
    </row>
    <row r="1005" spans="1:55" ht="12.95" customHeight="1">
      <c r="A1005" s="14"/>
      <c r="B1005" s="258"/>
      <c r="C1005" s="82"/>
      <c r="D1005" s="1512"/>
      <c r="E1005" s="1513"/>
      <c r="F1005" s="1513"/>
      <c r="G1005" s="1513"/>
      <c r="H1005" s="1513"/>
      <c r="I1005" s="1513"/>
      <c r="J1005" s="1513"/>
      <c r="K1005" s="1513"/>
      <c r="L1005" s="1513"/>
      <c r="M1005" s="1513"/>
      <c r="N1005" s="1513"/>
      <c r="O1005" s="1513"/>
      <c r="P1005" s="1513"/>
      <c r="Q1005" s="1513"/>
      <c r="R1005" s="1513"/>
      <c r="S1005" s="1513"/>
      <c r="T1005" s="1513"/>
      <c r="U1005" s="1513"/>
      <c r="V1005" s="1513"/>
      <c r="W1005" s="1513"/>
      <c r="X1005" s="1513"/>
      <c r="Y1005" s="1513"/>
      <c r="Z1005" s="1513"/>
      <c r="AA1005" s="1513"/>
      <c r="AB1005" s="1513"/>
      <c r="AC1005" s="1513"/>
      <c r="AD1005" s="1513"/>
      <c r="AE1005" s="1514"/>
      <c r="AF1005" s="73"/>
      <c r="AG1005" s="14"/>
      <c r="AH1005" s="14"/>
      <c r="AI1005" s="83"/>
      <c r="AJ1005" s="1384"/>
      <c r="AK1005" s="1385"/>
      <c r="AL1005" s="1385"/>
      <c r="AM1005" s="1385"/>
      <c r="AN1005" s="1385"/>
      <c r="AO1005" s="1385"/>
      <c r="AP1005" s="1385"/>
      <c r="AQ1005" s="1386"/>
      <c r="AR1005" s="68"/>
      <c r="AS1005" s="68"/>
      <c r="AT1005" s="68"/>
      <c r="AU1005" s="68"/>
      <c r="AV1005" s="68"/>
      <c r="AW1005" s="68"/>
      <c r="AX1005" s="68"/>
      <c r="AY1005" s="914">
        <f>ROUNDDOWN(X1048/I1048,2)</f>
        <v>0.5</v>
      </c>
      <c r="AZ1005" s="34"/>
      <c r="BB1005" s="34"/>
    </row>
    <row r="1006" spans="1:55" ht="12.95" customHeight="1">
      <c r="A1006" s="14"/>
      <c r="B1006" s="75"/>
      <c r="C1006" s="76"/>
      <c r="D1006" s="1515"/>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77"/>
      <c r="AG1006" s="7"/>
      <c r="AH1006" s="7"/>
      <c r="AI1006" s="78"/>
      <c r="AJ1006" s="1387"/>
      <c r="AK1006" s="1388"/>
      <c r="AL1006" s="1388"/>
      <c r="AM1006" s="1388"/>
      <c r="AN1006" s="1388"/>
      <c r="AO1006" s="1388"/>
      <c r="AP1006" s="1388"/>
      <c r="AQ1006" s="1389"/>
      <c r="AR1006" s="68"/>
      <c r="AS1006" s="68"/>
      <c r="AT1006" s="68"/>
      <c r="AU1006" s="68"/>
      <c r="AV1006" s="68"/>
      <c r="AW1006" s="68"/>
      <c r="AX1006" s="68"/>
      <c r="AY1006" s="914">
        <f>ROUNDDOWN(X1052/I1052,2)</f>
        <v>0.49</v>
      </c>
      <c r="AZ1006" s="34"/>
      <c r="BB1006" s="34"/>
    </row>
    <row r="1007" spans="1:55" ht="12.95" customHeight="1">
      <c r="A1007" s="14"/>
      <c r="B1007" s="256"/>
      <c r="C1007" s="80" t="s">
        <v>672</v>
      </c>
      <c r="D1007" s="1487" t="s">
        <v>1683</v>
      </c>
      <c r="E1007" s="1488"/>
      <c r="F1007" s="1488"/>
      <c r="G1007" s="1488"/>
      <c r="H1007" s="1488"/>
      <c r="I1007" s="1488"/>
      <c r="J1007" s="1488"/>
      <c r="K1007" s="1488"/>
      <c r="L1007" s="1488"/>
      <c r="M1007" s="1488"/>
      <c r="N1007" s="1488"/>
      <c r="O1007" s="1488"/>
      <c r="P1007" s="1488"/>
      <c r="Q1007" s="1488"/>
      <c r="R1007" s="1488"/>
      <c r="S1007" s="1488"/>
      <c r="T1007" s="1488"/>
      <c r="U1007" s="1488"/>
      <c r="V1007" s="1488"/>
      <c r="W1007" s="1488"/>
      <c r="X1007" s="1488"/>
      <c r="Y1007" s="1488"/>
      <c r="Z1007" s="1488"/>
      <c r="AA1007" s="1488"/>
      <c r="AB1007" s="1488"/>
      <c r="AC1007" s="1488"/>
      <c r="AD1007" s="1488"/>
      <c r="AE1007" s="1489"/>
      <c r="AF1007" s="86"/>
      <c r="AG1007" s="1495" t="s">
        <v>669</v>
      </c>
      <c r="AH1007" s="1496"/>
      <c r="AI1007" s="87"/>
      <c r="AJ1007" s="1381">
        <f>ROUND(IF(AG1007="yes",AJ992*0.1,0),0)</f>
        <v>0</v>
      </c>
      <c r="AK1007" s="1382"/>
      <c r="AL1007" s="1382"/>
      <c r="AM1007" s="1382"/>
      <c r="AN1007" s="1382"/>
      <c r="AO1007" s="1382"/>
      <c r="AP1007" s="1382"/>
      <c r="AQ1007" s="1383"/>
      <c r="AR1007" s="68"/>
      <c r="AS1007" s="68"/>
      <c r="AT1007" s="68"/>
      <c r="AU1007" s="68"/>
      <c r="AV1007" s="68"/>
      <c r="AW1007" s="68"/>
      <c r="AX1007" s="68"/>
      <c r="BB1007" s="34"/>
    </row>
    <row r="1008" spans="1:55" ht="12.95" customHeight="1">
      <c r="A1008" s="14"/>
      <c r="B1008" s="73"/>
      <c r="C1008" s="74"/>
      <c r="D1008" s="1500" t="s">
        <v>1285</v>
      </c>
      <c r="E1008" s="1501"/>
      <c r="F1008" s="1501"/>
      <c r="G1008" s="1501"/>
      <c r="H1008" s="1501"/>
      <c r="I1008" s="1501"/>
      <c r="J1008" s="1501"/>
      <c r="K1008" s="1501"/>
      <c r="L1008" s="1501"/>
      <c r="M1008" s="1501"/>
      <c r="N1008" s="1501"/>
      <c r="O1008" s="1501"/>
      <c r="P1008" s="1501"/>
      <c r="Q1008" s="1501"/>
      <c r="R1008" s="1501"/>
      <c r="S1008" s="1501"/>
      <c r="T1008" s="1501"/>
      <c r="U1008" s="1501"/>
      <c r="V1008" s="1501"/>
      <c r="W1008" s="1501"/>
      <c r="X1008" s="1501"/>
      <c r="Y1008" s="1501"/>
      <c r="Z1008" s="1501"/>
      <c r="AA1008" s="1501"/>
      <c r="AB1008" s="1501"/>
      <c r="AC1008" s="1501"/>
      <c r="AD1008" s="1501"/>
      <c r="AE1008" s="1502"/>
      <c r="AF1008" s="73"/>
      <c r="AI1008" s="83"/>
      <c r="AJ1008" s="1384"/>
      <c r="AK1008" s="1385"/>
      <c r="AL1008" s="1385"/>
      <c r="AM1008" s="1385"/>
      <c r="AN1008" s="1385"/>
      <c r="AO1008" s="1385"/>
      <c r="AP1008" s="1385"/>
      <c r="AQ1008" s="1386"/>
      <c r="AR1008" s="68"/>
      <c r="AS1008" s="68"/>
      <c r="AT1008" s="68"/>
      <c r="AU1008" s="68"/>
      <c r="AV1008" s="68"/>
      <c r="AW1008" s="68"/>
      <c r="AX1008" s="68"/>
    </row>
    <row r="1009" spans="1:51" ht="12.95" customHeight="1">
      <c r="A1009" s="14"/>
      <c r="B1009" s="73"/>
      <c r="C1009" s="74"/>
      <c r="D1009" s="1500"/>
      <c r="E1009" s="1501"/>
      <c r="F1009" s="1501"/>
      <c r="G1009" s="1501"/>
      <c r="H1009" s="1501"/>
      <c r="I1009" s="1501"/>
      <c r="J1009" s="1501"/>
      <c r="K1009" s="1501"/>
      <c r="L1009" s="1501"/>
      <c r="M1009" s="1501"/>
      <c r="N1009" s="1501"/>
      <c r="O1009" s="1501"/>
      <c r="P1009" s="1501"/>
      <c r="Q1009" s="1501"/>
      <c r="R1009" s="1501"/>
      <c r="S1009" s="1501"/>
      <c r="T1009" s="1501"/>
      <c r="U1009" s="1501"/>
      <c r="V1009" s="1501"/>
      <c r="W1009" s="1501"/>
      <c r="X1009" s="1501"/>
      <c r="Y1009" s="1501"/>
      <c r="Z1009" s="1501"/>
      <c r="AA1009" s="1501"/>
      <c r="AB1009" s="1501"/>
      <c r="AC1009" s="1501"/>
      <c r="AD1009" s="1501"/>
      <c r="AE1009" s="1502"/>
      <c r="AF1009" s="73"/>
      <c r="AG1009" s="14"/>
      <c r="AH1009" s="14"/>
      <c r="AI1009" s="83"/>
      <c r="AJ1009" s="1384"/>
      <c r="AK1009" s="1385"/>
      <c r="AL1009" s="1385"/>
      <c r="AM1009" s="1385"/>
      <c r="AN1009" s="1385"/>
      <c r="AO1009" s="1385"/>
      <c r="AP1009" s="1385"/>
      <c r="AQ1009" s="1386"/>
      <c r="AR1009" s="68"/>
      <c r="AS1009" s="68"/>
      <c r="AT1009" s="68"/>
      <c r="AU1009" s="68"/>
      <c r="AV1009" s="68"/>
      <c r="AW1009" s="68"/>
      <c r="AX1009" s="68"/>
    </row>
    <row r="1010" spans="1:51" ht="12.95" customHeight="1">
      <c r="A1010" s="14"/>
      <c r="B1010" s="85"/>
      <c r="C1010" s="76"/>
      <c r="D1010" s="1503"/>
      <c r="E1010" s="1504"/>
      <c r="F1010" s="1504"/>
      <c r="G1010" s="1504"/>
      <c r="H1010" s="1504"/>
      <c r="I1010" s="1504"/>
      <c r="J1010" s="1504"/>
      <c r="K1010" s="1504"/>
      <c r="L1010" s="1504"/>
      <c r="M1010" s="1504"/>
      <c r="N1010" s="1504"/>
      <c r="O1010" s="1504"/>
      <c r="P1010" s="1504"/>
      <c r="Q1010" s="1504"/>
      <c r="R1010" s="1504"/>
      <c r="S1010" s="1504"/>
      <c r="T1010" s="1504"/>
      <c r="U1010" s="1504"/>
      <c r="V1010" s="1504"/>
      <c r="W1010" s="1504"/>
      <c r="X1010" s="1504"/>
      <c r="Y1010" s="1504"/>
      <c r="Z1010" s="1504"/>
      <c r="AA1010" s="1504"/>
      <c r="AB1010" s="1504"/>
      <c r="AC1010" s="1504"/>
      <c r="AD1010" s="1504"/>
      <c r="AE1010" s="1505"/>
      <c r="AF1010" s="77"/>
      <c r="AG1010" s="7"/>
      <c r="AH1010" s="7"/>
      <c r="AI1010" s="78"/>
      <c r="AJ1010" s="1387"/>
      <c r="AK1010" s="1388"/>
      <c r="AL1010" s="1388"/>
      <c r="AM1010" s="1388"/>
      <c r="AN1010" s="1388"/>
      <c r="AO1010" s="1388"/>
      <c r="AP1010" s="1388"/>
      <c r="AQ1010" s="1389"/>
      <c r="AR1010" s="68"/>
      <c r="AS1010" s="68"/>
      <c r="AT1010" s="68"/>
      <c r="AU1010" s="68"/>
      <c r="AV1010" s="68"/>
      <c r="AW1010" s="68"/>
      <c r="AX1010" s="68"/>
    </row>
    <row r="1011" spans="1:51" ht="12.95" customHeight="1">
      <c r="A1011" s="14"/>
      <c r="B1011" s="79"/>
      <c r="C1011" s="80" t="s">
        <v>211</v>
      </c>
      <c r="D1011" s="1487" t="s">
        <v>1287</v>
      </c>
      <c r="E1011" s="1488"/>
      <c r="F1011" s="1488"/>
      <c r="G1011" s="1488"/>
      <c r="H1011" s="1488"/>
      <c r="I1011" s="1488"/>
      <c r="J1011" s="1488"/>
      <c r="K1011" s="1488"/>
      <c r="L1011" s="1488"/>
      <c r="M1011" s="1488"/>
      <c r="N1011" s="1488"/>
      <c r="O1011" s="1488"/>
      <c r="P1011" s="1488"/>
      <c r="Q1011" s="1488"/>
      <c r="R1011" s="1488"/>
      <c r="S1011" s="1488"/>
      <c r="T1011" s="1488"/>
      <c r="U1011" s="1488"/>
      <c r="V1011" s="1488"/>
      <c r="W1011" s="1488"/>
      <c r="X1011" s="1488"/>
      <c r="Y1011" s="1488"/>
      <c r="Z1011" s="1488"/>
      <c r="AA1011" s="1488"/>
      <c r="AB1011" s="1488"/>
      <c r="AC1011" s="1488"/>
      <c r="AD1011" s="1488"/>
      <c r="AE1011" s="1489"/>
      <c r="AF1011" s="79"/>
      <c r="AG1011" s="1495" t="s">
        <v>669</v>
      </c>
      <c r="AH1011" s="1496"/>
      <c r="AI1011" s="87"/>
      <c r="AJ1011" s="1381">
        <f>ROUND(IF(AG1011="yes",AJ992*0.02,0),0)</f>
        <v>0</v>
      </c>
      <c r="AK1011" s="1382"/>
      <c r="AL1011" s="1382"/>
      <c r="AM1011" s="1382"/>
      <c r="AN1011" s="1382"/>
      <c r="AO1011" s="1382"/>
      <c r="AP1011" s="1382"/>
      <c r="AQ1011" s="1383"/>
      <c r="AR1011" s="68"/>
      <c r="AS1011" s="68"/>
      <c r="AT1011" s="68"/>
      <c r="AU1011" s="68"/>
      <c r="AV1011" s="68"/>
      <c r="AW1011" s="68"/>
      <c r="AX1011" s="68"/>
      <c r="AY1011" s="202">
        <f>IF(SUM(AY1015:AY1023)&lt;=0.2,SUM(AY1015:AY1023),0.2)</f>
        <v>0</v>
      </c>
    </row>
    <row r="1012" spans="1:51" ht="14.25" customHeight="1">
      <c r="A1012" s="14"/>
      <c r="B1012" s="73"/>
      <c r="C1012" s="74"/>
      <c r="D1012" s="1503" t="s">
        <v>1288</v>
      </c>
      <c r="E1012" s="1504"/>
      <c r="F1012" s="1504"/>
      <c r="G1012" s="1504"/>
      <c r="H1012" s="1504"/>
      <c r="I1012" s="1504"/>
      <c r="J1012" s="1504"/>
      <c r="K1012" s="1504"/>
      <c r="L1012" s="1504"/>
      <c r="M1012" s="1504"/>
      <c r="N1012" s="1504"/>
      <c r="O1012" s="1504"/>
      <c r="P1012" s="1504"/>
      <c r="Q1012" s="1504"/>
      <c r="R1012" s="1504"/>
      <c r="S1012" s="1504"/>
      <c r="T1012" s="1504"/>
      <c r="U1012" s="1504"/>
      <c r="V1012" s="1504"/>
      <c r="W1012" s="1504"/>
      <c r="X1012" s="1504"/>
      <c r="Y1012" s="1504"/>
      <c r="Z1012" s="1504"/>
      <c r="AA1012" s="1504"/>
      <c r="AB1012" s="1504"/>
      <c r="AC1012" s="1504"/>
      <c r="AD1012" s="1504"/>
      <c r="AE1012" s="1505"/>
      <c r="AF1012" s="77"/>
      <c r="AG1012" s="7"/>
      <c r="AH1012" s="7"/>
      <c r="AI1012" s="78"/>
      <c r="AJ1012" s="1387"/>
      <c r="AK1012" s="1388"/>
      <c r="AL1012" s="1388"/>
      <c r="AM1012" s="1388"/>
      <c r="AN1012" s="1388"/>
      <c r="AO1012" s="1388"/>
      <c r="AP1012" s="1388"/>
      <c r="AQ1012" s="1389"/>
      <c r="AR1012" s="68"/>
      <c r="AS1012" s="68"/>
      <c r="AT1012" s="68"/>
      <c r="AU1012" s="68"/>
      <c r="AV1012" s="68"/>
      <c r="AW1012" s="68"/>
      <c r="AX1012" s="68"/>
    </row>
    <row r="1013" spans="1:51" ht="12.95" customHeight="1">
      <c r="A1013" s="14"/>
      <c r="B1013" s="79"/>
      <c r="C1013" s="80" t="s">
        <v>214</v>
      </c>
      <c r="D1013" s="1487" t="s">
        <v>1289</v>
      </c>
      <c r="E1013" s="1488"/>
      <c r="F1013" s="1488"/>
      <c r="G1013" s="1488"/>
      <c r="H1013" s="1488"/>
      <c r="I1013" s="1488"/>
      <c r="J1013" s="1488"/>
      <c r="K1013" s="1488"/>
      <c r="L1013" s="1488"/>
      <c r="M1013" s="1488"/>
      <c r="N1013" s="1488"/>
      <c r="O1013" s="1488"/>
      <c r="P1013" s="1488"/>
      <c r="Q1013" s="1488"/>
      <c r="R1013" s="1488"/>
      <c r="S1013" s="1488"/>
      <c r="T1013" s="1488"/>
      <c r="U1013" s="1488"/>
      <c r="V1013" s="1488"/>
      <c r="W1013" s="1488"/>
      <c r="X1013" s="1488"/>
      <c r="Y1013" s="1488"/>
      <c r="Z1013" s="1488"/>
      <c r="AA1013" s="1488"/>
      <c r="AB1013" s="1488"/>
      <c r="AC1013" s="1488"/>
      <c r="AD1013" s="1488"/>
      <c r="AE1013" s="1489"/>
      <c r="AF1013" s="79"/>
      <c r="AG1013" s="1495" t="s">
        <v>669</v>
      </c>
      <c r="AH1013" s="1496"/>
      <c r="AI1013" s="79"/>
      <c r="AJ1013" s="1381">
        <f>ROUND(IF(AG1013="yes",AJ992*0.02,0),0)</f>
        <v>0</v>
      </c>
      <c r="AK1013" s="1382"/>
      <c r="AL1013" s="1382"/>
      <c r="AM1013" s="1382"/>
      <c r="AN1013" s="1382"/>
      <c r="AO1013" s="1382"/>
      <c r="AP1013" s="1382"/>
      <c r="AQ1013" s="1383"/>
      <c r="AR1013" s="68"/>
      <c r="AS1013" s="68"/>
      <c r="AT1013" s="68"/>
      <c r="AU1013" s="68"/>
      <c r="AV1013" s="68"/>
      <c r="AW1013" s="68"/>
      <c r="AX1013" s="68"/>
      <c r="AY1013" s="200">
        <f>IF(A1065="Yes",0.2,0)</f>
        <v>0</v>
      </c>
    </row>
    <row r="1014" spans="1:51" ht="12.95" customHeight="1">
      <c r="A1014" s="14"/>
      <c r="B1014" s="73"/>
      <c r="C1014" s="74"/>
      <c r="D1014" s="1500" t="s">
        <v>1290</v>
      </c>
      <c r="E1014" s="1501"/>
      <c r="F1014" s="1501"/>
      <c r="G1014" s="1501"/>
      <c r="H1014" s="1501"/>
      <c r="I1014" s="1501"/>
      <c r="J1014" s="1501"/>
      <c r="K1014" s="1501"/>
      <c r="L1014" s="1501"/>
      <c r="M1014" s="1501"/>
      <c r="N1014" s="1501"/>
      <c r="O1014" s="1501"/>
      <c r="P1014" s="1501"/>
      <c r="Q1014" s="1501"/>
      <c r="R1014" s="1501"/>
      <c r="S1014" s="1501"/>
      <c r="T1014" s="1501"/>
      <c r="U1014" s="1501"/>
      <c r="V1014" s="1501"/>
      <c r="W1014" s="1501"/>
      <c r="X1014" s="1501"/>
      <c r="Y1014" s="1501"/>
      <c r="Z1014" s="1501"/>
      <c r="AA1014" s="1501"/>
      <c r="AB1014" s="1501"/>
      <c r="AC1014" s="1501"/>
      <c r="AD1014" s="1501"/>
      <c r="AE1014" s="1502"/>
      <c r="AF1014" s="1368" t="str">
        <f>IF(AND(AG1013="yes",T212&lt;&gt;1),"The project may not be eligible for this boost","")</f>
        <v/>
      </c>
      <c r="AG1014" s="1369"/>
      <c r="AH1014" s="1369"/>
      <c r="AI1014" s="1370"/>
      <c r="AJ1014" s="1384"/>
      <c r="AK1014" s="1385"/>
      <c r="AL1014" s="1385"/>
      <c r="AM1014" s="1385"/>
      <c r="AN1014" s="1385"/>
      <c r="AO1014" s="1385"/>
      <c r="AP1014" s="1385"/>
      <c r="AQ1014" s="1386"/>
      <c r="AR1014" s="68"/>
      <c r="AS1014" s="68"/>
      <c r="AT1014" s="68"/>
      <c r="AU1014" s="68"/>
      <c r="AV1014" s="68"/>
      <c r="AW1014" s="68"/>
      <c r="AX1014" s="68"/>
      <c r="AY1014" s="200">
        <f>IF(A1067="Yes",0.15,0)</f>
        <v>0</v>
      </c>
    </row>
    <row r="1015" spans="1:51" ht="12.95" customHeight="1">
      <c r="A1015" s="14"/>
      <c r="B1015" s="75"/>
      <c r="C1015" s="76"/>
      <c r="D1015" s="1503"/>
      <c r="E1015" s="1504"/>
      <c r="F1015" s="1504"/>
      <c r="G1015" s="1504"/>
      <c r="H1015" s="1504"/>
      <c r="I1015" s="1504"/>
      <c r="J1015" s="1504"/>
      <c r="K1015" s="1504"/>
      <c r="L1015" s="1504"/>
      <c r="M1015" s="1504"/>
      <c r="N1015" s="1504"/>
      <c r="O1015" s="1504"/>
      <c r="P1015" s="1504"/>
      <c r="Q1015" s="1504"/>
      <c r="R1015" s="1504"/>
      <c r="S1015" s="1504"/>
      <c r="T1015" s="1504"/>
      <c r="U1015" s="1504"/>
      <c r="V1015" s="1504"/>
      <c r="W1015" s="1504"/>
      <c r="X1015" s="1504"/>
      <c r="Y1015" s="1504"/>
      <c r="Z1015" s="1504"/>
      <c r="AA1015" s="1504"/>
      <c r="AB1015" s="1504"/>
      <c r="AC1015" s="1504"/>
      <c r="AD1015" s="1504"/>
      <c r="AE1015" s="1505"/>
      <c r="AF1015" s="1371"/>
      <c r="AG1015" s="1372"/>
      <c r="AH1015" s="1372"/>
      <c r="AI1015" s="1373"/>
      <c r="AJ1015" s="1387"/>
      <c r="AK1015" s="1388"/>
      <c r="AL1015" s="1388"/>
      <c r="AM1015" s="1388"/>
      <c r="AN1015" s="1388"/>
      <c r="AO1015" s="1388"/>
      <c r="AP1015" s="1388"/>
      <c r="AQ1015" s="1389"/>
      <c r="AR1015" s="68"/>
      <c r="AS1015" s="68"/>
      <c r="AT1015" s="68"/>
      <c r="AU1015" s="68"/>
      <c r="AV1015" s="68"/>
      <c r="AW1015" s="68"/>
      <c r="AX1015" s="68"/>
      <c r="AY1015" s="200">
        <f>IF(A1070="Yes",0.05,0)</f>
        <v>0</v>
      </c>
    </row>
    <row r="1016" spans="1:51" ht="12.95" customHeight="1">
      <c r="A1016" s="14"/>
      <c r="B1016" s="79"/>
      <c r="C1016" s="80" t="s">
        <v>217</v>
      </c>
      <c r="D1016" s="1497" t="s">
        <v>2239</v>
      </c>
      <c r="E1016" s="1498"/>
      <c r="F1016" s="1498"/>
      <c r="G1016" s="1498"/>
      <c r="H1016" s="1498"/>
      <c r="I1016" s="1498"/>
      <c r="J1016" s="1498"/>
      <c r="K1016" s="1498"/>
      <c r="L1016" s="1498"/>
      <c r="M1016" s="1498"/>
      <c r="N1016" s="1498"/>
      <c r="O1016" s="1498"/>
      <c r="P1016" s="1498"/>
      <c r="Q1016" s="1498"/>
      <c r="R1016" s="1498"/>
      <c r="S1016" s="1498"/>
      <c r="T1016" s="1498"/>
      <c r="U1016" s="1498"/>
      <c r="V1016" s="1498"/>
      <c r="W1016" s="1498"/>
      <c r="X1016" s="1498"/>
      <c r="Y1016" s="1498"/>
      <c r="Z1016" s="1498"/>
      <c r="AA1016" s="1498"/>
      <c r="AB1016" s="1498"/>
      <c r="AC1016" s="1498"/>
      <c r="AD1016" s="1498"/>
      <c r="AE1016" s="1499"/>
      <c r="AF1016" s="79"/>
      <c r="AG1016" s="1495" t="s">
        <v>669</v>
      </c>
      <c r="AH1016" s="1496"/>
      <c r="AI1016" s="87"/>
      <c r="AJ1016" s="1381">
        <f>IF(AG1016="yes",AJ992*AY1011,0)</f>
        <v>0</v>
      </c>
      <c r="AK1016" s="1382"/>
      <c r="AL1016" s="1382"/>
      <c r="AM1016" s="1382"/>
      <c r="AN1016" s="1382"/>
      <c r="AO1016" s="1382"/>
      <c r="AP1016" s="1382"/>
      <c r="AQ1016" s="1383"/>
      <c r="AR1016" s="68"/>
      <c r="AS1016" s="68"/>
      <c r="AT1016" s="68"/>
      <c r="AU1016" s="68"/>
      <c r="AV1016" s="68"/>
      <c r="AW1016" s="68"/>
      <c r="AX1016" s="68"/>
      <c r="AY1016" s="200">
        <f>IF(A1075="Yes",0.02,0)</f>
        <v>0</v>
      </c>
    </row>
    <row r="1017" spans="1:51" ht="12.95" customHeight="1">
      <c r="A1017" s="14"/>
      <c r="B1017" s="73"/>
      <c r="C1017" s="74"/>
      <c r="D1017" s="1500" t="s">
        <v>1291</v>
      </c>
      <c r="E1017" s="1501"/>
      <c r="F1017" s="1501"/>
      <c r="G1017" s="1501"/>
      <c r="H1017" s="1501"/>
      <c r="I1017" s="1501"/>
      <c r="J1017" s="1501"/>
      <c r="K1017" s="1501"/>
      <c r="L1017" s="1501"/>
      <c r="M1017" s="1501"/>
      <c r="N1017" s="1501"/>
      <c r="O1017" s="1501"/>
      <c r="P1017" s="1501"/>
      <c r="Q1017" s="1501"/>
      <c r="R1017" s="1501"/>
      <c r="S1017" s="1501"/>
      <c r="T1017" s="1501"/>
      <c r="U1017" s="1501"/>
      <c r="V1017" s="1501"/>
      <c r="W1017" s="1501"/>
      <c r="X1017" s="1501"/>
      <c r="Y1017" s="1501"/>
      <c r="Z1017" s="1501"/>
      <c r="AA1017" s="1501"/>
      <c r="AB1017" s="1501"/>
      <c r="AC1017" s="1501"/>
      <c r="AD1017" s="1501"/>
      <c r="AE1017" s="1502"/>
      <c r="AF1017" s="1362" t="str">
        <f>IF(AND(AG1016="Yes",AY1011=0),AY1027,"")</f>
        <v/>
      </c>
      <c r="AG1017" s="1363"/>
      <c r="AH1017" s="1363"/>
      <c r="AI1017" s="1364"/>
      <c r="AJ1017" s="1384"/>
      <c r="AK1017" s="1385"/>
      <c r="AL1017" s="1385"/>
      <c r="AM1017" s="1385"/>
      <c r="AN1017" s="1385"/>
      <c r="AO1017" s="1385"/>
      <c r="AP1017" s="1385"/>
      <c r="AQ1017" s="1386"/>
      <c r="AR1017" s="68"/>
      <c r="AS1017" s="68"/>
      <c r="AT1017" s="68"/>
      <c r="AU1017" s="68"/>
      <c r="AV1017" s="68"/>
      <c r="AW1017" s="68"/>
      <c r="AX1017" s="68"/>
      <c r="AY1017" s="200">
        <f>IF(A1081="Yes",0.04,0)</f>
        <v>0</v>
      </c>
    </row>
    <row r="1018" spans="1:51" ht="12.95" customHeight="1">
      <c r="A1018" s="14"/>
      <c r="B1018" s="73"/>
      <c r="C1018" s="74"/>
      <c r="D1018" s="1500"/>
      <c r="E1018" s="1501"/>
      <c r="F1018" s="1501"/>
      <c r="G1018" s="1501"/>
      <c r="H1018" s="1501"/>
      <c r="I1018" s="1501"/>
      <c r="J1018" s="1501"/>
      <c r="K1018" s="1501"/>
      <c r="L1018" s="1501"/>
      <c r="M1018" s="1501"/>
      <c r="N1018" s="1501"/>
      <c r="O1018" s="1501"/>
      <c r="P1018" s="1501"/>
      <c r="Q1018" s="1501"/>
      <c r="R1018" s="1501"/>
      <c r="S1018" s="1501"/>
      <c r="T1018" s="1501"/>
      <c r="U1018" s="1501"/>
      <c r="V1018" s="1501"/>
      <c r="W1018" s="1501"/>
      <c r="X1018" s="1501"/>
      <c r="Y1018" s="1501"/>
      <c r="Z1018" s="1501"/>
      <c r="AA1018" s="1501"/>
      <c r="AB1018" s="1501"/>
      <c r="AC1018" s="1501"/>
      <c r="AD1018" s="1501"/>
      <c r="AE1018" s="1502"/>
      <c r="AF1018" s="1362"/>
      <c r="AG1018" s="1363"/>
      <c r="AH1018" s="1363"/>
      <c r="AI1018" s="1364"/>
      <c r="AJ1018" s="1384"/>
      <c r="AK1018" s="1385"/>
      <c r="AL1018" s="1385"/>
      <c r="AM1018" s="1385"/>
      <c r="AN1018" s="1385"/>
      <c r="AO1018" s="1385"/>
      <c r="AP1018" s="1385"/>
      <c r="AQ1018" s="1386"/>
      <c r="AR1018" s="68"/>
      <c r="AS1018" s="68"/>
      <c r="AT1018" s="68"/>
      <c r="AU1018" s="68"/>
      <c r="AV1018" s="68"/>
      <c r="AW1018" s="68"/>
      <c r="AX1018" s="68"/>
      <c r="AY1018" s="200">
        <f>IF(A1085="Yes",0.04,0)</f>
        <v>0</v>
      </c>
    </row>
    <row r="1019" spans="1:51" ht="12.95" customHeight="1">
      <c r="A1019" s="14"/>
      <c r="B1019" s="81"/>
      <c r="C1019" s="82"/>
      <c r="D1019" s="1503"/>
      <c r="E1019" s="1504"/>
      <c r="F1019" s="1504"/>
      <c r="G1019" s="1504"/>
      <c r="H1019" s="1504"/>
      <c r="I1019" s="1504"/>
      <c r="J1019" s="1504"/>
      <c r="K1019" s="1504"/>
      <c r="L1019" s="1504"/>
      <c r="M1019" s="1504"/>
      <c r="N1019" s="1504"/>
      <c r="O1019" s="1504"/>
      <c r="P1019" s="1504"/>
      <c r="Q1019" s="1504"/>
      <c r="R1019" s="1504"/>
      <c r="S1019" s="1504"/>
      <c r="T1019" s="1504"/>
      <c r="U1019" s="1504"/>
      <c r="V1019" s="1504"/>
      <c r="W1019" s="1504"/>
      <c r="X1019" s="1504"/>
      <c r="Y1019" s="1504"/>
      <c r="Z1019" s="1504"/>
      <c r="AA1019" s="1504"/>
      <c r="AB1019" s="1504"/>
      <c r="AC1019" s="1504"/>
      <c r="AD1019" s="1504"/>
      <c r="AE1019" s="1505"/>
      <c r="AF1019" s="1365"/>
      <c r="AG1019" s="1366"/>
      <c r="AH1019" s="1366"/>
      <c r="AI1019" s="1367"/>
      <c r="AJ1019" s="1387"/>
      <c r="AK1019" s="1388"/>
      <c r="AL1019" s="1388"/>
      <c r="AM1019" s="1388"/>
      <c r="AN1019" s="1388"/>
      <c r="AO1019" s="1388"/>
      <c r="AP1019" s="1388"/>
      <c r="AQ1019" s="1389"/>
      <c r="AR1019" s="68"/>
      <c r="AS1019" s="68"/>
      <c r="AT1019" s="68"/>
      <c r="AU1019" s="68"/>
      <c r="AV1019" s="68"/>
      <c r="AW1019" s="68"/>
      <c r="AX1019" s="68"/>
      <c r="AY1019" s="200">
        <f>IF(A1089="Yes",0.01,0)</f>
        <v>0</v>
      </c>
    </row>
    <row r="1020" spans="1:51" ht="12.95" customHeight="1">
      <c r="A1020" s="14"/>
      <c r="B1020" s="79"/>
      <c r="C1020" s="80" t="s">
        <v>222</v>
      </c>
      <c r="D1020" s="1542" t="s">
        <v>1292</v>
      </c>
      <c r="E1020" s="1543"/>
      <c r="F1020" s="1543"/>
      <c r="G1020" s="1543"/>
      <c r="H1020" s="1543"/>
      <c r="I1020" s="1543"/>
      <c r="J1020" s="1543"/>
      <c r="K1020" s="1543"/>
      <c r="L1020" s="1543"/>
      <c r="M1020" s="1543"/>
      <c r="N1020" s="1543"/>
      <c r="O1020" s="1543"/>
      <c r="P1020" s="1543"/>
      <c r="Q1020" s="1543"/>
      <c r="R1020" s="1543"/>
      <c r="S1020" s="1543"/>
      <c r="T1020" s="1543"/>
      <c r="U1020" s="1543"/>
      <c r="V1020" s="1543"/>
      <c r="W1020" s="1543"/>
      <c r="X1020" s="1543"/>
      <c r="Y1020" s="1543"/>
      <c r="Z1020" s="1543"/>
      <c r="AA1020" s="1543"/>
      <c r="AB1020" s="1543"/>
      <c r="AC1020" s="1543"/>
      <c r="AD1020" s="1543"/>
      <c r="AE1020" s="1544"/>
      <c r="AF1020" s="79"/>
      <c r="AG1020" s="1495" t="s">
        <v>669</v>
      </c>
      <c r="AH1020" s="1496"/>
      <c r="AI1020" s="87"/>
      <c r="AJ1020" s="1381">
        <f>ROUND(IF(AND(AG1020="Yes",J1024&lt;&gt;"N/A",AF1023&lt;&gt;""),MIN(AF1023,(0.15*AJ992)),0),0)</f>
        <v>0</v>
      </c>
      <c r="AK1020" s="1382"/>
      <c r="AL1020" s="1382"/>
      <c r="AM1020" s="1382"/>
      <c r="AN1020" s="1382"/>
      <c r="AO1020" s="1382"/>
      <c r="AP1020" s="1382"/>
      <c r="AQ1020" s="1383"/>
      <c r="AR1020" s="68"/>
      <c r="AS1020" s="68"/>
      <c r="AT1020" s="68"/>
      <c r="AU1020" s="68"/>
      <c r="AV1020" s="68"/>
      <c r="AW1020" s="68"/>
      <c r="AX1020" s="68"/>
      <c r="AY1020" s="200">
        <f>IF(A1094="Yes",0.01,0)</f>
        <v>0</v>
      </c>
    </row>
    <row r="1021" spans="1:51" ht="12.95" customHeight="1">
      <c r="A1021" s="14"/>
      <c r="B1021" s="81"/>
      <c r="C1021" s="84"/>
      <c r="D1021" s="1545"/>
      <c r="E1021" s="1546"/>
      <c r="F1021" s="1546"/>
      <c r="G1021" s="1546"/>
      <c r="H1021" s="1546"/>
      <c r="I1021" s="1546"/>
      <c r="J1021" s="1546"/>
      <c r="K1021" s="1546"/>
      <c r="L1021" s="1546"/>
      <c r="M1021" s="1546"/>
      <c r="N1021" s="1546"/>
      <c r="O1021" s="1546"/>
      <c r="P1021" s="1546"/>
      <c r="Q1021" s="1546"/>
      <c r="R1021" s="1546"/>
      <c r="S1021" s="1546"/>
      <c r="T1021" s="1546"/>
      <c r="U1021" s="1546"/>
      <c r="V1021" s="1546"/>
      <c r="W1021" s="1546"/>
      <c r="X1021" s="1546"/>
      <c r="Y1021" s="1546"/>
      <c r="Z1021" s="1546"/>
      <c r="AA1021" s="1546"/>
      <c r="AB1021" s="1546"/>
      <c r="AC1021" s="1546"/>
      <c r="AD1021" s="1546"/>
      <c r="AE1021" s="1547"/>
      <c r="AF1021" s="1506" t="str">
        <f>IF(AG1020="yes","Please Select Type and Enter Amount:","")</f>
        <v/>
      </c>
      <c r="AG1021" s="1507"/>
      <c r="AH1021" s="1507"/>
      <c r="AI1021" s="1508"/>
      <c r="AJ1021" s="1384"/>
      <c r="AK1021" s="1385"/>
      <c r="AL1021" s="1385"/>
      <c r="AM1021" s="1385"/>
      <c r="AN1021" s="1385"/>
      <c r="AO1021" s="1385"/>
      <c r="AP1021" s="1385"/>
      <c r="AQ1021" s="1386"/>
      <c r="AR1021" s="68"/>
      <c r="AS1021" s="68"/>
      <c r="AT1021" s="68"/>
      <c r="AU1021" s="68"/>
      <c r="AV1021" s="68"/>
      <c r="AW1021" s="68"/>
      <c r="AX1021" s="68"/>
      <c r="AY1021" s="200">
        <f>IF(A1097="Yes",0.01,0)</f>
        <v>0</v>
      </c>
    </row>
    <row r="1022" spans="1:51" ht="12.95" customHeight="1">
      <c r="A1022" s="14"/>
      <c r="B1022" s="81"/>
      <c r="C1022" s="84"/>
      <c r="D1022" s="1500" t="s">
        <v>1293</v>
      </c>
      <c r="E1022" s="1501"/>
      <c r="F1022" s="1501"/>
      <c r="G1022" s="1501"/>
      <c r="H1022" s="1501"/>
      <c r="I1022" s="1501"/>
      <c r="J1022" s="1501"/>
      <c r="K1022" s="1501"/>
      <c r="L1022" s="1501"/>
      <c r="M1022" s="1501"/>
      <c r="N1022" s="1501"/>
      <c r="O1022" s="1501"/>
      <c r="P1022" s="1501"/>
      <c r="Q1022" s="1501"/>
      <c r="R1022" s="1501"/>
      <c r="S1022" s="1501"/>
      <c r="T1022" s="1501"/>
      <c r="U1022" s="1501"/>
      <c r="V1022" s="1501"/>
      <c r="W1022" s="1501"/>
      <c r="X1022" s="1501"/>
      <c r="Y1022" s="1501"/>
      <c r="Z1022" s="1501"/>
      <c r="AA1022" s="1501"/>
      <c r="AB1022" s="1501"/>
      <c r="AC1022" s="1501"/>
      <c r="AD1022" s="1501"/>
      <c r="AE1022" s="1502"/>
      <c r="AF1022" s="1506"/>
      <c r="AG1022" s="1507"/>
      <c r="AH1022" s="1507"/>
      <c r="AI1022" s="1508"/>
      <c r="AJ1022" s="1384"/>
      <c r="AK1022" s="1385"/>
      <c r="AL1022" s="1385"/>
      <c r="AM1022" s="1385"/>
      <c r="AN1022" s="1385"/>
      <c r="AO1022" s="1385"/>
      <c r="AP1022" s="1385"/>
      <c r="AQ1022" s="1386"/>
      <c r="AR1022" s="68"/>
      <c r="AS1022" s="68"/>
      <c r="AT1022" s="68"/>
      <c r="AU1022" s="68"/>
      <c r="AV1022" s="68"/>
      <c r="AW1022" s="68"/>
      <c r="AX1022" s="68"/>
      <c r="AY1022" s="200">
        <f>IF(A1100="Yes",0.02,0)</f>
        <v>0</v>
      </c>
    </row>
    <row r="1023" spans="1:51" ht="12.95" customHeight="1">
      <c r="A1023" s="14"/>
      <c r="B1023" s="81"/>
      <c r="C1023" s="84"/>
      <c r="D1023" s="1500"/>
      <c r="E1023" s="1501"/>
      <c r="F1023" s="1501"/>
      <c r="G1023" s="1501"/>
      <c r="H1023" s="1501"/>
      <c r="I1023" s="1501"/>
      <c r="J1023" s="1501"/>
      <c r="K1023" s="1501"/>
      <c r="L1023" s="1501"/>
      <c r="M1023" s="1501"/>
      <c r="N1023" s="1501"/>
      <c r="O1023" s="1501"/>
      <c r="P1023" s="1501"/>
      <c r="Q1023" s="1501"/>
      <c r="R1023" s="1501"/>
      <c r="S1023" s="1501"/>
      <c r="T1023" s="1501"/>
      <c r="U1023" s="1501"/>
      <c r="V1023" s="1501"/>
      <c r="W1023" s="1501"/>
      <c r="X1023" s="1501"/>
      <c r="Y1023" s="1501"/>
      <c r="Z1023" s="1501"/>
      <c r="AA1023" s="1501"/>
      <c r="AB1023" s="1501"/>
      <c r="AC1023" s="1501"/>
      <c r="AD1023" s="1501"/>
      <c r="AE1023" s="1502"/>
      <c r="AF1023" s="1524"/>
      <c r="AG1023" s="1524"/>
      <c r="AH1023" s="1524"/>
      <c r="AI1023" s="1524"/>
      <c r="AJ1023" s="1384"/>
      <c r="AK1023" s="1385"/>
      <c r="AL1023" s="1385"/>
      <c r="AM1023" s="1385"/>
      <c r="AN1023" s="1385"/>
      <c r="AO1023" s="1385"/>
      <c r="AP1023" s="1385"/>
      <c r="AQ1023" s="1386"/>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478" t="s">
        <v>591</v>
      </c>
      <c r="K1024" s="1479"/>
      <c r="L1024" s="1479"/>
      <c r="M1024" s="1479"/>
      <c r="N1024" s="1479"/>
      <c r="O1024" s="1479"/>
      <c r="P1024" s="1479"/>
      <c r="Q1024" s="1479"/>
      <c r="R1024" s="1479"/>
      <c r="S1024" s="1479"/>
      <c r="T1024" s="1479"/>
      <c r="U1024" s="1479"/>
      <c r="V1024" s="1479"/>
      <c r="W1024" s="1479"/>
      <c r="X1024" s="1479"/>
      <c r="Y1024" s="1479"/>
      <c r="Z1024" s="1479"/>
      <c r="AA1024" s="1479"/>
      <c r="AB1024" s="1479"/>
      <c r="AC1024" s="1479"/>
      <c r="AD1024" s="1479"/>
      <c r="AE1024" s="1480"/>
      <c r="AF1024" s="1524"/>
      <c r="AG1024" s="1524"/>
      <c r="AH1024" s="1524"/>
      <c r="AI1024" s="1524"/>
      <c r="AJ1024" s="1387"/>
      <c r="AK1024" s="1388"/>
      <c r="AL1024" s="1388"/>
      <c r="AM1024" s="1388"/>
      <c r="AN1024" s="1388"/>
      <c r="AO1024" s="1388"/>
      <c r="AP1024" s="1388"/>
      <c r="AQ1024" s="1389"/>
      <c r="AR1024" s="68"/>
      <c r="AS1024" s="68"/>
      <c r="AT1024" s="68"/>
      <c r="AU1024" s="68"/>
      <c r="AV1024" s="68"/>
      <c r="AW1024" s="68"/>
      <c r="AX1024" s="68"/>
      <c r="AY1024" s="68"/>
    </row>
    <row r="1025" spans="1:57" ht="12.95" customHeight="1">
      <c r="A1025" s="14"/>
      <c r="B1025" s="79"/>
      <c r="C1025" s="80" t="s">
        <v>228</v>
      </c>
      <c r="D1025" s="1487" t="s">
        <v>1294</v>
      </c>
      <c r="E1025" s="1488"/>
      <c r="F1025" s="1488"/>
      <c r="G1025" s="1488"/>
      <c r="H1025" s="1488"/>
      <c r="I1025" s="1488"/>
      <c r="J1025" s="1488"/>
      <c r="K1025" s="1488"/>
      <c r="L1025" s="1488"/>
      <c r="M1025" s="1488"/>
      <c r="N1025" s="1488"/>
      <c r="O1025" s="1488"/>
      <c r="P1025" s="1488"/>
      <c r="Q1025" s="1488"/>
      <c r="R1025" s="1488"/>
      <c r="S1025" s="1488"/>
      <c r="T1025" s="1488"/>
      <c r="U1025" s="1488"/>
      <c r="V1025" s="1488"/>
      <c r="W1025" s="1488"/>
      <c r="X1025" s="1488"/>
      <c r="Y1025" s="1488"/>
      <c r="Z1025" s="1488"/>
      <c r="AA1025" s="1488"/>
      <c r="AB1025" s="1488"/>
      <c r="AC1025" s="1488"/>
      <c r="AD1025" s="1488"/>
      <c r="AE1025" s="1489"/>
      <c r="AF1025" s="79"/>
      <c r="AG1025" s="1495" t="s">
        <v>669</v>
      </c>
      <c r="AH1025" s="1496"/>
      <c r="AI1025" s="87"/>
      <c r="AJ1025" s="1381">
        <f>ROUND(IF(AG1025="Yes",AF1027,0),0)</f>
        <v>0</v>
      </c>
      <c r="AK1025" s="1382"/>
      <c r="AL1025" s="1382"/>
      <c r="AM1025" s="1382"/>
      <c r="AN1025" s="1382"/>
      <c r="AO1025" s="1382"/>
      <c r="AP1025" s="1382"/>
      <c r="AQ1025" s="1383"/>
      <c r="AR1025" s="68"/>
      <c r="AS1025" s="68"/>
      <c r="AT1025" s="68"/>
      <c r="AU1025" s="68"/>
      <c r="AV1025" s="68"/>
      <c r="AW1025" s="68"/>
      <c r="AX1025" s="68"/>
      <c r="AY1025" s="68"/>
    </row>
    <row r="1026" spans="1:57" ht="12.95" customHeight="1">
      <c r="A1026" s="14"/>
      <c r="B1026" s="73"/>
      <c r="C1026" s="74"/>
      <c r="D1026" s="1500" t="s">
        <v>1690</v>
      </c>
      <c r="E1026" s="1501"/>
      <c r="F1026" s="1501"/>
      <c r="G1026" s="1501"/>
      <c r="H1026" s="1501"/>
      <c r="I1026" s="1501"/>
      <c r="J1026" s="1501"/>
      <c r="K1026" s="1501"/>
      <c r="L1026" s="1501"/>
      <c r="M1026" s="1501"/>
      <c r="N1026" s="1501"/>
      <c r="O1026" s="1501"/>
      <c r="P1026" s="1501"/>
      <c r="Q1026" s="1501"/>
      <c r="R1026" s="1501"/>
      <c r="S1026" s="1501"/>
      <c r="T1026" s="1501"/>
      <c r="U1026" s="1501"/>
      <c r="V1026" s="1501"/>
      <c r="W1026" s="1501"/>
      <c r="X1026" s="1501"/>
      <c r="Y1026" s="1501"/>
      <c r="Z1026" s="1501"/>
      <c r="AA1026" s="1501"/>
      <c r="AB1026" s="1501"/>
      <c r="AC1026" s="1501"/>
      <c r="AD1026" s="1501"/>
      <c r="AE1026" s="1502"/>
      <c r="AF1026" s="1548" t="str">
        <f>IF(AG1025="yes","Enter Amount:","")</f>
        <v/>
      </c>
      <c r="AG1026" s="1549"/>
      <c r="AH1026" s="1549"/>
      <c r="AI1026" s="1550"/>
      <c r="AJ1026" s="1384"/>
      <c r="AK1026" s="1385"/>
      <c r="AL1026" s="1385"/>
      <c r="AM1026" s="1385"/>
      <c r="AN1026" s="1385"/>
      <c r="AO1026" s="1385"/>
      <c r="AP1026" s="1385"/>
      <c r="AQ1026" s="1386"/>
      <c r="AR1026" s="68"/>
      <c r="AS1026" s="68"/>
      <c r="AT1026" s="68"/>
      <c r="AU1026" s="68"/>
      <c r="AV1026" s="68"/>
      <c r="AW1026" s="68"/>
      <c r="AX1026" s="68"/>
      <c r="AY1026" s="68"/>
    </row>
    <row r="1027" spans="1:57" ht="12.95" customHeight="1">
      <c r="A1027" s="14"/>
      <c r="B1027" s="73"/>
      <c r="C1027" s="74"/>
      <c r="D1027" s="1500"/>
      <c r="E1027" s="1501"/>
      <c r="F1027" s="1501"/>
      <c r="G1027" s="1501"/>
      <c r="H1027" s="1501"/>
      <c r="I1027" s="1501"/>
      <c r="J1027" s="1501"/>
      <c r="K1027" s="1501"/>
      <c r="L1027" s="1501"/>
      <c r="M1027" s="1501"/>
      <c r="N1027" s="1501"/>
      <c r="O1027" s="1501"/>
      <c r="P1027" s="1501"/>
      <c r="Q1027" s="1501"/>
      <c r="R1027" s="1501"/>
      <c r="S1027" s="1501"/>
      <c r="T1027" s="1501"/>
      <c r="U1027" s="1501"/>
      <c r="V1027" s="1501"/>
      <c r="W1027" s="1501"/>
      <c r="X1027" s="1501"/>
      <c r="Y1027" s="1501"/>
      <c r="Z1027" s="1501"/>
      <c r="AA1027" s="1501"/>
      <c r="AB1027" s="1501"/>
      <c r="AC1027" s="1501"/>
      <c r="AD1027" s="1501"/>
      <c r="AE1027" s="1502"/>
      <c r="AF1027" s="1524"/>
      <c r="AG1027" s="1524"/>
      <c r="AH1027" s="1524"/>
      <c r="AI1027" s="1524"/>
      <c r="AJ1027" s="1384"/>
      <c r="AK1027" s="1385"/>
      <c r="AL1027" s="1385"/>
      <c r="AM1027" s="1385"/>
      <c r="AN1027" s="1385"/>
      <c r="AO1027" s="1385"/>
      <c r="AP1027" s="1385"/>
      <c r="AQ1027" s="138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3"/>
      <c r="E1028" s="1504"/>
      <c r="F1028" s="1504"/>
      <c r="G1028" s="1504"/>
      <c r="H1028" s="1504"/>
      <c r="I1028" s="1504"/>
      <c r="J1028" s="1504"/>
      <c r="K1028" s="1504"/>
      <c r="L1028" s="1504"/>
      <c r="M1028" s="1504"/>
      <c r="N1028" s="1504"/>
      <c r="O1028" s="1504"/>
      <c r="P1028" s="1504"/>
      <c r="Q1028" s="1504"/>
      <c r="R1028" s="1504"/>
      <c r="S1028" s="1504"/>
      <c r="T1028" s="1504"/>
      <c r="U1028" s="1504"/>
      <c r="V1028" s="1504"/>
      <c r="W1028" s="1504"/>
      <c r="X1028" s="1504"/>
      <c r="Y1028" s="1504"/>
      <c r="Z1028" s="1504"/>
      <c r="AA1028" s="1504"/>
      <c r="AB1028" s="1504"/>
      <c r="AC1028" s="1504"/>
      <c r="AD1028" s="1504"/>
      <c r="AE1028" s="1505"/>
      <c r="AF1028" s="1524"/>
      <c r="AG1028" s="1524"/>
      <c r="AH1028" s="1524"/>
      <c r="AI1028" s="1524"/>
      <c r="AJ1028" s="1387"/>
      <c r="AK1028" s="1388"/>
      <c r="AL1028" s="1388"/>
      <c r="AM1028" s="1388"/>
      <c r="AN1028" s="1388"/>
      <c r="AO1028" s="1388"/>
      <c r="AP1028" s="1388"/>
      <c r="AQ1028" s="1389"/>
      <c r="AR1028" s="68"/>
      <c r="AS1028" s="68"/>
      <c r="AT1028" s="68"/>
      <c r="AU1028" s="68"/>
      <c r="AV1028" s="68"/>
      <c r="AW1028" s="68"/>
      <c r="AX1028" s="68"/>
      <c r="AY1028" s="68"/>
    </row>
    <row r="1029" spans="1:57" ht="12.95" customHeight="1">
      <c r="A1029" s="14"/>
      <c r="B1029" s="79"/>
      <c r="C1029" s="80" t="s">
        <v>233</v>
      </c>
      <c r="D1029" s="1497" t="s">
        <v>1295</v>
      </c>
      <c r="E1029" s="1498"/>
      <c r="F1029" s="1498"/>
      <c r="G1029" s="1498"/>
      <c r="H1029" s="1498"/>
      <c r="I1029" s="1498"/>
      <c r="J1029" s="1498"/>
      <c r="K1029" s="1498"/>
      <c r="L1029" s="1498"/>
      <c r="M1029" s="1498"/>
      <c r="N1029" s="1498"/>
      <c r="O1029" s="1498"/>
      <c r="P1029" s="1498"/>
      <c r="Q1029" s="1498"/>
      <c r="R1029" s="1498"/>
      <c r="S1029" s="1498"/>
      <c r="T1029" s="1498"/>
      <c r="U1029" s="1498"/>
      <c r="V1029" s="1498"/>
      <c r="W1029" s="1498"/>
      <c r="X1029" s="1498"/>
      <c r="Y1029" s="1498"/>
      <c r="Z1029" s="1498"/>
      <c r="AA1029" s="1498"/>
      <c r="AB1029" s="1498"/>
      <c r="AC1029" s="1498"/>
      <c r="AD1029" s="1498"/>
      <c r="AE1029" s="1499"/>
      <c r="AF1029" s="79"/>
      <c r="AG1029" s="1495" t="s">
        <v>545</v>
      </c>
      <c r="AH1029" s="1496"/>
      <c r="AI1029" s="87"/>
      <c r="AJ1029" s="1381">
        <f>ROUND(IF(AG1029="yes",(AJ992*0.1),0),0)</f>
        <v>4742586</v>
      </c>
      <c r="AK1029" s="1382"/>
      <c r="AL1029" s="1382"/>
      <c r="AM1029" s="1382"/>
      <c r="AN1029" s="1382"/>
      <c r="AO1029" s="1382"/>
      <c r="AP1029" s="1382"/>
      <c r="AQ1029" s="1383"/>
      <c r="AR1029" s="68"/>
      <c r="AS1029" s="68"/>
      <c r="AT1029" s="68"/>
      <c r="AU1029" s="68"/>
      <c r="AV1029" s="68"/>
      <c r="AW1029" s="68"/>
      <c r="AX1029" s="68"/>
      <c r="AY1029" s="68"/>
    </row>
    <row r="1030" spans="1:57" ht="12.95" customHeight="1">
      <c r="A1030" s="14"/>
      <c r="B1030" s="73"/>
      <c r="C1030" s="74"/>
      <c r="D1030" s="1500" t="s">
        <v>1296</v>
      </c>
      <c r="E1030" s="1501"/>
      <c r="F1030" s="1501"/>
      <c r="G1030" s="1501"/>
      <c r="H1030" s="1501"/>
      <c r="I1030" s="1501"/>
      <c r="J1030" s="1501"/>
      <c r="K1030" s="1501"/>
      <c r="L1030" s="1501"/>
      <c r="M1030" s="1501"/>
      <c r="N1030" s="1501"/>
      <c r="O1030" s="1501"/>
      <c r="P1030" s="1501"/>
      <c r="Q1030" s="1501"/>
      <c r="R1030" s="1501"/>
      <c r="S1030" s="1501"/>
      <c r="T1030" s="1501"/>
      <c r="U1030" s="1501"/>
      <c r="V1030" s="1501"/>
      <c r="W1030" s="1501"/>
      <c r="X1030" s="1501"/>
      <c r="Y1030" s="1501"/>
      <c r="Z1030" s="1501"/>
      <c r="AA1030" s="1501"/>
      <c r="AB1030" s="1501"/>
      <c r="AC1030" s="1501"/>
      <c r="AD1030" s="1501"/>
      <c r="AE1030" s="1502"/>
      <c r="AF1030" s="73"/>
      <c r="AG1030" s="14"/>
      <c r="AH1030" s="14"/>
      <c r="AI1030" s="83"/>
      <c r="AJ1030" s="1384"/>
      <c r="AK1030" s="1385"/>
      <c r="AL1030" s="1385"/>
      <c r="AM1030" s="1385"/>
      <c r="AN1030" s="1385"/>
      <c r="AO1030" s="1385"/>
      <c r="AP1030" s="1385"/>
      <c r="AQ1030" s="1386"/>
      <c r="AR1030" s="68"/>
      <c r="AS1030" s="68"/>
      <c r="AT1030" s="68"/>
      <c r="AU1030" s="68"/>
      <c r="AV1030" s="68"/>
      <c r="AW1030" s="68"/>
      <c r="AX1030" s="68"/>
      <c r="AY1030" s="68"/>
    </row>
    <row r="1031" spans="1:57" ht="12.95" customHeight="1">
      <c r="A1031" s="14"/>
      <c r="B1031" s="77"/>
      <c r="C1031" s="74"/>
      <c r="D1031" s="1503"/>
      <c r="E1031" s="1504"/>
      <c r="F1031" s="1504"/>
      <c r="G1031" s="1504"/>
      <c r="H1031" s="1504"/>
      <c r="I1031" s="1504"/>
      <c r="J1031" s="1504"/>
      <c r="K1031" s="1504"/>
      <c r="L1031" s="1504"/>
      <c r="M1031" s="1504"/>
      <c r="N1031" s="1504"/>
      <c r="O1031" s="1504"/>
      <c r="P1031" s="1504"/>
      <c r="Q1031" s="1504"/>
      <c r="R1031" s="1504"/>
      <c r="S1031" s="1504"/>
      <c r="T1031" s="1504"/>
      <c r="U1031" s="1504"/>
      <c r="V1031" s="1504"/>
      <c r="W1031" s="1504"/>
      <c r="X1031" s="1504"/>
      <c r="Y1031" s="1504"/>
      <c r="Z1031" s="1504"/>
      <c r="AA1031" s="1504"/>
      <c r="AB1031" s="1504"/>
      <c r="AC1031" s="1504"/>
      <c r="AD1031" s="1504"/>
      <c r="AE1031" s="1505"/>
      <c r="AF1031" s="73"/>
      <c r="AG1031" s="14"/>
      <c r="AH1031" s="14"/>
      <c r="AI1031" s="83"/>
      <c r="AJ1031" s="1387"/>
      <c r="AK1031" s="1388"/>
      <c r="AL1031" s="1388"/>
      <c r="AM1031" s="1388"/>
      <c r="AN1031" s="1388"/>
      <c r="AO1031" s="1388"/>
      <c r="AP1031" s="1388"/>
      <c r="AQ1031" s="1389"/>
      <c r="AR1031" s="68"/>
      <c r="AS1031" s="68"/>
      <c r="AT1031" s="68"/>
      <c r="AU1031" s="68"/>
      <c r="AV1031" s="68"/>
      <c r="AW1031" s="68"/>
      <c r="AX1031" s="68"/>
      <c r="AY1031" s="68"/>
    </row>
    <row r="1032" spans="1:57" ht="12.95" customHeight="1">
      <c r="A1032" s="14"/>
      <c r="B1032" s="73"/>
      <c r="C1032" s="340" t="s">
        <v>687</v>
      </c>
      <c r="D1032" s="1487" t="s">
        <v>1686</v>
      </c>
      <c r="E1032" s="1488"/>
      <c r="F1032" s="1488"/>
      <c r="G1032" s="1488"/>
      <c r="H1032" s="1488"/>
      <c r="I1032" s="1488"/>
      <c r="J1032" s="1488"/>
      <c r="K1032" s="1488"/>
      <c r="L1032" s="1488"/>
      <c r="M1032" s="1488"/>
      <c r="N1032" s="1488"/>
      <c r="O1032" s="1488"/>
      <c r="P1032" s="1488"/>
      <c r="Q1032" s="1488"/>
      <c r="R1032" s="1488"/>
      <c r="S1032" s="1488"/>
      <c r="T1032" s="1488"/>
      <c r="U1032" s="1488"/>
      <c r="V1032" s="1488"/>
      <c r="W1032" s="1488"/>
      <c r="X1032" s="1488"/>
      <c r="Y1032" s="1488"/>
      <c r="Z1032" s="1488"/>
      <c r="AA1032" s="1488"/>
      <c r="AB1032" s="1488"/>
      <c r="AC1032" s="1488"/>
      <c r="AD1032" s="1488"/>
      <c r="AE1032" s="1489"/>
      <c r="AF1032" s="79"/>
      <c r="AG1032" s="1495" t="s">
        <v>669</v>
      </c>
      <c r="AH1032" s="1496"/>
      <c r="AI1032" s="87"/>
      <c r="AJ1032" s="1381">
        <f>ROUND(IF(AG1032="yes",(AJ992*0.15),0),0)</f>
        <v>0</v>
      </c>
      <c r="AK1032" s="1382"/>
      <c r="AL1032" s="1382"/>
      <c r="AM1032" s="1382"/>
      <c r="AN1032" s="1382"/>
      <c r="AO1032" s="1382"/>
      <c r="AP1032" s="1382"/>
      <c r="AQ1032" s="1383"/>
      <c r="AR1032" s="68"/>
      <c r="AS1032" s="68"/>
      <c r="AT1032" s="68"/>
      <c r="AU1032" s="68"/>
      <c r="AV1032" s="68"/>
      <c r="AW1032" s="68"/>
      <c r="AX1032" s="68"/>
      <c r="AY1032" s="68"/>
    </row>
    <row r="1033" spans="1:57" ht="12.95" customHeight="1">
      <c r="A1033" s="14"/>
      <c r="B1033" s="73"/>
      <c r="C1033" s="74"/>
      <c r="D1033" s="1537"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38"/>
      <c r="AF1033" s="916"/>
      <c r="AG1033" s="917"/>
      <c r="AH1033" s="917"/>
      <c r="AI1033" s="918"/>
      <c r="AJ1033" s="1384"/>
      <c r="AK1033" s="1385"/>
      <c r="AL1033" s="1385"/>
      <c r="AM1033" s="1385"/>
      <c r="AN1033" s="1385"/>
      <c r="AO1033" s="1385"/>
      <c r="AP1033" s="1385"/>
      <c r="AQ1033" s="1386"/>
      <c r="AR1033" s="68"/>
      <c r="AS1033" s="68"/>
      <c r="AT1033" s="68"/>
      <c r="AU1033" s="68"/>
      <c r="AV1033" s="68"/>
      <c r="AW1033" s="68"/>
      <c r="AX1033" s="68"/>
      <c r="AY1033" s="68"/>
    </row>
    <row r="1034" spans="1:57" ht="12.95" customHeight="1">
      <c r="A1034" s="14"/>
      <c r="B1034" s="73"/>
      <c r="C1034" s="74"/>
      <c r="D1034" s="1537"/>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38"/>
      <c r="AF1034" s="916"/>
      <c r="AG1034" s="917"/>
      <c r="AH1034" s="917"/>
      <c r="AI1034" s="918"/>
      <c r="AJ1034" s="1384"/>
      <c r="AK1034" s="1385"/>
      <c r="AL1034" s="1385"/>
      <c r="AM1034" s="1385"/>
      <c r="AN1034" s="1385"/>
      <c r="AO1034" s="1385"/>
      <c r="AP1034" s="1385"/>
      <c r="AQ1034" s="1386"/>
      <c r="AR1034" s="68"/>
      <c r="AS1034" s="68"/>
      <c r="AT1034" s="68"/>
      <c r="AU1034" s="68"/>
      <c r="AV1034" s="68"/>
      <c r="AW1034" s="68"/>
      <c r="AX1034" s="68"/>
      <c r="AY1034" s="68"/>
    </row>
    <row r="1035" spans="1:57" ht="12.95" customHeight="1">
      <c r="A1035" s="14"/>
      <c r="B1035" s="73"/>
      <c r="C1035" s="74"/>
      <c r="D1035" s="1539"/>
      <c r="E1035" s="1540"/>
      <c r="F1035" s="1540"/>
      <c r="G1035" s="1540"/>
      <c r="H1035" s="1540"/>
      <c r="I1035" s="1540"/>
      <c r="J1035" s="1540"/>
      <c r="K1035" s="1540"/>
      <c r="L1035" s="1540"/>
      <c r="M1035" s="1540"/>
      <c r="N1035" s="1540"/>
      <c r="O1035" s="1540"/>
      <c r="P1035" s="1540"/>
      <c r="Q1035" s="1540"/>
      <c r="R1035" s="1540"/>
      <c r="S1035" s="1540"/>
      <c r="T1035" s="1540"/>
      <c r="U1035" s="1540"/>
      <c r="V1035" s="1540"/>
      <c r="W1035" s="1540"/>
      <c r="X1035" s="1540"/>
      <c r="Y1035" s="1540"/>
      <c r="Z1035" s="1540"/>
      <c r="AA1035" s="1540"/>
      <c r="AB1035" s="1540"/>
      <c r="AC1035" s="1540"/>
      <c r="AD1035" s="1540"/>
      <c r="AE1035" s="1541"/>
      <c r="AF1035" s="919"/>
      <c r="AG1035" s="920"/>
      <c r="AH1035" s="920"/>
      <c r="AI1035" s="921"/>
      <c r="AJ1035" s="1387"/>
      <c r="AK1035" s="1388"/>
      <c r="AL1035" s="1388"/>
      <c r="AM1035" s="1388"/>
      <c r="AN1035" s="1388"/>
      <c r="AO1035" s="1388"/>
      <c r="AP1035" s="1388"/>
      <c r="AQ1035" s="1389"/>
      <c r="AR1035" s="68"/>
      <c r="AS1035" s="68"/>
      <c r="AT1035" s="68"/>
      <c r="AU1035" s="68"/>
      <c r="AV1035" s="68"/>
      <c r="AW1035" s="68"/>
      <c r="AX1035" s="68"/>
      <c r="AY1035" s="68"/>
    </row>
    <row r="1036" spans="1:57" ht="12.95" customHeight="1">
      <c r="A1036" s="14"/>
      <c r="B1036" s="73"/>
      <c r="C1036" s="340" t="s">
        <v>687</v>
      </c>
      <c r="D1036" s="1497" t="s">
        <v>1688</v>
      </c>
      <c r="E1036" s="1498"/>
      <c r="F1036" s="1498"/>
      <c r="G1036" s="1498"/>
      <c r="H1036" s="1498"/>
      <c r="I1036" s="1498"/>
      <c r="J1036" s="1498"/>
      <c r="K1036" s="1498"/>
      <c r="L1036" s="1498"/>
      <c r="M1036" s="1498"/>
      <c r="N1036" s="1498"/>
      <c r="O1036" s="1498"/>
      <c r="P1036" s="1498"/>
      <c r="Q1036" s="1498"/>
      <c r="R1036" s="1498"/>
      <c r="S1036" s="1498"/>
      <c r="T1036" s="1498"/>
      <c r="U1036" s="1498"/>
      <c r="V1036" s="1498"/>
      <c r="W1036" s="1498"/>
      <c r="X1036" s="1498"/>
      <c r="Y1036" s="1498"/>
      <c r="Z1036" s="1498"/>
      <c r="AA1036" s="1498"/>
      <c r="AB1036" s="1498"/>
      <c r="AC1036" s="1498"/>
      <c r="AD1036" s="1498"/>
      <c r="AE1036" s="1499"/>
      <c r="AF1036" s="73"/>
      <c r="AG1036" s="1556" t="s">
        <v>669</v>
      </c>
      <c r="AH1036" s="1557"/>
      <c r="AI1036" s="83"/>
      <c r="AJ1036" s="1381">
        <f>ROUND(IF(AND(AG1036="yes",AJ1032=0),(AJ992*0.1),0),0)</f>
        <v>0</v>
      </c>
      <c r="AK1036" s="1382"/>
      <c r="AL1036" s="1382"/>
      <c r="AM1036" s="1382"/>
      <c r="AN1036" s="1382"/>
      <c r="AO1036" s="1382"/>
      <c r="AP1036" s="1382"/>
      <c r="AQ1036" s="1383"/>
      <c r="AR1036" s="68"/>
      <c r="AS1036" s="68"/>
      <c r="AT1036" s="68"/>
      <c r="AU1036" s="68"/>
      <c r="AV1036" s="68"/>
      <c r="AW1036" s="68"/>
      <c r="AX1036" s="68"/>
      <c r="AY1036" s="68"/>
    </row>
    <row r="1037" spans="1:57" ht="12.95" customHeight="1">
      <c r="A1037" s="14"/>
      <c r="B1037" s="73"/>
      <c r="C1037" s="74"/>
      <c r="D1037" s="1537"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38"/>
      <c r="AF1037" s="73"/>
      <c r="AG1037" s="14"/>
      <c r="AH1037" s="14"/>
      <c r="AI1037" s="83"/>
      <c r="AJ1037" s="1384"/>
      <c r="AK1037" s="1385"/>
      <c r="AL1037" s="1385"/>
      <c r="AM1037" s="1385"/>
      <c r="AN1037" s="1385"/>
      <c r="AO1037" s="1385"/>
      <c r="AP1037" s="1385"/>
      <c r="AQ1037" s="1386"/>
      <c r="AR1037" s="68"/>
      <c r="AS1037" s="68"/>
      <c r="AT1037" s="68"/>
      <c r="AU1037" s="68"/>
      <c r="AV1037" s="68"/>
      <c r="AW1037" s="68"/>
      <c r="AX1037" s="68"/>
      <c r="AY1037" s="68"/>
    </row>
    <row r="1038" spans="1:57" ht="12.95" customHeight="1">
      <c r="A1038" s="14"/>
      <c r="B1038" s="73"/>
      <c r="C1038" s="74"/>
      <c r="D1038" s="1537"/>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38"/>
      <c r="AF1038" s="73"/>
      <c r="AG1038" s="14"/>
      <c r="AH1038" s="14"/>
      <c r="AI1038" s="83"/>
      <c r="AJ1038" s="1384"/>
      <c r="AK1038" s="1385"/>
      <c r="AL1038" s="1385"/>
      <c r="AM1038" s="1385"/>
      <c r="AN1038" s="1385"/>
      <c r="AO1038" s="1385"/>
      <c r="AP1038" s="1385"/>
      <c r="AQ1038" s="1386"/>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537"/>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38"/>
      <c r="AF1039" s="73"/>
      <c r="AG1039" s="14"/>
      <c r="AH1039" s="14"/>
      <c r="AI1039" s="83"/>
      <c r="AJ1039" s="1384"/>
      <c r="AK1039" s="1385"/>
      <c r="AL1039" s="1385"/>
      <c r="AM1039" s="1385"/>
      <c r="AN1039" s="1385"/>
      <c r="AO1039" s="1385"/>
      <c r="AP1039" s="1385"/>
      <c r="AQ1039" s="1386"/>
      <c r="AR1039" s="68"/>
      <c r="AS1039" s="68"/>
      <c r="AT1039" s="68"/>
      <c r="AU1039" s="68"/>
      <c r="AV1039" s="68"/>
      <c r="AW1039" s="68"/>
      <c r="AX1039" s="68"/>
      <c r="AY1039" s="68"/>
      <c r="BA1039">
        <f>IFERROR((($CI$753+$CM$753)/$AG$440),0)</f>
        <v>1</v>
      </c>
      <c r="BB1039" s="3" t="s">
        <v>2496</v>
      </c>
    </row>
    <row r="1040" spans="1:57" ht="12.95" customHeight="1">
      <c r="A1040" s="14"/>
      <c r="B1040" s="73"/>
      <c r="C1040" s="74"/>
      <c r="D1040" s="1539"/>
      <c r="E1040" s="1540"/>
      <c r="F1040" s="1540"/>
      <c r="G1040" s="1540"/>
      <c r="H1040" s="1540"/>
      <c r="I1040" s="1540"/>
      <c r="J1040" s="1540"/>
      <c r="K1040" s="1540"/>
      <c r="L1040" s="1540"/>
      <c r="M1040" s="1540"/>
      <c r="N1040" s="1540"/>
      <c r="O1040" s="1540"/>
      <c r="P1040" s="1540"/>
      <c r="Q1040" s="1540"/>
      <c r="R1040" s="1540"/>
      <c r="S1040" s="1540"/>
      <c r="T1040" s="1540"/>
      <c r="U1040" s="1540"/>
      <c r="V1040" s="1540"/>
      <c r="W1040" s="1540"/>
      <c r="X1040" s="1540"/>
      <c r="Y1040" s="1540"/>
      <c r="Z1040" s="1540"/>
      <c r="AA1040" s="1540"/>
      <c r="AB1040" s="1540"/>
      <c r="AC1040" s="1540"/>
      <c r="AD1040" s="1540"/>
      <c r="AE1040" s="1541"/>
      <c r="AF1040" s="73"/>
      <c r="AG1040" s="14"/>
      <c r="AH1040" s="14"/>
      <c r="AI1040" s="83"/>
      <c r="AJ1040" s="1384"/>
      <c r="AK1040" s="1385"/>
      <c r="AL1040" s="1385"/>
      <c r="AM1040" s="1385"/>
      <c r="AN1040" s="1385"/>
      <c r="AO1040" s="1385"/>
      <c r="AP1040" s="1385"/>
      <c r="AQ1040" s="1386"/>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487" t="s">
        <v>1297</v>
      </c>
      <c r="E1041" s="1488"/>
      <c r="F1041" s="1488"/>
      <c r="G1041" s="1488"/>
      <c r="H1041" s="1488"/>
      <c r="I1041" s="1488"/>
      <c r="J1041" s="1488"/>
      <c r="K1041" s="1488"/>
      <c r="L1041" s="1488"/>
      <c r="M1041" s="1488"/>
      <c r="N1041" s="1488"/>
      <c r="O1041" s="1488"/>
      <c r="P1041" s="1488"/>
      <c r="Q1041" s="1488"/>
      <c r="R1041" s="1488"/>
      <c r="S1041" s="1488"/>
      <c r="T1041" s="1488"/>
      <c r="U1041" s="1488"/>
      <c r="V1041" s="1488"/>
      <c r="W1041" s="1488"/>
      <c r="X1041" s="1488"/>
      <c r="Y1041" s="1488"/>
      <c r="Z1041" s="1488"/>
      <c r="AA1041" s="1488"/>
      <c r="AB1041" s="1488"/>
      <c r="AC1041" s="1488"/>
      <c r="AD1041" s="1488"/>
      <c r="AE1041" s="1489"/>
      <c r="AF1041" s="79"/>
      <c r="AG1041" s="1495" t="s">
        <v>669</v>
      </c>
      <c r="AH1041" s="1496"/>
      <c r="AI1041" s="87"/>
      <c r="AJ1041" s="1381">
        <f>ROUND(IF(AG1041="yes",(AJ992*0.1),0),0)</f>
        <v>0</v>
      </c>
      <c r="AK1041" s="1382"/>
      <c r="AL1041" s="1382"/>
      <c r="AM1041" s="1382"/>
      <c r="AN1041" s="1382"/>
      <c r="AO1041" s="1382"/>
      <c r="AP1041" s="1382"/>
      <c r="AQ1041" s="1383"/>
      <c r="AR1041" s="68"/>
      <c r="AS1041" s="68"/>
      <c r="AT1041" s="68"/>
      <c r="AU1041" s="68"/>
      <c r="AV1041" s="68"/>
      <c r="AW1041" s="68"/>
      <c r="AX1041" s="68"/>
      <c r="AY1041" s="68"/>
      <c r="BA1041">
        <f>Q212</f>
        <v>33</v>
      </c>
      <c r="BB1041" s="3" t="s">
        <v>2494</v>
      </c>
    </row>
    <row r="1042" spans="1:56" ht="12.95" customHeight="1">
      <c r="A1042" s="14"/>
      <c r="B1042" s="73"/>
      <c r="C1042" s="74"/>
      <c r="D1042" s="1500" t="s">
        <v>2146</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502"/>
      <c r="AF1042" s="73"/>
      <c r="AG1042" s="14"/>
      <c r="AH1042" s="14"/>
      <c r="AI1042" s="83"/>
      <c r="AJ1042" s="1384"/>
      <c r="AK1042" s="1385"/>
      <c r="AL1042" s="1385"/>
      <c r="AM1042" s="1385"/>
      <c r="AN1042" s="1385"/>
      <c r="AO1042" s="1385"/>
      <c r="AP1042" s="1385"/>
      <c r="AQ1042" s="1386"/>
      <c r="AR1042" s="68"/>
      <c r="AS1042" s="68"/>
      <c r="AT1042" s="68"/>
      <c r="AU1042" s="68"/>
      <c r="AV1042" s="68"/>
      <c r="AW1042" s="68"/>
      <c r="AX1042" s="68"/>
      <c r="AY1042" s="68"/>
      <c r="BA1042" s="1186">
        <f>T212</f>
        <v>0.50769230769230766</v>
      </c>
      <c r="BB1042" s="3" t="s">
        <v>2495</v>
      </c>
    </row>
    <row r="1043" spans="1:56" ht="12.95" customHeight="1">
      <c r="A1043" s="14"/>
      <c r="B1043" s="73"/>
      <c r="C1043" s="74"/>
      <c r="D1043" s="1500"/>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502"/>
      <c r="AF1043" s="73"/>
      <c r="AG1043" s="14"/>
      <c r="AH1043" s="14"/>
      <c r="AI1043" s="83"/>
      <c r="AJ1043" s="1384"/>
      <c r="AK1043" s="1385"/>
      <c r="AL1043" s="1385"/>
      <c r="AM1043" s="1385"/>
      <c r="AN1043" s="1385"/>
      <c r="AO1043" s="1385"/>
      <c r="AP1043" s="1385"/>
      <c r="AQ1043" s="1386"/>
      <c r="AR1043" s="68"/>
      <c r="AS1043" s="68"/>
      <c r="AT1043" s="68"/>
      <c r="AU1043" s="68"/>
      <c r="AV1043" s="68"/>
      <c r="AW1043" s="68"/>
      <c r="AX1043" s="68"/>
      <c r="AY1043" s="68"/>
    </row>
    <row r="1044" spans="1:56" ht="12.95" customHeight="1">
      <c r="A1044" s="14"/>
      <c r="B1044" s="73"/>
      <c r="C1044" s="74"/>
      <c r="D1044" s="1503"/>
      <c r="E1044" s="1504"/>
      <c r="F1044" s="1504"/>
      <c r="G1044" s="1504"/>
      <c r="H1044" s="1504"/>
      <c r="I1044" s="1504"/>
      <c r="J1044" s="1504"/>
      <c r="K1044" s="1504"/>
      <c r="L1044" s="1504"/>
      <c r="M1044" s="1504"/>
      <c r="N1044" s="1504"/>
      <c r="O1044" s="1504"/>
      <c r="P1044" s="1504"/>
      <c r="Q1044" s="1504"/>
      <c r="R1044" s="1504"/>
      <c r="S1044" s="1504"/>
      <c r="T1044" s="1504"/>
      <c r="U1044" s="1504"/>
      <c r="V1044" s="1504"/>
      <c r="W1044" s="1504"/>
      <c r="X1044" s="1504"/>
      <c r="Y1044" s="1504"/>
      <c r="Z1044" s="1504"/>
      <c r="AA1044" s="1504"/>
      <c r="AB1044" s="1504"/>
      <c r="AC1044" s="1504"/>
      <c r="AD1044" s="1504"/>
      <c r="AE1044" s="1505"/>
      <c r="AF1044" s="73"/>
      <c r="AG1044" s="14"/>
      <c r="AH1044" s="14"/>
      <c r="AI1044" s="83"/>
      <c r="AJ1044" s="1387"/>
      <c r="AK1044" s="1388"/>
      <c r="AL1044" s="1388"/>
      <c r="AM1044" s="1388"/>
      <c r="AN1044" s="1388"/>
      <c r="AO1044" s="1388"/>
      <c r="AP1044" s="1388"/>
      <c r="AQ1044" s="1389"/>
      <c r="AR1044" s="68"/>
      <c r="AS1044" s="68"/>
      <c r="AT1044" s="68"/>
      <c r="AU1044" s="68"/>
      <c r="AV1044" s="68"/>
      <c r="AW1044" s="68"/>
      <c r="AX1044" s="68"/>
      <c r="AY1044" s="68"/>
    </row>
    <row r="1045" spans="1:56" ht="12.95" customHeight="1">
      <c r="A1045" s="14"/>
      <c r="B1045" s="79"/>
      <c r="C1045" s="131" t="s">
        <v>1684</v>
      </c>
      <c r="D1045" s="1497" t="s">
        <v>1865</v>
      </c>
      <c r="E1045" s="1498"/>
      <c r="F1045" s="1498"/>
      <c r="G1045" s="1498"/>
      <c r="H1045" s="1498"/>
      <c r="I1045" s="1498"/>
      <c r="J1045" s="1498"/>
      <c r="K1045" s="1498"/>
      <c r="L1045" s="1498"/>
      <c r="M1045" s="1498"/>
      <c r="N1045" s="1498"/>
      <c r="O1045" s="1498"/>
      <c r="P1045" s="1498"/>
      <c r="Q1045" s="1498"/>
      <c r="R1045" s="1498"/>
      <c r="S1045" s="1498"/>
      <c r="T1045" s="1498"/>
      <c r="U1045" s="1498"/>
      <c r="V1045" s="1498"/>
      <c r="W1045" s="1498"/>
      <c r="X1045" s="1498"/>
      <c r="Y1045" s="1498"/>
      <c r="Z1045" s="1498"/>
      <c r="AA1045" s="1498"/>
      <c r="AB1045" s="1498"/>
      <c r="AC1045" s="1498"/>
      <c r="AD1045" s="1498"/>
      <c r="AE1045" s="1499"/>
      <c r="AF1045" s="79"/>
      <c r="AG1045" s="1535" t="str">
        <f>IF(X1048&gt;0,"Yes","No")</f>
        <v>Yes</v>
      </c>
      <c r="AH1045" s="1536"/>
      <c r="AI1045" s="87"/>
      <c r="AJ1045" s="1381">
        <f>IF((X1048=0),0,AY1005*AJ992)</f>
        <v>23712930</v>
      </c>
      <c r="AK1045" s="1382"/>
      <c r="AL1045" s="1382"/>
      <c r="AM1045" s="1382"/>
      <c r="AN1045" s="1382"/>
      <c r="AO1045" s="1382"/>
      <c r="AP1045" s="1382"/>
      <c r="AQ1045" s="138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500" t="s">
        <v>1299</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502"/>
      <c r="AF1046" s="73"/>
      <c r="AG1046" s="444"/>
      <c r="AH1046" s="444"/>
      <c r="AI1046" s="83"/>
      <c r="AJ1046" s="1384"/>
      <c r="AK1046" s="1385"/>
      <c r="AL1046" s="1385"/>
      <c r="AM1046" s="1385"/>
      <c r="AN1046" s="1385"/>
      <c r="AO1046" s="1385"/>
      <c r="AP1046" s="1385"/>
      <c r="AQ1046" s="1386"/>
      <c r="AR1046" s="68"/>
      <c r="AS1046" s="68"/>
      <c r="AT1046" s="68"/>
      <c r="AU1046" s="13"/>
      <c r="AV1046" s="68"/>
      <c r="AW1046" s="68"/>
      <c r="AX1046" s="68"/>
      <c r="AY1046" s="68"/>
      <c r="AZ1046" s="963">
        <f>'Sources and Uses Budget'!S97*BA1046</f>
        <v>8126937.1499999994</v>
      </c>
      <c r="BA1046" s="1184">
        <f>IF(BA1040,20%,15%)</f>
        <v>0.15</v>
      </c>
      <c r="BB1046" s="3" t="s">
        <v>2482</v>
      </c>
      <c r="BC1046" s="3" t="s">
        <v>2483</v>
      </c>
      <c r="BD1046" s="3"/>
    </row>
    <row r="1047" spans="1:56" ht="12.95" customHeight="1">
      <c r="A1047" s="14"/>
      <c r="B1047" s="73"/>
      <c r="C1047" s="443"/>
      <c r="D1047" s="1500"/>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502"/>
      <c r="AF1047" s="73"/>
      <c r="AG1047" s="444"/>
      <c r="AH1047" s="444"/>
      <c r="AI1047" s="83"/>
      <c r="AJ1047" s="1384"/>
      <c r="AK1047" s="1385"/>
      <c r="AL1047" s="1385"/>
      <c r="AM1047" s="1385"/>
      <c r="AN1047" s="1385"/>
      <c r="AO1047" s="1385"/>
      <c r="AP1047" s="1385"/>
      <c r="AQ1047" s="138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533">
        <f>AY1003</f>
        <v>65</v>
      </c>
      <c r="J1048" s="1534"/>
      <c r="K1048" s="7"/>
      <c r="L1048" s="133"/>
      <c r="M1048" s="133"/>
      <c r="N1048" s="133"/>
      <c r="O1048" s="133"/>
      <c r="P1048" s="133"/>
      <c r="Q1048" s="133"/>
      <c r="R1048" s="133"/>
      <c r="S1048" s="133"/>
      <c r="T1048" s="133"/>
      <c r="U1048" s="133"/>
      <c r="V1048" s="134" t="s">
        <v>973</v>
      </c>
      <c r="W1048" s="48"/>
      <c r="X1048" s="1531">
        <f>CI753</f>
        <v>33</v>
      </c>
      <c r="Y1048" s="1532"/>
      <c r="Z1048" s="48"/>
      <c r="AA1048" s="48"/>
      <c r="AB1048" s="48"/>
      <c r="AC1048" s="48"/>
      <c r="AD1048" s="48"/>
      <c r="AE1048" s="49"/>
      <c r="AF1048" s="925"/>
      <c r="AG1048" s="926"/>
      <c r="AH1048" s="926"/>
      <c r="AI1048" s="927"/>
      <c r="AJ1048" s="1387"/>
      <c r="AK1048" s="1388"/>
      <c r="AL1048" s="1388"/>
      <c r="AM1048" s="1388"/>
      <c r="AN1048" s="1388"/>
      <c r="AO1048" s="1388"/>
      <c r="AP1048" s="1388"/>
      <c r="AQ1048" s="138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5" customHeight="1">
      <c r="A1049" s="14"/>
      <c r="B1049" s="79"/>
      <c r="C1049" s="131" t="s">
        <v>1685</v>
      </c>
      <c r="D1049" s="1487" t="s">
        <v>2172</v>
      </c>
      <c r="E1049" s="1488"/>
      <c r="F1049" s="1488"/>
      <c r="G1049" s="1488"/>
      <c r="H1049" s="1488"/>
      <c r="I1049" s="1488"/>
      <c r="J1049" s="1488"/>
      <c r="K1049" s="1488"/>
      <c r="L1049" s="1488"/>
      <c r="M1049" s="1488"/>
      <c r="N1049" s="1488"/>
      <c r="O1049" s="1488"/>
      <c r="P1049" s="1488"/>
      <c r="Q1049" s="1488"/>
      <c r="R1049" s="1488"/>
      <c r="S1049" s="1488"/>
      <c r="T1049" s="1488"/>
      <c r="U1049" s="1488"/>
      <c r="V1049" s="1488"/>
      <c r="W1049" s="1488"/>
      <c r="X1049" s="1488"/>
      <c r="Y1049" s="1488"/>
      <c r="Z1049" s="1488"/>
      <c r="AA1049" s="1488"/>
      <c r="AB1049" s="1488"/>
      <c r="AC1049" s="1488"/>
      <c r="AD1049" s="1488"/>
      <c r="AE1049" s="1489"/>
      <c r="AF1049" s="73"/>
      <c r="AG1049" s="1535" t="str">
        <f>IF(X1052&gt;0,"Yes","No")</f>
        <v>Yes</v>
      </c>
      <c r="AH1049" s="1536"/>
      <c r="AI1049" s="83"/>
      <c r="AJ1049" s="1381">
        <f>IF((X1052=0),0,(2*AY1006)*AJ992)</f>
        <v>46477342.799999997</v>
      </c>
      <c r="AK1049" s="1382"/>
      <c r="AL1049" s="1382"/>
      <c r="AM1049" s="1382"/>
      <c r="AN1049" s="1382"/>
      <c r="AO1049" s="1382"/>
      <c r="AP1049" s="1382"/>
      <c r="AQ1049" s="1383"/>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500" t="s">
        <v>1298</v>
      </c>
      <c r="E1050" s="1501"/>
      <c r="F1050" s="1501"/>
      <c r="G1050" s="1501"/>
      <c r="H1050" s="1501"/>
      <c r="I1050" s="1501"/>
      <c r="J1050" s="1501"/>
      <c r="K1050" s="1501"/>
      <c r="L1050" s="1501"/>
      <c r="M1050" s="1501"/>
      <c r="N1050" s="1501"/>
      <c r="O1050" s="1501"/>
      <c r="P1050" s="1501"/>
      <c r="Q1050" s="1501"/>
      <c r="R1050" s="1501"/>
      <c r="S1050" s="1501"/>
      <c r="T1050" s="1501"/>
      <c r="U1050" s="1501"/>
      <c r="V1050" s="1501"/>
      <c r="W1050" s="1501"/>
      <c r="X1050" s="1501"/>
      <c r="Y1050" s="1501"/>
      <c r="Z1050" s="1501"/>
      <c r="AA1050" s="1501"/>
      <c r="AB1050" s="1501"/>
      <c r="AC1050" s="1501"/>
      <c r="AD1050" s="1501"/>
      <c r="AE1050" s="1502"/>
      <c r="AF1050" s="73"/>
      <c r="AG1050" s="444"/>
      <c r="AH1050" s="444"/>
      <c r="AI1050" s="83"/>
      <c r="AJ1050" s="1384"/>
      <c r="AK1050" s="1385"/>
      <c r="AL1050" s="1385"/>
      <c r="AM1050" s="1385"/>
      <c r="AN1050" s="1385"/>
      <c r="AO1050" s="1385"/>
      <c r="AP1050" s="1385"/>
      <c r="AQ1050" s="1386"/>
      <c r="AR1050" s="68"/>
      <c r="AS1050" s="68"/>
      <c r="AT1050" s="68"/>
      <c r="AU1050" s="68"/>
      <c r="AV1050" s="68"/>
      <c r="AW1050" s="68"/>
      <c r="AX1050" s="68"/>
      <c r="AY1050" s="68"/>
      <c r="AZ1050" s="963"/>
      <c r="BA1050" s="3"/>
      <c r="BB1050" s="3"/>
      <c r="BC1050" s="3"/>
      <c r="BD1050" s="3"/>
    </row>
    <row r="1051" spans="1:56" ht="12.95" customHeight="1">
      <c r="A1051" s="14"/>
      <c r="B1051" s="73"/>
      <c r="C1051" s="83"/>
      <c r="D1051" s="1500"/>
      <c r="E1051" s="1501"/>
      <c r="F1051" s="1501"/>
      <c r="G1051" s="1501"/>
      <c r="H1051" s="1501"/>
      <c r="I1051" s="1501"/>
      <c r="J1051" s="1501"/>
      <c r="K1051" s="1501"/>
      <c r="L1051" s="1501"/>
      <c r="M1051" s="1501"/>
      <c r="N1051" s="1501"/>
      <c r="O1051" s="1501"/>
      <c r="P1051" s="1501"/>
      <c r="Q1051" s="1501"/>
      <c r="R1051" s="1501"/>
      <c r="S1051" s="1501"/>
      <c r="T1051" s="1501"/>
      <c r="U1051" s="1501"/>
      <c r="V1051" s="1501"/>
      <c r="W1051" s="1501"/>
      <c r="X1051" s="1501"/>
      <c r="Y1051" s="1501"/>
      <c r="Z1051" s="1501"/>
      <c r="AA1051" s="1501"/>
      <c r="AB1051" s="1501"/>
      <c r="AC1051" s="1501"/>
      <c r="AD1051" s="1501"/>
      <c r="AE1051" s="1502"/>
      <c r="AF1051" s="922"/>
      <c r="AG1051" s="923"/>
      <c r="AH1051" s="923"/>
      <c r="AI1051" s="924"/>
      <c r="AJ1051" s="1384"/>
      <c r="AK1051" s="1385"/>
      <c r="AL1051" s="1385"/>
      <c r="AM1051" s="1385"/>
      <c r="AN1051" s="1385"/>
      <c r="AO1051" s="1385"/>
      <c r="AP1051" s="1385"/>
      <c r="AQ1051" s="138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33">
        <f>AY1003</f>
        <v>65</v>
      </c>
      <c r="J1052" s="1534"/>
      <c r="K1052" s="14"/>
      <c r="L1052" s="133"/>
      <c r="M1052" s="133"/>
      <c r="N1052" s="133"/>
      <c r="O1052" s="133"/>
      <c r="P1052" s="133"/>
      <c r="Q1052" s="133"/>
      <c r="R1052" s="133"/>
      <c r="S1052" s="133"/>
      <c r="T1052" s="133"/>
      <c r="U1052" s="133"/>
      <c r="V1052" s="134" t="s">
        <v>974</v>
      </c>
      <c r="X1052" s="1531">
        <f>CM753</f>
        <v>32</v>
      </c>
      <c r="Y1052" s="1532"/>
      <c r="AF1052" s="925"/>
      <c r="AG1052" s="926"/>
      <c r="AH1052" s="926"/>
      <c r="AI1052" s="927"/>
      <c r="AJ1052" s="1387"/>
      <c r="AK1052" s="1388"/>
      <c r="AL1052" s="1388"/>
      <c r="AM1052" s="1388"/>
      <c r="AN1052" s="1388"/>
      <c r="AO1052" s="1388"/>
      <c r="AP1052" s="1388"/>
      <c r="AQ1052" s="138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529" t="s">
        <v>513</v>
      </c>
      <c r="E1053" s="1529"/>
      <c r="F1053" s="1529"/>
      <c r="G1053" s="1529"/>
      <c r="H1053" s="1529"/>
      <c r="I1053" s="1529"/>
      <c r="J1053" s="1529"/>
      <c r="K1053" s="1529"/>
      <c r="L1053" s="1529"/>
      <c r="M1053" s="1529"/>
      <c r="N1053" s="1529"/>
      <c r="O1053" s="1529"/>
      <c r="P1053" s="1529"/>
      <c r="Q1053" s="1529"/>
      <c r="R1053" s="1529"/>
      <c r="S1053" s="1529"/>
      <c r="T1053" s="1529"/>
      <c r="U1053" s="1529"/>
      <c r="V1053" s="1529"/>
      <c r="W1053" s="1529"/>
      <c r="X1053" s="1529"/>
      <c r="Y1053" s="1529"/>
      <c r="Z1053" s="1529"/>
      <c r="AA1053" s="1529"/>
      <c r="AB1053" s="1529"/>
      <c r="AC1053" s="1529"/>
      <c r="AD1053" s="1529"/>
      <c r="AE1053" s="1529"/>
      <c r="AF1053" s="1529"/>
      <c r="AG1053" s="1529"/>
      <c r="AH1053" s="1529"/>
      <c r="AI1053" s="1530"/>
      <c r="AJ1053" s="1553">
        <f>SUM(AJ992:AQ1052)</f>
        <v>131843890.8</v>
      </c>
      <c r="AK1053" s="1554"/>
      <c r="AL1053" s="1554"/>
      <c r="AM1053" s="1554"/>
      <c r="AN1053" s="1554"/>
      <c r="AO1053" s="1554"/>
      <c r="AP1053" s="1554"/>
      <c r="AQ1053" s="1555"/>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1">
        <f>'Sources and Uses Budget'!S107+'Sources and Uses Budget'!T107</f>
        <v>60079581</v>
      </c>
      <c r="AB1056" s="1851"/>
      <c r="AC1056" s="1851"/>
      <c r="AD1056" s="1851"/>
      <c r="AE1056" s="1851"/>
      <c r="AF1056" s="185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8126937.1499999994</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2">
        <f>IFERROR((AA1056-BA1059)/(AJ1053-AJ1045-AJ1049),"")</f>
        <v>0.91932286925967588</v>
      </c>
      <c r="AB1057" s="1853"/>
      <c r="AC1057" s="1853"/>
      <c r="AD1057" s="1853"/>
      <c r="AE1057" s="1853"/>
      <c r="AF1057" s="185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7">
        <f>'Sources and Uses Budget'!$S$104+'Sources and Uses Budget'!$T$104</f>
        <v>5900000</v>
      </c>
      <c r="BB1058" s="3" t="s">
        <v>2497</v>
      </c>
    </row>
    <row r="1059" spans="1:54" ht="12.95" customHeight="1">
      <c r="A1059" s="14"/>
      <c r="B1059" s="14"/>
      <c r="C1059" s="209"/>
      <c r="D1059" s="859"/>
      <c r="E1059" s="859"/>
      <c r="F1059" s="859"/>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8">
        <f>MAX($BA$1058-$BA$1055,0)</f>
        <v>3400000</v>
      </c>
      <c r="BB1059" s="3" t="s">
        <v>2498</v>
      </c>
    </row>
    <row r="1060" spans="1:54" ht="12.95" customHeight="1">
      <c r="A1060" s="88"/>
      <c r="B1060" s="1174"/>
      <c r="C1060" s="1174"/>
      <c r="D1060" s="1174"/>
      <c r="E1060" s="1174"/>
      <c r="F1060" s="1174"/>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4"/>
      <c r="AP1060" s="1174"/>
      <c r="AQ1060" s="68"/>
      <c r="AR1060" s="68"/>
      <c r="AS1060" s="68"/>
      <c r="AT1060" s="68"/>
      <c r="AU1060" s="68"/>
      <c r="AV1060" s="68"/>
      <c r="AW1060" s="68"/>
      <c r="AX1060" s="68"/>
      <c r="AY1060" s="68"/>
    </row>
    <row r="1061" spans="1:54" ht="12.95" customHeight="1">
      <c r="A1061" s="1361" t="s">
        <v>794</v>
      </c>
      <c r="B1061" s="1361"/>
      <c r="C1061" s="1361"/>
      <c r="D1061" s="1361"/>
      <c r="E1061" s="1361"/>
      <c r="F1061" s="1361"/>
      <c r="G1061" s="1361"/>
      <c r="H1061" s="1361"/>
      <c r="I1061" s="1361"/>
      <c r="J1061" s="1361"/>
      <c r="K1061" s="1361"/>
      <c r="L1061" s="1361"/>
      <c r="M1061" s="1361"/>
      <c r="N1061" s="1361"/>
      <c r="O1061" s="1361"/>
      <c r="P1061" s="1361"/>
      <c r="Q1061" s="1361"/>
      <c r="R1061" s="1361"/>
      <c r="S1061" s="1361"/>
      <c r="T1061" s="1361"/>
      <c r="U1061" s="1361"/>
      <c r="V1061" s="1361"/>
      <c r="W1061" s="1361"/>
      <c r="X1061" s="1361"/>
      <c r="Y1061" s="1361"/>
      <c r="Z1061" s="1361"/>
      <c r="AA1061" s="1361"/>
      <c r="AB1061" s="1361"/>
      <c r="AC1061" s="1361"/>
      <c r="AD1061" s="1361"/>
      <c r="AE1061" s="1361"/>
      <c r="AF1061" s="1361"/>
      <c r="AG1061" s="1361"/>
      <c r="AH1061" s="1361"/>
      <c r="AI1061" s="1361"/>
      <c r="AJ1061" s="1361"/>
      <c r="AK1061" s="1361"/>
      <c r="AL1061" s="1361"/>
      <c r="AM1061" s="1361"/>
      <c r="AN1061" s="1361"/>
      <c r="AO1061" s="1361"/>
      <c r="AP1061" s="1361"/>
      <c r="AQ1061" s="136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591</v>
      </c>
      <c r="B1065" s="1334"/>
      <c r="C1065" s="1335">
        <v>1</v>
      </c>
      <c r="D1065" s="1335"/>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591</v>
      </c>
      <c r="B1067" s="1334"/>
      <c r="C1067" s="1335">
        <v>2</v>
      </c>
      <c r="D1067" s="1335"/>
      <c r="E1067" s="1338" t="s">
        <v>2241</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2.95"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2.95"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2.95"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2.95"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2.95"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2.95" customHeight="1">
      <c r="A1074" s="2"/>
      <c r="B1074" s="25"/>
      <c r="C1074" s="1337"/>
      <c r="D1074" s="1337"/>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2.95"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2.95"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2.95"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2.95"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2.95" customHeight="1">
      <c r="A1080" s="1"/>
      <c r="B1080" s="1"/>
      <c r="C1080" s="1337"/>
      <c r="D1080" s="1337"/>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4" t="s">
        <v>591</v>
      </c>
      <c r="B1081" s="1334"/>
      <c r="C1081" s="1337">
        <v>5</v>
      </c>
      <c r="D1081" s="1337"/>
      <c r="E1081" s="1294" t="s">
        <v>2245</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2.95"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2.95"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2.95" customHeight="1">
      <c r="A1084" s="35"/>
      <c r="B1084" s="25"/>
      <c r="C1084" s="1337"/>
      <c r="D1084" s="1337"/>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4" t="s">
        <v>591</v>
      </c>
      <c r="B1085" s="1334"/>
      <c r="C1085" s="1337">
        <v>6</v>
      </c>
      <c r="D1085" s="1337"/>
      <c r="E1085" s="1294" t="s">
        <v>2246</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2.95"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2.95"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2.95" customHeight="1">
      <c r="A1088" s="35"/>
      <c r="B1088" s="25"/>
      <c r="C1088" s="1337"/>
      <c r="D1088" s="1337"/>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4" t="s">
        <v>591</v>
      </c>
      <c r="B1089" s="1334"/>
      <c r="C1089" s="1337">
        <v>7</v>
      </c>
      <c r="D1089" s="1337"/>
      <c r="E1089" s="1294" t="s">
        <v>2140</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2.95"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2.95"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2.95" customHeight="1">
      <c r="A1092" s="1"/>
      <c r="B1092" s="1"/>
      <c r="C1092" s="1337"/>
      <c r="D1092" s="1337"/>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7"/>
      <c r="D1093" s="1337"/>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2.95"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2.95" customHeight="1">
      <c r="A1096" s="35"/>
      <c r="B1096" s="25"/>
      <c r="C1096" s="1337"/>
      <c r="D1096" s="1337"/>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2.95"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2.95" customHeight="1">
      <c r="A1099" s="35"/>
      <c r="B1099" s="25"/>
      <c r="C1099" s="1335"/>
      <c r="D1099" s="1335"/>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4" t="s">
        <v>591</v>
      </c>
      <c r="B1100" s="1334"/>
      <c r="C1100" s="1335">
        <v>10</v>
      </c>
      <c r="D1100" s="1335"/>
      <c r="E1100" s="1336" t="s">
        <v>2242</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2.95" customHeight="1">
      <c r="A1101" s="1"/>
      <c r="B1101" s="1"/>
      <c r="C1101" s="199"/>
      <c r="D1101" s="1163"/>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4" t="s">
        <v>591</v>
      </c>
      <c r="B1103" s="1334"/>
      <c r="C1103" s="1335">
        <v>11</v>
      </c>
      <c r="D1103" s="1335"/>
      <c r="E1103" s="1336" t="s">
        <v>2244</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1"/>
      <c r="B1104" s="1"/>
      <c r="C1104" s="199"/>
      <c r="D1104" s="1163"/>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S+28v+eD42XBADBXczTThbgRfFkLiwyisfBQ4jFr9tDA/mX1ldwT/5liUdH/XpxlCvN0Qpv3udEf46qEO6QsMw==" saltValue="cfNljQmZkgOkuEzCYWbEW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H335:R335"/>
    <mergeCell ref="H336:R336"/>
    <mergeCell ref="H337:R337"/>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 ref="DJ788:DN788"/>
    <mergeCell ref="DJ789:DN789"/>
    <mergeCell ref="DJ790:DN790"/>
    <mergeCell ref="DJ791:DN791"/>
    <mergeCell ref="DJ792:DN792"/>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AA320:AK320"/>
    <mergeCell ref="AA321:AK321"/>
    <mergeCell ref="AA322:AK322"/>
    <mergeCell ref="AA323:AF323"/>
    <mergeCell ref="AA324:AF324"/>
    <mergeCell ref="AA325:AK325"/>
    <mergeCell ref="EE787:EI787"/>
    <mergeCell ref="EE788:EI788"/>
    <mergeCell ref="EE789:EI789"/>
    <mergeCell ref="EE790:EI790"/>
    <mergeCell ref="EE791:EI791"/>
    <mergeCell ref="EE792:EI792"/>
    <mergeCell ref="EE793:EI793"/>
    <mergeCell ref="EE794:EI794"/>
    <mergeCell ref="EE795:EI795"/>
    <mergeCell ref="EE796:EI796"/>
    <mergeCell ref="DU789:DY789"/>
    <mergeCell ref="DU790:DY790"/>
    <mergeCell ref="DU791:DY791"/>
    <mergeCell ref="DU792:DY792"/>
    <mergeCell ref="DU793:DY793"/>
    <mergeCell ref="DU794:DY794"/>
    <mergeCell ref="DU795:DY795"/>
    <mergeCell ref="DU796:DY796"/>
    <mergeCell ref="DE789:DI789"/>
    <mergeCell ref="DJ793:DN793"/>
    <mergeCell ref="EE797:EI797"/>
    <mergeCell ref="EO788:ES788"/>
    <mergeCell ref="EO789:ES789"/>
    <mergeCell ref="EO790:ES790"/>
    <mergeCell ref="EO791:ES791"/>
    <mergeCell ref="EO792:ES792"/>
    <mergeCell ref="EO793:ES793"/>
    <mergeCell ref="EO794:ES794"/>
    <mergeCell ref="EO795:ES795"/>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I750:CJ750"/>
    <mergeCell ref="DE790:DI790"/>
    <mergeCell ref="DE794:DI794"/>
    <mergeCell ref="AK743:AO743"/>
    <mergeCell ref="AK744:AO744"/>
    <mergeCell ref="DE746:DI746"/>
    <mergeCell ref="CU751:CY751"/>
    <mergeCell ref="CP797:CT797"/>
    <mergeCell ref="CU776:CY776"/>
    <mergeCell ref="CP750:CT750"/>
    <mergeCell ref="CU750:CY750"/>
    <mergeCell ref="CZ750:DD750"/>
    <mergeCell ref="CZ775:DD775"/>
    <mergeCell ref="CZ776:DD776"/>
    <mergeCell ref="CG749:CH749"/>
    <mergeCell ref="CK752:CL752"/>
    <mergeCell ref="CP751:CT751"/>
    <mergeCell ref="CM751:CN751"/>
    <mergeCell ref="CP789:CT789"/>
    <mergeCell ref="CP746:CT746"/>
    <mergeCell ref="AK747:AO747"/>
    <mergeCell ref="CI753:CJ753"/>
    <mergeCell ref="CG747:CH747"/>
    <mergeCell ref="CI749:CJ749"/>
    <mergeCell ref="CK749:CL749"/>
    <mergeCell ref="CM749:CN749"/>
    <mergeCell ref="CP749:CT749"/>
    <mergeCell ref="CK748:CL748"/>
    <mergeCell ref="CM748:CN748"/>
    <mergeCell ref="CK751:CL751"/>
    <mergeCell ref="CK750:CL750"/>
    <mergeCell ref="CM746:CN746"/>
    <mergeCell ref="CZ791:DD791"/>
    <mergeCell ref="CZ792:DD792"/>
    <mergeCell ref="CZ793:DD793"/>
    <mergeCell ref="CZ794:DD794"/>
    <mergeCell ref="CZ795:DD795"/>
    <mergeCell ref="CZ796:DD796"/>
    <mergeCell ref="CZ797:DD797"/>
    <mergeCell ref="FJ751:FN751"/>
    <mergeCell ref="EO745:ES745"/>
    <mergeCell ref="DU749:DY749"/>
    <mergeCell ref="DZ749:ED749"/>
    <mergeCell ref="CM753:CN753"/>
    <mergeCell ref="CP753:CT753"/>
    <mergeCell ref="DU741:DY741"/>
    <mergeCell ref="DZ741:ED741"/>
    <mergeCell ref="DJ747:DN747"/>
    <mergeCell ref="DO747:DS747"/>
    <mergeCell ref="DO742:DS742"/>
    <mergeCell ref="FJ753:FN753"/>
    <mergeCell ref="CM750:CN750"/>
    <mergeCell ref="DE787:DI787"/>
    <mergeCell ref="DE788:DI788"/>
    <mergeCell ref="DJ794:DN794"/>
    <mergeCell ref="DJ795:DN795"/>
    <mergeCell ref="EE749:EI749"/>
    <mergeCell ref="EJ749:EN749"/>
    <mergeCell ref="EO749:ES749"/>
    <mergeCell ref="EE747:EI747"/>
    <mergeCell ref="DE791:DI791"/>
    <mergeCell ref="DE792:DI792"/>
    <mergeCell ref="DE793:DI793"/>
    <mergeCell ref="CP741:CT741"/>
    <mergeCell ref="CU741:CY741"/>
    <mergeCell ref="DO777:DS777"/>
    <mergeCell ref="CK746:CL746"/>
    <mergeCell ref="CI748:CJ748"/>
    <mergeCell ref="CI742:CJ742"/>
    <mergeCell ref="CK742:CL742"/>
    <mergeCell ref="CZ744:DD744"/>
    <mergeCell ref="CI743:CJ743"/>
    <mergeCell ref="CK743:CL743"/>
    <mergeCell ref="CM743:CN743"/>
    <mergeCell ref="CP740:CT740"/>
    <mergeCell ref="CZ733:DD733"/>
    <mergeCell ref="CZ736:DD736"/>
    <mergeCell ref="CU742:CY742"/>
    <mergeCell ref="CZ742:DD742"/>
    <mergeCell ref="DE742:DI742"/>
    <mergeCell ref="DJ742:DN742"/>
    <mergeCell ref="CU743:CY743"/>
    <mergeCell ref="CZ743:DD743"/>
    <mergeCell ref="DE743:DI743"/>
    <mergeCell ref="CI747:CJ747"/>
    <mergeCell ref="CK747:CL747"/>
    <mergeCell ref="CM747:CN747"/>
    <mergeCell ref="CP742:CT742"/>
    <mergeCell ref="CP743:CT743"/>
    <mergeCell ref="DJ743:DN743"/>
    <mergeCell ref="CZ745:DD745"/>
    <mergeCell ref="DE745:DI745"/>
    <mergeCell ref="CM745:CN745"/>
    <mergeCell ref="DE748:DI748"/>
    <mergeCell ref="CU747:CY747"/>
    <mergeCell ref="CZ747:DD747"/>
    <mergeCell ref="CP748:CT748"/>
    <mergeCell ref="CU748:CY748"/>
    <mergeCell ref="CG746:CH746"/>
    <mergeCell ref="CI746:CJ746"/>
    <mergeCell ref="DO750:DS750"/>
    <mergeCell ref="DJ745:DN745"/>
    <mergeCell ref="DO745:DS745"/>
    <mergeCell ref="CG744:CH744"/>
    <mergeCell ref="CI744:CJ744"/>
    <mergeCell ref="CG750:CH750"/>
    <mergeCell ref="CK745:CL745"/>
    <mergeCell ref="ET753:EX753"/>
    <mergeCell ref="FE751:FI751"/>
    <mergeCell ref="EO747:ES747"/>
    <mergeCell ref="ET747:EX747"/>
    <mergeCell ref="DU748:DY748"/>
    <mergeCell ref="DZ748:ED748"/>
    <mergeCell ref="EE748:EI748"/>
    <mergeCell ref="EJ748:EN748"/>
    <mergeCell ref="EO748:ES748"/>
    <mergeCell ref="ET748:EX748"/>
    <mergeCell ref="ET746:EX746"/>
    <mergeCell ref="DU747:DY747"/>
    <mergeCell ref="DZ747:ED747"/>
    <mergeCell ref="DU744:DY744"/>
    <mergeCell ref="DZ744:ED744"/>
    <mergeCell ref="EE744:EI744"/>
    <mergeCell ref="EJ744:EN744"/>
    <mergeCell ref="EO744:ES744"/>
    <mergeCell ref="ET744:EX744"/>
    <mergeCell ref="CU749:CY749"/>
    <mergeCell ref="CZ749:DD749"/>
    <mergeCell ref="DE749:DI749"/>
    <mergeCell ref="CZ748:DD748"/>
    <mergeCell ref="FY717:GC717"/>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DU743:DY743"/>
    <mergeCell ref="DZ743:ED743"/>
    <mergeCell ref="EE743:EI743"/>
    <mergeCell ref="EJ743:EN743"/>
    <mergeCell ref="EO743:ES743"/>
    <mergeCell ref="ET743:EX743"/>
    <mergeCell ref="EM659:EQ659"/>
    <mergeCell ref="ER659:EV659"/>
    <mergeCell ref="EW659:FA659"/>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FY746:GC746"/>
    <mergeCell ref="EZ747:FD747"/>
    <mergeCell ref="FE747:FI747"/>
    <mergeCell ref="FJ747:FN747"/>
    <mergeCell ref="EC660:EG660"/>
    <mergeCell ref="EH660:EL660"/>
    <mergeCell ref="EM660:EQ660"/>
    <mergeCell ref="DX665:EB665"/>
    <mergeCell ref="FY747:GC747"/>
    <mergeCell ref="EZ748:FD748"/>
    <mergeCell ref="CZ740:DD740"/>
    <mergeCell ref="CZ739:DD739"/>
    <mergeCell ref="FO740:FS740"/>
    <mergeCell ref="EE734:EI734"/>
    <mergeCell ref="DJ738:DN738"/>
    <mergeCell ref="EO737:ES737"/>
    <mergeCell ref="FY743:GC743"/>
    <mergeCell ref="EZ744:FD744"/>
    <mergeCell ref="FE744:FI744"/>
    <mergeCell ref="FJ744:FN744"/>
    <mergeCell ref="FO744:FS744"/>
    <mergeCell ref="FT744:FX744"/>
    <mergeCell ref="FY744:GC744"/>
    <mergeCell ref="FE742:FI742"/>
    <mergeCell ref="FJ742:FN742"/>
    <mergeCell ref="FO742:FS742"/>
    <mergeCell ref="EZ741:FD741"/>
    <mergeCell ref="FE741:FI741"/>
    <mergeCell ref="FJ741:FN741"/>
    <mergeCell ref="FO741:FS741"/>
    <mergeCell ref="FY741:GC741"/>
    <mergeCell ref="EZ742:FD742"/>
    <mergeCell ref="FT741:FX741"/>
    <mergeCell ref="EO742:ES742"/>
    <mergeCell ref="DE741:DI741"/>
    <mergeCell ref="FY740:GC740"/>
    <mergeCell ref="FT739:FX739"/>
    <mergeCell ref="FT740:FX740"/>
    <mergeCell ref="EZ737:FD737"/>
    <mergeCell ref="FE737:FI737"/>
    <mergeCell ref="FJ737:FN737"/>
    <mergeCell ref="FO737:FS737"/>
    <mergeCell ref="DJ741:DN741"/>
    <mergeCell ref="DO741:DS741"/>
    <mergeCell ref="FT746:FX746"/>
    <mergeCell ref="ET741:EX741"/>
    <mergeCell ref="DU742:DY742"/>
    <mergeCell ref="DZ742:ED742"/>
    <mergeCell ref="ET742:EX742"/>
    <mergeCell ref="EE741:EI741"/>
    <mergeCell ref="EJ741:EN741"/>
    <mergeCell ref="EO741:ES741"/>
    <mergeCell ref="DO743:DS743"/>
    <mergeCell ref="DO744:DS744"/>
    <mergeCell ref="DJ749:DN749"/>
    <mergeCell ref="DO749:DS749"/>
    <mergeCell ref="DJ748:DN748"/>
    <mergeCell ref="DO748:DS748"/>
    <mergeCell ref="FO747:FS747"/>
    <mergeCell ref="FT747:FX747"/>
    <mergeCell ref="FT742:FX742"/>
    <mergeCell ref="DU745:DY745"/>
    <mergeCell ref="DZ745:ED745"/>
    <mergeCell ref="FE746:FI746"/>
    <mergeCell ref="FJ746:FN746"/>
    <mergeCell ref="FO746:FS746"/>
    <mergeCell ref="EE745:EI745"/>
    <mergeCell ref="EJ745:EN745"/>
    <mergeCell ref="EZ743:FD743"/>
    <mergeCell ref="FE743:FI743"/>
    <mergeCell ref="FJ743:FN743"/>
    <mergeCell ref="FO743:FS743"/>
    <mergeCell ref="FT743:FX743"/>
    <mergeCell ref="CP737:CT737"/>
    <mergeCell ref="CU746:CY746"/>
    <mergeCell ref="AH538:AK538"/>
    <mergeCell ref="H606:R606"/>
    <mergeCell ref="CM742:CN742"/>
    <mergeCell ref="AI554:AL554"/>
    <mergeCell ref="DX666:EB666"/>
    <mergeCell ref="CG719:CH719"/>
    <mergeCell ref="CI721:CJ721"/>
    <mergeCell ref="CP717:CT717"/>
    <mergeCell ref="CK723:CL723"/>
    <mergeCell ref="CK721:CL721"/>
    <mergeCell ref="CM726:CN726"/>
    <mergeCell ref="CM718:CN718"/>
    <mergeCell ref="Z652:AK652"/>
    <mergeCell ref="CI717:CJ717"/>
    <mergeCell ref="E707:AK707"/>
    <mergeCell ref="W706:AK706"/>
    <mergeCell ref="T564:V564"/>
    <mergeCell ref="C565:L565"/>
    <mergeCell ref="AA582:AK582"/>
    <mergeCell ref="H573:R573"/>
    <mergeCell ref="AM554:AS554"/>
    <mergeCell ref="CG724:CH724"/>
    <mergeCell ref="CG730:CH730"/>
    <mergeCell ref="CG728:CH728"/>
    <mergeCell ref="B728:F728"/>
    <mergeCell ref="X728:AB728"/>
    <mergeCell ref="Q561:S561"/>
    <mergeCell ref="B725:F725"/>
    <mergeCell ref="B724:F724"/>
    <mergeCell ref="CZ732:DD732"/>
    <mergeCell ref="C564:L564"/>
    <mergeCell ref="M564:P564"/>
    <mergeCell ref="CI733:CJ733"/>
    <mergeCell ref="AC505:AF505"/>
    <mergeCell ref="AH522:AK522"/>
    <mergeCell ref="AH503:AK503"/>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C501:AF501"/>
    <mergeCell ref="B723:F723"/>
    <mergeCell ref="AO639:AS639"/>
    <mergeCell ref="AO629:AS629"/>
    <mergeCell ref="AF630:AJ630"/>
    <mergeCell ref="AO638:AS638"/>
    <mergeCell ref="Z634:AB634"/>
    <mergeCell ref="AI558:AL558"/>
    <mergeCell ref="G685:R685"/>
    <mergeCell ref="B501:H502"/>
    <mergeCell ref="O523:AA523"/>
    <mergeCell ref="AC519:AF519"/>
    <mergeCell ref="AC523:AF523"/>
    <mergeCell ref="AH516:AK516"/>
    <mergeCell ref="AK742:AO742"/>
    <mergeCell ref="CP745:CT745"/>
    <mergeCell ref="X742:AB742"/>
    <mergeCell ref="AH742:AJ742"/>
    <mergeCell ref="AK739:AO739"/>
    <mergeCell ref="B741:F741"/>
    <mergeCell ref="DJ733:DN733"/>
    <mergeCell ref="D472:V472"/>
    <mergeCell ref="W472:Y472"/>
    <mergeCell ref="AE551:AH553"/>
    <mergeCell ref="AI551:AL553"/>
    <mergeCell ref="O520:AA520"/>
    <mergeCell ref="AE555:AH555"/>
    <mergeCell ref="AH518:AK518"/>
    <mergeCell ref="AH514:AK514"/>
    <mergeCell ref="Q555:S555"/>
    <mergeCell ref="AH539:AK539"/>
    <mergeCell ref="Z633:AB633"/>
    <mergeCell ref="W633:Y633"/>
    <mergeCell ref="AE562:AH562"/>
    <mergeCell ref="AC518:AF518"/>
    <mergeCell ref="AC507:AF507"/>
    <mergeCell ref="AC632:AE632"/>
    <mergeCell ref="AK634:AN634"/>
    <mergeCell ref="Z572:AE572"/>
    <mergeCell ref="AM561:AS561"/>
    <mergeCell ref="AM559:AS559"/>
    <mergeCell ref="AC718:AG718"/>
    <mergeCell ref="AK714:AO717"/>
    <mergeCell ref="AK718:AO718"/>
    <mergeCell ref="AI671:AK671"/>
    <mergeCell ref="M495:P495"/>
    <mergeCell ref="P348:Z348"/>
    <mergeCell ref="N373:AF374"/>
    <mergeCell ref="AJ355:AK355"/>
    <mergeCell ref="AG442:AJ442"/>
    <mergeCell ref="AG377:AH377"/>
    <mergeCell ref="E418:G418"/>
    <mergeCell ref="AD411:AE411"/>
    <mergeCell ref="F427:AH428"/>
    <mergeCell ref="V377:W377"/>
    <mergeCell ref="S377:T377"/>
    <mergeCell ref="P346:AE346"/>
    <mergeCell ref="Q390:U390"/>
    <mergeCell ref="I410:AE410"/>
    <mergeCell ref="AI389:AJ389"/>
    <mergeCell ref="P347:Z347"/>
    <mergeCell ref="J386:U386"/>
    <mergeCell ref="T398:AJ398"/>
    <mergeCell ref="D437:AF437"/>
    <mergeCell ref="D442:AF442"/>
    <mergeCell ref="AF430:AG430"/>
    <mergeCell ref="AG437:AJ437"/>
    <mergeCell ref="J388:U388"/>
    <mergeCell ref="J387:U387"/>
    <mergeCell ref="Y364:Z364"/>
    <mergeCell ref="N378:P378"/>
    <mergeCell ref="W418:Y418"/>
    <mergeCell ref="AG439:AJ439"/>
    <mergeCell ref="AE424:AF424"/>
    <mergeCell ref="N371:Q371"/>
    <mergeCell ref="V382:W382"/>
    <mergeCell ref="J367:K367"/>
    <mergeCell ref="S405:AJ405"/>
    <mergeCell ref="M355:N355"/>
    <mergeCell ref="D439:AF439"/>
    <mergeCell ref="AI397:AJ397"/>
    <mergeCell ref="T399:AJ399"/>
    <mergeCell ref="Z551:AD553"/>
    <mergeCell ref="AH513:AK513"/>
    <mergeCell ref="AC531:AF531"/>
    <mergeCell ref="AC539:AF539"/>
    <mergeCell ref="L508:AB508"/>
    <mergeCell ref="AG379:AH379"/>
    <mergeCell ref="S392:U392"/>
    <mergeCell ref="AG390:AJ390"/>
    <mergeCell ref="Q391:U391"/>
    <mergeCell ref="E420:AJ420"/>
    <mergeCell ref="AE402:AJ402"/>
    <mergeCell ref="AC385:AJ385"/>
    <mergeCell ref="D441:AF441"/>
    <mergeCell ref="AH541:AK541"/>
    <mergeCell ref="AG447:AJ447"/>
    <mergeCell ref="AC526:AF526"/>
    <mergeCell ref="AG444:AJ444"/>
    <mergeCell ref="D440:AF440"/>
    <mergeCell ref="AC500:AF500"/>
    <mergeCell ref="AH532:AK532"/>
    <mergeCell ref="AC522:AF522"/>
    <mergeCell ref="AC524:AF524"/>
    <mergeCell ref="AH506:AK506"/>
    <mergeCell ref="AH508:AK508"/>
    <mergeCell ref="AC540:AF540"/>
    <mergeCell ref="AC386:AJ386"/>
    <mergeCell ref="Q393:U393"/>
    <mergeCell ref="AG380:AH380"/>
    <mergeCell ref="AE554:AH554"/>
    <mergeCell ref="Z630:AB630"/>
    <mergeCell ref="AI597:AK597"/>
    <mergeCell ref="C562:L562"/>
    <mergeCell ref="AE561:AH561"/>
    <mergeCell ref="M560:P560"/>
    <mergeCell ref="Q563:S563"/>
    <mergeCell ref="AI565:AL565"/>
    <mergeCell ref="AC454:AF454"/>
    <mergeCell ref="P425:Q425"/>
    <mergeCell ref="I418:K418"/>
    <mergeCell ref="S413:T413"/>
    <mergeCell ref="AG393:AJ393"/>
    <mergeCell ref="AG391:AJ391"/>
    <mergeCell ref="K404:AJ404"/>
    <mergeCell ref="AE556:AH556"/>
    <mergeCell ref="Z569:AK569"/>
    <mergeCell ref="T559:V559"/>
    <mergeCell ref="AH526:AK526"/>
    <mergeCell ref="T557:V557"/>
    <mergeCell ref="Z563:AD563"/>
    <mergeCell ref="S401:U401"/>
    <mergeCell ref="AG401:AJ401"/>
    <mergeCell ref="R411:S411"/>
    <mergeCell ref="AG440:AJ440"/>
    <mergeCell ref="AC535:AF535"/>
    <mergeCell ref="Z555:AD555"/>
    <mergeCell ref="B489:P490"/>
    <mergeCell ref="AC506:AF506"/>
    <mergeCell ref="Q489:R490"/>
    <mergeCell ref="Q554:S554"/>
    <mergeCell ref="AH529:AK529"/>
    <mergeCell ref="D467:V467"/>
    <mergeCell ref="AG441:AJ441"/>
    <mergeCell ref="AG438:AJ438"/>
    <mergeCell ref="D449:AF449"/>
    <mergeCell ref="AC510:AF510"/>
    <mergeCell ref="AH510:AK510"/>
    <mergeCell ref="AG443:AJ443"/>
    <mergeCell ref="AC533:AF533"/>
    <mergeCell ref="M551:P553"/>
    <mergeCell ref="AC536:AF536"/>
    <mergeCell ref="D468:V468"/>
    <mergeCell ref="AH517:AK517"/>
    <mergeCell ref="AH527:AK527"/>
    <mergeCell ref="AC517:AF517"/>
    <mergeCell ref="D473:V473"/>
    <mergeCell ref="AC504:AF504"/>
    <mergeCell ref="D470:V470"/>
    <mergeCell ref="S489:AK490"/>
    <mergeCell ref="B551:L553"/>
    <mergeCell ref="AH501:AK501"/>
    <mergeCell ref="G474:V474"/>
    <mergeCell ref="Q488:AK488"/>
    <mergeCell ref="AH535:AK535"/>
    <mergeCell ref="AC532:AF532"/>
    <mergeCell ref="O535:AA535"/>
    <mergeCell ref="AH523:AK523"/>
    <mergeCell ref="AH534:AK534"/>
    <mergeCell ref="AM555:AS555"/>
    <mergeCell ref="AI557:AL557"/>
    <mergeCell ref="Q556:S556"/>
    <mergeCell ref="C558:L558"/>
    <mergeCell ref="AE559:AH559"/>
    <mergeCell ref="AI559:AL559"/>
    <mergeCell ref="T558:V558"/>
    <mergeCell ref="W561:Y561"/>
    <mergeCell ref="W562:Y562"/>
    <mergeCell ref="AI556:AL556"/>
    <mergeCell ref="Z562:AD562"/>
    <mergeCell ref="M562:P562"/>
    <mergeCell ref="G589:L589"/>
    <mergeCell ref="G569:R569"/>
    <mergeCell ref="H582:R582"/>
    <mergeCell ref="Z579:AK579"/>
    <mergeCell ref="G577:R577"/>
    <mergeCell ref="AM560:AS560"/>
    <mergeCell ref="AM557:AS557"/>
    <mergeCell ref="AE557:AH557"/>
    <mergeCell ref="W558:Y558"/>
    <mergeCell ref="AE558:AH558"/>
    <mergeCell ref="C557:L557"/>
    <mergeCell ref="Z570:AK570"/>
    <mergeCell ref="Q564:S564"/>
    <mergeCell ref="T565:V565"/>
    <mergeCell ref="C560:L560"/>
    <mergeCell ref="Z560:AD560"/>
    <mergeCell ref="AI563:AL563"/>
    <mergeCell ref="AE560:AH560"/>
    <mergeCell ref="C561:L561"/>
    <mergeCell ref="Q565:S565"/>
    <mergeCell ref="AM551:AS553"/>
    <mergeCell ref="O719:S719"/>
    <mergeCell ref="X724:AB724"/>
    <mergeCell ref="AH722:AJ722"/>
    <mergeCell ref="Z587:AK587"/>
    <mergeCell ref="M558:P558"/>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Z653:AK653"/>
    <mergeCell ref="AA664:AK664"/>
    <mergeCell ref="N583:O583"/>
    <mergeCell ref="AI560:AL560"/>
    <mergeCell ref="T562:V562"/>
    <mergeCell ref="Q560:S560"/>
    <mergeCell ref="AG607:AH607"/>
    <mergeCell ref="AI679:AK679"/>
    <mergeCell ref="Z663:AE663"/>
    <mergeCell ref="AF634:AJ634"/>
    <mergeCell ref="W637:Y637"/>
    <mergeCell ref="AG657:AH657"/>
    <mergeCell ref="B566:AL566"/>
    <mergeCell ref="H648:R648"/>
    <mergeCell ref="H680:R680"/>
    <mergeCell ref="AC635:AE635"/>
    <mergeCell ref="AK635:AN635"/>
    <mergeCell ref="AK636:AN636"/>
    <mergeCell ref="AH718:AJ718"/>
    <mergeCell ref="G654:R654"/>
    <mergeCell ref="G653:R653"/>
    <mergeCell ref="P655:R655"/>
    <mergeCell ref="N681:O681"/>
    <mergeCell ref="AC636:AE636"/>
    <mergeCell ref="Z647:AE647"/>
    <mergeCell ref="W636:Y636"/>
    <mergeCell ref="M635:P635"/>
    <mergeCell ref="M636:P636"/>
    <mergeCell ref="T635:V635"/>
    <mergeCell ref="T636:V636"/>
    <mergeCell ref="AA656:AK656"/>
    <mergeCell ref="G647:L647"/>
    <mergeCell ref="AF637:AJ637"/>
    <mergeCell ref="C638:L638"/>
    <mergeCell ref="Q635:S635"/>
    <mergeCell ref="Q637:S637"/>
    <mergeCell ref="C636:L636"/>
    <mergeCell ref="B714:F717"/>
    <mergeCell ref="AC387:AJ387"/>
    <mergeCell ref="V388:AJ388"/>
    <mergeCell ref="D443:AF443"/>
    <mergeCell ref="W471:Y471"/>
    <mergeCell ref="AG395:AJ395"/>
    <mergeCell ref="AI392:AJ392"/>
    <mergeCell ref="H328:R328"/>
    <mergeCell ref="AI323:AK323"/>
    <mergeCell ref="AA301:AK301"/>
    <mergeCell ref="H317:R317"/>
    <mergeCell ref="AA296:AK296"/>
    <mergeCell ref="P323:R323"/>
    <mergeCell ref="AA315:AF315"/>
    <mergeCell ref="H301:R301"/>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I339:AK339"/>
    <mergeCell ref="H340:M340"/>
    <mergeCell ref="S402:U402"/>
    <mergeCell ref="L277:AD277"/>
    <mergeCell ref="AA298:AK298"/>
    <mergeCell ref="AA292:AF292"/>
    <mergeCell ref="H313:R313"/>
    <mergeCell ref="AC456:AF456"/>
    <mergeCell ref="AC521:AF521"/>
    <mergeCell ref="AC512:AF512"/>
    <mergeCell ref="AA335:AK335"/>
    <mergeCell ref="AC347:AE347"/>
    <mergeCell ref="P343:AE343"/>
    <mergeCell ref="AA340:AF340"/>
    <mergeCell ref="P344:AE344"/>
    <mergeCell ref="AA338:AK338"/>
    <mergeCell ref="P345:AE345"/>
    <mergeCell ref="R412:S412"/>
    <mergeCell ref="Q429:R429"/>
    <mergeCell ref="D448:AF448"/>
    <mergeCell ref="AG445:AJ445"/>
    <mergeCell ref="P349:AE349"/>
    <mergeCell ref="AC370:AF370"/>
    <mergeCell ref="AG394:AJ394"/>
    <mergeCell ref="H320:R320"/>
    <mergeCell ref="H296:R296"/>
    <mergeCell ref="H323:M323"/>
    <mergeCell ref="AA330:AK330"/>
    <mergeCell ref="H324:M324"/>
    <mergeCell ref="H315:M315"/>
    <mergeCell ref="H321:R321"/>
    <mergeCell ref="H322:R322"/>
    <mergeCell ref="AA331:AF331"/>
    <mergeCell ref="P315:R315"/>
    <mergeCell ref="N363:O363"/>
    <mergeCell ref="AF243:AK243"/>
    <mergeCell ref="M259:AE259"/>
    <mergeCell ref="AA293:AK293"/>
    <mergeCell ref="Y120:AK120"/>
    <mergeCell ref="O160:T160"/>
    <mergeCell ref="AI178:AK178"/>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L280:AD280"/>
    <mergeCell ref="L275:AD275"/>
    <mergeCell ref="H290:R290"/>
    <mergeCell ref="V276:W276"/>
    <mergeCell ref="T189:AE189"/>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Y123:AK123"/>
    <mergeCell ref="M233:AE233"/>
    <mergeCell ref="M237:AE237"/>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N191:AE192"/>
    <mergeCell ref="D211:M211"/>
    <mergeCell ref="AI228:AJ228"/>
    <mergeCell ref="M235:AE235"/>
    <mergeCell ref="I185:AE185"/>
    <mergeCell ref="R177:S177"/>
    <mergeCell ref="M234:T234"/>
    <mergeCell ref="AP205:AQ205"/>
    <mergeCell ref="AI229:AJ229"/>
    <mergeCell ref="U175:V175"/>
    <mergeCell ref="AA249:AK249"/>
    <mergeCell ref="U236:W236"/>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AA290:AK290"/>
    <mergeCell ref="AH262:AK262"/>
    <mergeCell ref="T267:X267"/>
    <mergeCell ref="M248:AE248"/>
    <mergeCell ref="L276:S276"/>
    <mergeCell ref="L278:Q278"/>
    <mergeCell ref="AA289:AK289"/>
    <mergeCell ref="H330:R330"/>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A339:AF339"/>
    <mergeCell ref="H325:R325"/>
    <mergeCell ref="H307:M307"/>
    <mergeCell ref="P331:R331"/>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319:AK319"/>
    <mergeCell ref="AA291:AF291"/>
    <mergeCell ref="AI291:AK291"/>
    <mergeCell ref="H329:R329"/>
    <mergeCell ref="H314:R314"/>
    <mergeCell ref="H316:M316"/>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AA333:AK333"/>
    <mergeCell ref="H339:M339"/>
    <mergeCell ref="P339:R339"/>
    <mergeCell ref="AA341:AK341"/>
    <mergeCell ref="E368:AH369"/>
    <mergeCell ref="Q365:AG365"/>
    <mergeCell ref="AH521:AK521"/>
    <mergeCell ref="AC530:AF530"/>
    <mergeCell ref="K403:AJ403"/>
    <mergeCell ref="AG449:AJ449"/>
    <mergeCell ref="AC542:AF542"/>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AH504:AK504"/>
    <mergeCell ref="AH540:AK540"/>
    <mergeCell ref="AC515:AF515"/>
    <mergeCell ref="AC514:AF514"/>
    <mergeCell ref="AC503:AF503"/>
    <mergeCell ref="AC513:AF513"/>
    <mergeCell ref="AC508:AF508"/>
    <mergeCell ref="AH537:AK537"/>
    <mergeCell ref="AC534:AF534"/>
    <mergeCell ref="T554:V554"/>
    <mergeCell ref="AH542:AK542"/>
    <mergeCell ref="AH507:AK507"/>
    <mergeCell ref="AC538:AF538"/>
    <mergeCell ref="Z554:AD554"/>
    <mergeCell ref="AH531:AK531"/>
    <mergeCell ref="AC541:AF541"/>
    <mergeCell ref="AG450:AJ450"/>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AJ356:AK356"/>
    <mergeCell ref="AD377:AE377"/>
    <mergeCell ref="AC371:AF371"/>
    <mergeCell ref="I421:K421"/>
    <mergeCell ref="G605:L605"/>
    <mergeCell ref="G604:R604"/>
    <mergeCell ref="Q551:S553"/>
    <mergeCell ref="T551:V553"/>
    <mergeCell ref="M555:P555"/>
    <mergeCell ref="Q557:S557"/>
    <mergeCell ref="Z557:AD557"/>
    <mergeCell ref="C555:L555"/>
    <mergeCell ref="C556:L556"/>
    <mergeCell ref="M556:P556"/>
    <mergeCell ref="C559:L559"/>
    <mergeCell ref="M559:P559"/>
    <mergeCell ref="W554:Y554"/>
    <mergeCell ref="W555:Y555"/>
    <mergeCell ref="Z558:AD558"/>
    <mergeCell ref="Z559:AD559"/>
    <mergeCell ref="W551:Y553"/>
    <mergeCell ref="Q562:S562"/>
    <mergeCell ref="G579:R579"/>
    <mergeCell ref="P572:R572"/>
    <mergeCell ref="T560:V560"/>
    <mergeCell ref="G570:R570"/>
    <mergeCell ref="Z561:AD561"/>
    <mergeCell ref="G586:R586"/>
    <mergeCell ref="W560:Y560"/>
    <mergeCell ref="Z577:AK577"/>
    <mergeCell ref="AF574:AK574"/>
    <mergeCell ref="Z585:AK585"/>
    <mergeCell ref="AI564:AL564"/>
    <mergeCell ref="P597:R597"/>
    <mergeCell ref="G597:L597"/>
    <mergeCell ref="W557:Y55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O735:S735"/>
    <mergeCell ref="AA680:AK680"/>
    <mergeCell ref="X722:AB722"/>
    <mergeCell ref="Z685:AK685"/>
    <mergeCell ref="AE698:AI698"/>
    <mergeCell ref="AC714:AG717"/>
    <mergeCell ref="X714:AB717"/>
    <mergeCell ref="AE694:AF694"/>
    <mergeCell ref="A709:AT711"/>
    <mergeCell ref="B729:F729"/>
    <mergeCell ref="G722:J722"/>
    <mergeCell ref="O774:S774"/>
    <mergeCell ref="O794:S794"/>
    <mergeCell ref="X769:AB772"/>
    <mergeCell ref="T769:W772"/>
    <mergeCell ref="AC793:AG793"/>
    <mergeCell ref="X775:AB775"/>
    <mergeCell ref="X776:AB776"/>
    <mergeCell ref="Z611:AK611"/>
    <mergeCell ref="N607:O607"/>
    <mergeCell ref="AF628:AJ628"/>
    <mergeCell ref="G593:R593"/>
    <mergeCell ref="W630:Y630"/>
    <mergeCell ref="G610:R610"/>
    <mergeCell ref="A617:AT618"/>
    <mergeCell ref="B624:L626"/>
    <mergeCell ref="Z613:AE613"/>
    <mergeCell ref="AC629:AE629"/>
    <mergeCell ref="AO633:AS633"/>
    <mergeCell ref="AO628:AS628"/>
    <mergeCell ref="AK746:AO746"/>
    <mergeCell ref="T637:V637"/>
    <mergeCell ref="Z610:AK610"/>
    <mergeCell ref="W624:Y626"/>
    <mergeCell ref="W628:Y628"/>
    <mergeCell ref="Z603:AK603"/>
    <mergeCell ref="AI605:AK605"/>
    <mergeCell ref="Q630:S630"/>
    <mergeCell ref="B722:F722"/>
    <mergeCell ref="AO624:AS626"/>
    <mergeCell ref="AC637:AE637"/>
    <mergeCell ref="G660:R660"/>
    <mergeCell ref="T634:V634"/>
    <mergeCell ref="T774:W774"/>
    <mergeCell ref="AC776:AG776"/>
    <mergeCell ref="AC792:AG792"/>
    <mergeCell ref="O787:S787"/>
    <mergeCell ref="Q826:T826"/>
    <mergeCell ref="Y823:AB824"/>
    <mergeCell ref="AH749:AJ749"/>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N689:O689"/>
    <mergeCell ref="K750:N750"/>
    <mergeCell ref="X748:AB748"/>
    <mergeCell ref="X749:AB749"/>
    <mergeCell ref="X743:AB743"/>
    <mergeCell ref="X744:AB744"/>
    <mergeCell ref="AH743:AJ743"/>
    <mergeCell ref="AH744:AJ744"/>
    <mergeCell ref="G731:J731"/>
    <mergeCell ref="X738:AB738"/>
    <mergeCell ref="O783:S786"/>
    <mergeCell ref="G686:R686"/>
    <mergeCell ref="O747:S747"/>
    <mergeCell ref="Q829:T829"/>
    <mergeCell ref="T791:W791"/>
    <mergeCell ref="T787:W787"/>
    <mergeCell ref="T788:W788"/>
    <mergeCell ref="T789:W789"/>
    <mergeCell ref="O795:S795"/>
    <mergeCell ref="J775:N775"/>
    <mergeCell ref="AC775:AG775"/>
    <mergeCell ref="AC783:AG786"/>
    <mergeCell ref="J791:N791"/>
    <mergeCell ref="X792:AB792"/>
    <mergeCell ref="U826:X826"/>
    <mergeCell ref="X794:AB794"/>
    <mergeCell ref="O714:S717"/>
    <mergeCell ref="M828:P828"/>
    <mergeCell ref="J779:K779"/>
    <mergeCell ref="J787:N787"/>
    <mergeCell ref="T796:W796"/>
    <mergeCell ref="O722:S722"/>
    <mergeCell ref="M823:P824"/>
    <mergeCell ref="Y827:AB827"/>
    <mergeCell ref="AG827:AJ827"/>
    <mergeCell ref="Z817:AE817"/>
    <mergeCell ref="AC794:AG794"/>
    <mergeCell ref="AC795:AG795"/>
    <mergeCell ref="T775:W775"/>
    <mergeCell ref="C763:AR765"/>
    <mergeCell ref="AC752:AG752"/>
    <mergeCell ref="T749:W749"/>
    <mergeCell ref="C798:AN799"/>
    <mergeCell ref="J793:N793"/>
    <mergeCell ref="G752:J752"/>
    <mergeCell ref="AC828:AF828"/>
    <mergeCell ref="AG829:AJ829"/>
    <mergeCell ref="AG826:AJ826"/>
    <mergeCell ref="AG825:AJ825"/>
    <mergeCell ref="U823:X824"/>
    <mergeCell ref="J788:N788"/>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AC825:AF825"/>
    <mergeCell ref="AZ851:BA851"/>
    <mergeCell ref="AC890:AH890"/>
    <mergeCell ref="Q830:T830"/>
    <mergeCell ref="AG831:AJ831"/>
    <mergeCell ref="X793:AB793"/>
    <mergeCell ref="T783:W786"/>
    <mergeCell ref="O789:S789"/>
    <mergeCell ref="M825:P825"/>
    <mergeCell ref="C832:L832"/>
    <mergeCell ref="W857:AC857"/>
    <mergeCell ref="M874:V874"/>
    <mergeCell ref="Y831:AB831"/>
    <mergeCell ref="W851:AC851"/>
    <mergeCell ref="W855:AC855"/>
    <mergeCell ref="W852:AC852"/>
    <mergeCell ref="W854:AC854"/>
    <mergeCell ref="W874:AC874"/>
    <mergeCell ref="C837:AJ837"/>
    <mergeCell ref="M829:P829"/>
    <mergeCell ref="Z815:AE815"/>
    <mergeCell ref="Z808:AE808"/>
    <mergeCell ref="T794:W794"/>
    <mergeCell ref="T792:W792"/>
    <mergeCell ref="X788:AB788"/>
    <mergeCell ref="O797:S797"/>
    <mergeCell ref="Q827:T827"/>
    <mergeCell ref="O793:S793"/>
    <mergeCell ref="J790:N790"/>
    <mergeCell ref="AC789:AG789"/>
    <mergeCell ref="AC790:AG790"/>
    <mergeCell ref="Z818:AE818"/>
    <mergeCell ref="T795:W79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AC886:AH886"/>
    <mergeCell ref="AA931:AF931"/>
    <mergeCell ref="U932:Z932"/>
    <mergeCell ref="AA932:AF932"/>
    <mergeCell ref="F938:T938"/>
    <mergeCell ref="AC892:AH892"/>
    <mergeCell ref="F930:T930"/>
    <mergeCell ref="F931:T931"/>
    <mergeCell ref="U936:Z936"/>
    <mergeCell ref="AC885:AH885"/>
    <mergeCell ref="W861:AC861"/>
    <mergeCell ref="Z901:AE901"/>
    <mergeCell ref="W878:AC878"/>
    <mergeCell ref="U931:Z931"/>
    <mergeCell ref="F915:T915"/>
    <mergeCell ref="U927:Z927"/>
    <mergeCell ref="AA927:AF927"/>
    <mergeCell ref="F929:T929"/>
    <mergeCell ref="AC887:AH887"/>
    <mergeCell ref="AC883:AH88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U920:Z920"/>
    <mergeCell ref="BD902:BE902"/>
    <mergeCell ref="BD900:BE900"/>
    <mergeCell ref="BD899:BE899"/>
    <mergeCell ref="BD901:BE901"/>
    <mergeCell ref="BD904:BE904"/>
    <mergeCell ref="BD906:BF906"/>
    <mergeCell ref="C895:AB895"/>
    <mergeCell ref="AA941:AF941"/>
    <mergeCell ref="AA929:AF929"/>
    <mergeCell ref="U930:Z930"/>
    <mergeCell ref="AA930:AF930"/>
    <mergeCell ref="F940:T940"/>
    <mergeCell ref="U939:Z939"/>
    <mergeCell ref="U940:Z940"/>
    <mergeCell ref="F932:T932"/>
    <mergeCell ref="AC895:AH895"/>
    <mergeCell ref="AA933:AF933"/>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AC719:AG719"/>
    <mergeCell ref="G677:R677"/>
    <mergeCell ref="Z678:AK678"/>
    <mergeCell ref="AC777:AG777"/>
    <mergeCell ref="O777:S777"/>
    <mergeCell ref="T776:W776"/>
    <mergeCell ref="AC791:AG791"/>
    <mergeCell ref="U828:X828"/>
    <mergeCell ref="AG828:AJ828"/>
    <mergeCell ref="Z807:AE807"/>
    <mergeCell ref="Y801:AC801"/>
    <mergeCell ref="Y800:AC800"/>
    <mergeCell ref="K720:N720"/>
    <mergeCell ref="T714:W717"/>
    <mergeCell ref="AH724:AJ724"/>
    <mergeCell ref="Y826:AB826"/>
    <mergeCell ref="P816:Y816"/>
    <mergeCell ref="Y825:AB825"/>
    <mergeCell ref="W875:AC875"/>
    <mergeCell ref="T742:W742"/>
    <mergeCell ref="X745:AB745"/>
    <mergeCell ref="M637:P637"/>
    <mergeCell ref="G719:J719"/>
    <mergeCell ref="AG673:AH673"/>
    <mergeCell ref="G678:R678"/>
    <mergeCell ref="P679:R679"/>
    <mergeCell ref="W700:AK700"/>
    <mergeCell ref="Z683:AK683"/>
    <mergeCell ref="AA688:AK688"/>
    <mergeCell ref="AH739:AJ739"/>
    <mergeCell ref="AH740:AJ740"/>
    <mergeCell ref="O730:S730"/>
    <mergeCell ref="G662:R662"/>
    <mergeCell ref="AG681:AH681"/>
    <mergeCell ref="AI687:AK687"/>
    <mergeCell ref="J705:O705"/>
    <mergeCell ref="Z655:AE655"/>
    <mergeCell ref="Q638:S638"/>
    <mergeCell ref="M638:P638"/>
    <mergeCell ref="W638:Y638"/>
    <mergeCell ref="X718:AB718"/>
    <mergeCell ref="T720:W720"/>
    <mergeCell ref="K714:N717"/>
    <mergeCell ref="T724:W724"/>
    <mergeCell ref="Z676:AK676"/>
    <mergeCell ref="C637:L637"/>
    <mergeCell ref="G679:L679"/>
    <mergeCell ref="Z662:AK662"/>
    <mergeCell ref="G671:L671"/>
    <mergeCell ref="Z660:AK660"/>
    <mergeCell ref="G663:L663"/>
    <mergeCell ref="X725:AB725"/>
    <mergeCell ref="AK728:AO728"/>
    <mergeCell ref="AK729:AO729"/>
    <mergeCell ref="Z659:AK659"/>
    <mergeCell ref="N657:O657"/>
    <mergeCell ref="CM733:CN733"/>
    <mergeCell ref="CG729:CH729"/>
    <mergeCell ref="CG723:CH723"/>
    <mergeCell ref="CM723:CN723"/>
    <mergeCell ref="AC720:AG720"/>
    <mergeCell ref="Z668:AK668"/>
    <mergeCell ref="G661:R661"/>
    <mergeCell ref="X729:AB729"/>
    <mergeCell ref="G721:J721"/>
    <mergeCell ref="CM724:CN724"/>
    <mergeCell ref="X719:AB719"/>
    <mergeCell ref="AE696:AI696"/>
    <mergeCell ref="K718:N718"/>
    <mergeCell ref="G718:J718"/>
    <mergeCell ref="G670:R670"/>
    <mergeCell ref="Z669:AK669"/>
    <mergeCell ref="J704:X704"/>
    <mergeCell ref="G683:R683"/>
    <mergeCell ref="P687:R687"/>
    <mergeCell ref="R705:T705"/>
    <mergeCell ref="AG689:AH689"/>
    <mergeCell ref="H664:R664"/>
    <mergeCell ref="CI728:CJ728"/>
    <mergeCell ref="CI724:CJ724"/>
    <mergeCell ref="X727:AB727"/>
    <mergeCell ref="G728:J728"/>
    <mergeCell ref="CG721:CH721"/>
    <mergeCell ref="B727:F727"/>
    <mergeCell ref="K737:N737"/>
    <mergeCell ref="CG731:CH731"/>
    <mergeCell ref="CU726:CY726"/>
    <mergeCell ref="CZ726:DD726"/>
    <mergeCell ref="CK730:CL730"/>
    <mergeCell ref="CP731:CT731"/>
    <mergeCell ref="CI729:CJ729"/>
    <mergeCell ref="CP729:CT729"/>
    <mergeCell ref="CK733:CL733"/>
    <mergeCell ref="CM731:CN731"/>
    <mergeCell ref="B733:F733"/>
    <mergeCell ref="B731:F731"/>
    <mergeCell ref="B730:F730"/>
    <mergeCell ref="B736:F736"/>
    <mergeCell ref="AH729:AJ729"/>
    <mergeCell ref="AK732:AO732"/>
    <mergeCell ref="AK733:AO733"/>
    <mergeCell ref="AK734:AO734"/>
    <mergeCell ref="AK735:AO735"/>
    <mergeCell ref="CZ729:DD729"/>
    <mergeCell ref="T732:W732"/>
    <mergeCell ref="CK728:CL728"/>
    <mergeCell ref="CZ731:DD731"/>
    <mergeCell ref="CG734:CH734"/>
    <mergeCell ref="CU733:CY733"/>
    <mergeCell ref="AK726:AO726"/>
    <mergeCell ref="CK731:CL731"/>
    <mergeCell ref="CK729:CL729"/>
    <mergeCell ref="K727:N727"/>
    <mergeCell ref="K726:N726"/>
    <mergeCell ref="AK730:AO730"/>
    <mergeCell ref="CU744:CY744"/>
    <mergeCell ref="CK737:CL737"/>
    <mergeCell ref="CG732:CH732"/>
    <mergeCell ref="CP734:CT734"/>
    <mergeCell ref="CG733:CH733"/>
    <mergeCell ref="CI734:CJ734"/>
    <mergeCell ref="CG735:CH735"/>
    <mergeCell ref="CI737:CJ737"/>
    <mergeCell ref="CP733:CT733"/>
    <mergeCell ref="CK735:CL735"/>
    <mergeCell ref="CI736:CJ736"/>
    <mergeCell ref="CU735:CY735"/>
    <mergeCell ref="CI732:CJ732"/>
    <mergeCell ref="CU727:CY727"/>
    <mergeCell ref="CK724:CL724"/>
    <mergeCell ref="DE730:DI730"/>
    <mergeCell ref="CG727:CH727"/>
    <mergeCell ref="DE727:DI727"/>
    <mergeCell ref="CP732:CT732"/>
    <mergeCell ref="CM729:CN729"/>
    <mergeCell ref="CM728:CN728"/>
    <mergeCell ref="CG725:CH725"/>
    <mergeCell ref="CU737:CY737"/>
    <mergeCell ref="CP738:CT738"/>
    <mergeCell ref="CG737:CH737"/>
    <mergeCell ref="CG742:CH742"/>
    <mergeCell ref="CP728:CT728"/>
    <mergeCell ref="CZ730:DD730"/>
    <mergeCell ref="CM730:CN730"/>
    <mergeCell ref="CI731:CJ731"/>
    <mergeCell ref="CI730:CJ730"/>
    <mergeCell ref="CZ734:DD734"/>
    <mergeCell ref="AH515:AK515"/>
    <mergeCell ref="AC516:AF516"/>
    <mergeCell ref="AH509:AK509"/>
    <mergeCell ref="V381:W381"/>
    <mergeCell ref="T555:V555"/>
    <mergeCell ref="W559:Y559"/>
    <mergeCell ref="CP723:CT723"/>
    <mergeCell ref="CZ728:DD728"/>
    <mergeCell ref="CU730:CY730"/>
    <mergeCell ref="CP725:CT725"/>
    <mergeCell ref="CU728:CY728"/>
    <mergeCell ref="CK732:CL732"/>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K725:CL725"/>
    <mergeCell ref="CK727:CL727"/>
    <mergeCell ref="CP724:CT724"/>
    <mergeCell ref="CP727:CT727"/>
    <mergeCell ref="C563:L563"/>
    <mergeCell ref="AE565:AH565"/>
    <mergeCell ref="G578:R578"/>
    <mergeCell ref="AI562:AL562"/>
    <mergeCell ref="AC627:AE627"/>
    <mergeCell ref="Z589:AE589"/>
    <mergeCell ref="Q389:U389"/>
    <mergeCell ref="AJ357:AK357"/>
    <mergeCell ref="D444:AF444"/>
    <mergeCell ref="M554:P554"/>
    <mergeCell ref="W465:Y465"/>
    <mergeCell ref="M358:N358"/>
    <mergeCell ref="Z578:AK578"/>
    <mergeCell ref="AH519:AK519"/>
    <mergeCell ref="AH536:AK536"/>
    <mergeCell ref="AG448:AJ448"/>
    <mergeCell ref="AH528:AK528"/>
    <mergeCell ref="AH505:AK505"/>
    <mergeCell ref="G568:R568"/>
    <mergeCell ref="M574:R574"/>
    <mergeCell ref="AA573:AK573"/>
    <mergeCell ref="Z586:AK586"/>
    <mergeCell ref="N575:O575"/>
    <mergeCell ref="Z580:AK580"/>
    <mergeCell ref="N372:Q372"/>
    <mergeCell ref="P424:Q424"/>
    <mergeCell ref="G585:R585"/>
    <mergeCell ref="AG575:AH575"/>
    <mergeCell ref="Z568:AK568"/>
    <mergeCell ref="Z571:AK571"/>
    <mergeCell ref="T561:V561"/>
    <mergeCell ref="W469:Y469"/>
    <mergeCell ref="P647:R647"/>
    <mergeCell ref="AI647:AK647"/>
    <mergeCell ref="C635:L635"/>
    <mergeCell ref="AF636:AJ636"/>
    <mergeCell ref="Z627:AB627"/>
    <mergeCell ref="AK624:AN626"/>
    <mergeCell ref="W563:Y563"/>
    <mergeCell ref="W564:Y564"/>
    <mergeCell ref="W565:Y565"/>
    <mergeCell ref="AM558:AS558"/>
    <mergeCell ref="AM566:AS566"/>
    <mergeCell ref="AM556:AS556"/>
    <mergeCell ref="Z434:AA434"/>
    <mergeCell ref="H590:R590"/>
    <mergeCell ref="G594:R594"/>
    <mergeCell ref="AM565:AS565"/>
    <mergeCell ref="AE563:AH563"/>
    <mergeCell ref="T633:V633"/>
    <mergeCell ref="Q632:S632"/>
    <mergeCell ref="M561:P561"/>
    <mergeCell ref="G572:L572"/>
    <mergeCell ref="Z581:AE581"/>
    <mergeCell ref="AG599:AH599"/>
    <mergeCell ref="G595:R595"/>
    <mergeCell ref="G596:R596"/>
    <mergeCell ref="Z595:AK595"/>
    <mergeCell ref="G603:R603"/>
    <mergeCell ref="H614:R614"/>
    <mergeCell ref="Z632:AB632"/>
    <mergeCell ref="G613:L613"/>
    <mergeCell ref="M629:P629"/>
    <mergeCell ref="D438:AF438"/>
    <mergeCell ref="G659:R659"/>
    <mergeCell ref="CU721:CY721"/>
    <mergeCell ref="CU719:CY719"/>
    <mergeCell ref="CU718:CY718"/>
    <mergeCell ref="CG718:CH718"/>
    <mergeCell ref="AG591:AH591"/>
    <mergeCell ref="G602:R602"/>
    <mergeCell ref="N599:O599"/>
    <mergeCell ref="P589:R589"/>
    <mergeCell ref="G609:R609"/>
    <mergeCell ref="N615:O615"/>
    <mergeCell ref="M628:P628"/>
    <mergeCell ref="AA606:AK606"/>
    <mergeCell ref="Z588:AK588"/>
    <mergeCell ref="G587:R587"/>
    <mergeCell ref="P605:R605"/>
    <mergeCell ref="C628:L628"/>
    <mergeCell ref="T632:V632"/>
    <mergeCell ref="G644:R644"/>
    <mergeCell ref="Z644:AK644"/>
    <mergeCell ref="N649:O649"/>
    <mergeCell ref="Z631:AB631"/>
    <mergeCell ref="AF624:AJ626"/>
    <mergeCell ref="AK630:AN630"/>
    <mergeCell ref="AK631:AN631"/>
    <mergeCell ref="AK632:AN632"/>
    <mergeCell ref="AK627:AN627"/>
    <mergeCell ref="Z637:AB637"/>
    <mergeCell ref="Z638:AB638"/>
    <mergeCell ref="W627:Y627"/>
    <mergeCell ref="T627:V627"/>
    <mergeCell ref="Z636:AB636"/>
    <mergeCell ref="C632:L632"/>
    <mergeCell ref="Z628:AB628"/>
    <mergeCell ref="M627:P627"/>
    <mergeCell ref="CM722:CN722"/>
    <mergeCell ref="CP722:CT722"/>
    <mergeCell ref="DE717:DI717"/>
    <mergeCell ref="CP718:CT718"/>
    <mergeCell ref="CI718:CJ718"/>
    <mergeCell ref="CK722:CL722"/>
    <mergeCell ref="CU717:CY717"/>
    <mergeCell ref="CU722:CY722"/>
    <mergeCell ref="CZ722:DD722"/>
    <mergeCell ref="AK720:AO720"/>
    <mergeCell ref="AK721:AO721"/>
    <mergeCell ref="B640:AN640"/>
    <mergeCell ref="G667:R667"/>
    <mergeCell ref="Z686:AK686"/>
    <mergeCell ref="Z675:AK675"/>
    <mergeCell ref="Z679:AE679"/>
    <mergeCell ref="AE695:AI695"/>
    <mergeCell ref="B720:F720"/>
    <mergeCell ref="Z643:AK643"/>
    <mergeCell ref="G651:R651"/>
    <mergeCell ref="G652:R652"/>
    <mergeCell ref="AA648:AK648"/>
    <mergeCell ref="G684:R684"/>
    <mergeCell ref="Z667:AK667"/>
    <mergeCell ref="B641:AN641"/>
    <mergeCell ref="G655:L655"/>
    <mergeCell ref="H656:R656"/>
    <mergeCell ref="AG649:AH649"/>
    <mergeCell ref="X721:AB721"/>
    <mergeCell ref="Z604:AK604"/>
    <mergeCell ref="T721:W721"/>
    <mergeCell ref="AO641:AS641"/>
    <mergeCell ref="Z651:AK651"/>
    <mergeCell ref="AK638:AN638"/>
    <mergeCell ref="CM717:CN717"/>
    <mergeCell ref="CM719:CN719"/>
    <mergeCell ref="CM721:CN721"/>
    <mergeCell ref="DO717:DS717"/>
    <mergeCell ref="DO718:DS718"/>
    <mergeCell ref="W703:AK703"/>
    <mergeCell ref="DE722:DI722"/>
    <mergeCell ref="X720:AB720"/>
    <mergeCell ref="CM720:CN720"/>
    <mergeCell ref="CP720:CT720"/>
    <mergeCell ref="AI581:AK581"/>
    <mergeCell ref="Z601:AK601"/>
    <mergeCell ref="AE693:AF693"/>
    <mergeCell ref="AF638:AJ638"/>
    <mergeCell ref="AI663:AK663"/>
    <mergeCell ref="Z597:AE597"/>
    <mergeCell ref="AK637:AN637"/>
    <mergeCell ref="Z661:AK661"/>
    <mergeCell ref="Z635:AB635"/>
    <mergeCell ref="Z654:AK654"/>
    <mergeCell ref="G714:J717"/>
    <mergeCell ref="G668:R668"/>
    <mergeCell ref="CI720:CJ720"/>
    <mergeCell ref="CU720:CY720"/>
    <mergeCell ref="DJ720:DN720"/>
    <mergeCell ref="DJ717:DN717"/>
    <mergeCell ref="AF629:AJ629"/>
    <mergeCell ref="AI613:AK613"/>
    <mergeCell ref="AA614:AK614"/>
    <mergeCell ref="AC624:AE626"/>
    <mergeCell ref="T630:V630"/>
    <mergeCell ref="T631:V631"/>
    <mergeCell ref="AC628:AE628"/>
    <mergeCell ref="C629:L629"/>
    <mergeCell ref="T629:V629"/>
    <mergeCell ref="M633:P633"/>
    <mergeCell ref="W629:Y629"/>
    <mergeCell ref="CG720:CH720"/>
    <mergeCell ref="CI719:CJ719"/>
    <mergeCell ref="G645:R645"/>
    <mergeCell ref="CZ717:DD717"/>
    <mergeCell ref="CK720:CL720"/>
    <mergeCell ref="Z646:AK646"/>
    <mergeCell ref="W631:Y631"/>
    <mergeCell ref="AG615:AH615"/>
    <mergeCell ref="Q636:S636"/>
    <mergeCell ref="AO636:AS636"/>
    <mergeCell ref="AC638:AE638"/>
    <mergeCell ref="K719:N719"/>
    <mergeCell ref="G643:R643"/>
    <mergeCell ref="C630:L630"/>
    <mergeCell ref="C631:L631"/>
    <mergeCell ref="EC637:EG637"/>
    <mergeCell ref="EH637:EL637"/>
    <mergeCell ref="DX645:EB645"/>
    <mergeCell ref="ER650:EV650"/>
    <mergeCell ref="EM650:EQ650"/>
    <mergeCell ref="DX653:EB653"/>
    <mergeCell ref="EC653:EG653"/>
    <mergeCell ref="EH651:EL651"/>
    <mergeCell ref="EH650:EL650"/>
    <mergeCell ref="EM651:EQ651"/>
    <mergeCell ref="DX646:EB646"/>
    <mergeCell ref="EC646:EG646"/>
    <mergeCell ref="EH646:EL646"/>
    <mergeCell ref="EH643:EL643"/>
    <mergeCell ref="EM643:EQ643"/>
    <mergeCell ref="EC648:EG648"/>
    <mergeCell ref="DX640:EB640"/>
    <mergeCell ref="DX643:EB643"/>
    <mergeCell ref="DX641:EB641"/>
    <mergeCell ref="DX649:EB649"/>
    <mergeCell ref="EH645:EL645"/>
    <mergeCell ref="EM645:EQ645"/>
    <mergeCell ref="EH640:EL640"/>
    <mergeCell ref="EM640:EQ640"/>
    <mergeCell ref="DX639:EB639"/>
    <mergeCell ref="DX644:EB644"/>
    <mergeCell ref="DX642:EB642"/>
    <mergeCell ref="EM641:EQ641"/>
    <mergeCell ref="EH648:EL648"/>
    <mergeCell ref="EM652:EQ652"/>
    <mergeCell ref="DX650:EB650"/>
    <mergeCell ref="EC650:EG650"/>
    <mergeCell ref="CU729:CY729"/>
    <mergeCell ref="CG722:CH722"/>
    <mergeCell ref="CI722:CJ722"/>
    <mergeCell ref="AH727:AJ727"/>
    <mergeCell ref="EM636:EQ636"/>
    <mergeCell ref="DX637:EB637"/>
    <mergeCell ref="B639:AN639"/>
    <mergeCell ref="T638:V638"/>
    <mergeCell ref="AC730:AG730"/>
    <mergeCell ref="CZ718:DD718"/>
    <mergeCell ref="DZ726:ED726"/>
    <mergeCell ref="DU728:DY728"/>
    <mergeCell ref="DU722:DY722"/>
    <mergeCell ref="DO725:DS725"/>
    <mergeCell ref="DO721:DS721"/>
    <mergeCell ref="Z671:AE671"/>
    <mergeCell ref="CP721:CT721"/>
    <mergeCell ref="Z645:AK645"/>
    <mergeCell ref="AE699:AI699"/>
    <mergeCell ref="DE720:DI720"/>
    <mergeCell ref="DE724:DI724"/>
    <mergeCell ref="AA672:AK672"/>
    <mergeCell ref="Z684:AK684"/>
    <mergeCell ref="DX652:EB652"/>
    <mergeCell ref="EC652:EG652"/>
    <mergeCell ref="EE722:EI722"/>
    <mergeCell ref="DZ718:ED718"/>
    <mergeCell ref="EE718:EI718"/>
    <mergeCell ref="CZ721:DD721"/>
    <mergeCell ref="DJ718:DN718"/>
    <mergeCell ref="CZ727:DD727"/>
    <mergeCell ref="CZ725:DD725"/>
    <mergeCell ref="AH720:AJ720"/>
    <mergeCell ref="AK722:AO722"/>
    <mergeCell ref="AH721:AJ721"/>
    <mergeCell ref="AK719:AO719"/>
    <mergeCell ref="CK719:CL719"/>
    <mergeCell ref="CI723:CJ723"/>
    <mergeCell ref="CU723:CY723"/>
    <mergeCell ref="DJ727:DN727"/>
    <mergeCell ref="DU720:DY720"/>
    <mergeCell ref="CZ719:DD719"/>
    <mergeCell ref="DJ723:DN723"/>
    <mergeCell ref="DJ724:DN724"/>
    <mergeCell ref="DO727:DS727"/>
    <mergeCell ref="DO728:DS728"/>
    <mergeCell ref="DO722:DS722"/>
    <mergeCell ref="DO723:DS723"/>
    <mergeCell ref="DO724:DS724"/>
    <mergeCell ref="DJ721:DN721"/>
    <mergeCell ref="DO726:DS726"/>
    <mergeCell ref="CP719:CT719"/>
    <mergeCell ref="DE719:DI719"/>
    <mergeCell ref="CZ720:DD720"/>
    <mergeCell ref="DE721:DI721"/>
    <mergeCell ref="CI727:CJ727"/>
    <mergeCell ref="CM725:CN725"/>
    <mergeCell ref="DE726:DI726"/>
    <mergeCell ref="CZ724:DD724"/>
    <mergeCell ref="DE728:DI728"/>
    <mergeCell ref="X796:AB796"/>
    <mergeCell ref="Y829:AB829"/>
    <mergeCell ref="AC829:AF829"/>
    <mergeCell ref="W556:Y556"/>
    <mergeCell ref="AC748:AG748"/>
    <mergeCell ref="DO752:DS752"/>
    <mergeCell ref="DE751:DI751"/>
    <mergeCell ref="EE752:EI752"/>
    <mergeCell ref="CZ737:DD737"/>
    <mergeCell ref="DE733:DI733"/>
    <mergeCell ref="CZ751:DD751"/>
    <mergeCell ref="ET723:EX723"/>
    <mergeCell ref="CZ723:DD723"/>
    <mergeCell ref="DE731:DI731"/>
    <mergeCell ref="EO752:ES752"/>
    <mergeCell ref="EJ752:EN752"/>
    <mergeCell ref="EE727:EI727"/>
    <mergeCell ref="EE723:EI723"/>
    <mergeCell ref="EJ723:EN723"/>
    <mergeCell ref="EO725:ES725"/>
    <mergeCell ref="DJ731:DN731"/>
    <mergeCell ref="DJ729:DN729"/>
    <mergeCell ref="DE739:DI739"/>
    <mergeCell ref="DE723:DI723"/>
    <mergeCell ref="DU725:DY725"/>
    <mergeCell ref="DZ725:ED725"/>
    <mergeCell ref="DZ723:ED723"/>
    <mergeCell ref="DZ724:ED724"/>
    <mergeCell ref="DO729:DS729"/>
    <mergeCell ref="DU730:DY730"/>
    <mergeCell ref="EE728:EI728"/>
    <mergeCell ref="ET725:EX725"/>
    <mergeCell ref="O796:S796"/>
    <mergeCell ref="U825:X825"/>
    <mergeCell ref="Z814:AE814"/>
    <mergeCell ref="CG739:CH739"/>
    <mergeCell ref="CG740:CH740"/>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E885:AB885"/>
    <mergeCell ref="M831:P831"/>
    <mergeCell ref="Q831:T831"/>
    <mergeCell ref="W853:AC853"/>
    <mergeCell ref="Q832:T832"/>
    <mergeCell ref="F944:T944"/>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F975:L975"/>
    <mergeCell ref="M975:S975"/>
    <mergeCell ref="AA975:AG975"/>
    <mergeCell ref="T973:Z973"/>
    <mergeCell ref="M973:S973"/>
    <mergeCell ref="AA969:AG969"/>
    <mergeCell ref="M968:S968"/>
    <mergeCell ref="BD905:BF905"/>
    <mergeCell ref="AE955:AK955"/>
    <mergeCell ref="C830:H830"/>
    <mergeCell ref="F831:L831"/>
    <mergeCell ref="U827:X827"/>
    <mergeCell ref="C827:H827"/>
    <mergeCell ref="I949:T949"/>
    <mergeCell ref="U938:Z938"/>
    <mergeCell ref="F936:T936"/>
    <mergeCell ref="AA947:AF947"/>
    <mergeCell ref="Y830:AB830"/>
    <mergeCell ref="U922:Z922"/>
    <mergeCell ref="AA924:AF924"/>
    <mergeCell ref="AA944:AF944"/>
    <mergeCell ref="P945:T945"/>
    <mergeCell ref="M846:V846"/>
    <mergeCell ref="J849:V849"/>
    <mergeCell ref="W846:AC846"/>
    <mergeCell ref="M830:P830"/>
    <mergeCell ref="AA935:AF935"/>
    <mergeCell ref="AA918:AF918"/>
    <mergeCell ref="W843:AC843"/>
    <mergeCell ref="AA928:AF928"/>
    <mergeCell ref="AA936:AF936"/>
    <mergeCell ref="U943:Z943"/>
    <mergeCell ref="Z900:AE900"/>
    <mergeCell ref="U949:Z949"/>
    <mergeCell ref="U944:Z944"/>
    <mergeCell ref="AA938:AF938"/>
    <mergeCell ref="U923:Z923"/>
    <mergeCell ref="U946:Z946"/>
    <mergeCell ref="BG976:BL976"/>
    <mergeCell ref="AA950:AF950"/>
    <mergeCell ref="BD907:BE907"/>
    <mergeCell ref="BD908:BE908"/>
    <mergeCell ref="U947:Z947"/>
    <mergeCell ref="U919:Z919"/>
    <mergeCell ref="U945:Z945"/>
    <mergeCell ref="AA934:AF934"/>
    <mergeCell ref="U921:Z921"/>
    <mergeCell ref="AA921:AF921"/>
    <mergeCell ref="Z902:AE902"/>
    <mergeCell ref="U941:Z941"/>
    <mergeCell ref="AA943:AF943"/>
    <mergeCell ref="AA949:AF949"/>
    <mergeCell ref="BD910:BE910"/>
    <mergeCell ref="BD903:BE903"/>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U915:Z917"/>
    <mergeCell ref="U950:Z950"/>
    <mergeCell ref="AA945:AF945"/>
    <mergeCell ref="U918:Z918"/>
    <mergeCell ref="I947:T947"/>
    <mergeCell ref="AB957:AK957"/>
    <mergeCell ref="AA970:AG970"/>
    <mergeCell ref="M970:S970"/>
    <mergeCell ref="AA971:AG971"/>
    <mergeCell ref="T972:Z972"/>
    <mergeCell ref="J957:S957"/>
    <mergeCell ref="AE959:AK959"/>
    <mergeCell ref="M972:S972"/>
    <mergeCell ref="M969:S969"/>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Q823:T824"/>
    <mergeCell ref="Z809:AE809"/>
    <mergeCell ref="O791:S791"/>
    <mergeCell ref="J783:N786"/>
    <mergeCell ref="T790:W790"/>
    <mergeCell ref="T793:W793"/>
    <mergeCell ref="O775:S775"/>
    <mergeCell ref="O731:S731"/>
    <mergeCell ref="J792:N792"/>
    <mergeCell ref="Z806:AE806"/>
    <mergeCell ref="X791:AB791"/>
    <mergeCell ref="X750:AB750"/>
    <mergeCell ref="AC749:AG749"/>
    <mergeCell ref="AC750:AG750"/>
    <mergeCell ref="AC751:AG751"/>
    <mergeCell ref="O745:S745"/>
    <mergeCell ref="T748:W748"/>
    <mergeCell ref="X747:AB747"/>
    <mergeCell ref="G753:J753"/>
    <mergeCell ref="AD759:AF759"/>
    <mergeCell ref="O746:S746"/>
    <mergeCell ref="T746:W746"/>
    <mergeCell ref="K747:N747"/>
    <mergeCell ref="K751:N751"/>
    <mergeCell ref="O751:S751"/>
    <mergeCell ref="X773:AB773"/>
    <mergeCell ref="T736:W736"/>
    <mergeCell ref="AC796:AG796"/>
    <mergeCell ref="AC788:AG788"/>
    <mergeCell ref="K731:N731"/>
    <mergeCell ref="T741:W741"/>
    <mergeCell ref="O776:S776"/>
    <mergeCell ref="O769:S772"/>
    <mergeCell ref="B754:AH755"/>
    <mergeCell ref="G675:R675"/>
    <mergeCell ref="H672:R672"/>
    <mergeCell ref="T744:W744"/>
    <mergeCell ref="K745:N745"/>
    <mergeCell ref="T740:W740"/>
    <mergeCell ref="G741:J741"/>
    <mergeCell ref="B740:F740"/>
    <mergeCell ref="O739:S739"/>
    <mergeCell ref="O740:S740"/>
    <mergeCell ref="K741:N741"/>
    <mergeCell ref="O736:S736"/>
    <mergeCell ref="K738:N738"/>
    <mergeCell ref="B752:F752"/>
    <mergeCell ref="O750:S750"/>
    <mergeCell ref="X746:AB746"/>
    <mergeCell ref="AH752:AJ752"/>
    <mergeCell ref="AH751:AJ751"/>
    <mergeCell ref="AH750:AJ750"/>
    <mergeCell ref="AH747:AJ747"/>
    <mergeCell ref="AH748:AJ748"/>
    <mergeCell ref="O738:S738"/>
    <mergeCell ref="T739:W739"/>
    <mergeCell ref="T735:W735"/>
    <mergeCell ref="T734:W734"/>
    <mergeCell ref="T747:W747"/>
    <mergeCell ref="G738:J738"/>
    <mergeCell ref="X740:AB740"/>
    <mergeCell ref="AE702:AF702"/>
    <mergeCell ref="O729:S729"/>
    <mergeCell ref="K739:N739"/>
    <mergeCell ref="X774:AB774"/>
    <mergeCell ref="T773:W773"/>
    <mergeCell ref="AC747:AG747"/>
    <mergeCell ref="J773:N773"/>
    <mergeCell ref="G739:J739"/>
    <mergeCell ref="X741:AB741"/>
    <mergeCell ref="O773:S773"/>
    <mergeCell ref="T752:W752"/>
    <mergeCell ref="J776:N77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O748:S748"/>
    <mergeCell ref="B719:F719"/>
    <mergeCell ref="O721:S721"/>
    <mergeCell ref="K722:N722"/>
    <mergeCell ref="K723:N723"/>
    <mergeCell ref="T723:W723"/>
    <mergeCell ref="K721:N721"/>
    <mergeCell ref="O720:S720"/>
    <mergeCell ref="O733:S733"/>
    <mergeCell ref="AH753:AJ753"/>
    <mergeCell ref="AK745:AO745"/>
    <mergeCell ref="AH741:AJ741"/>
    <mergeCell ref="AK740:AO740"/>
    <mergeCell ref="AK741:AO741"/>
    <mergeCell ref="AK752:AO752"/>
    <mergeCell ref="O741:S741"/>
    <mergeCell ref="AO630:AS630"/>
    <mergeCell ref="G669:R669"/>
    <mergeCell ref="T718:W718"/>
    <mergeCell ref="B739:F739"/>
    <mergeCell ref="K735:N735"/>
    <mergeCell ref="K736:N736"/>
    <mergeCell ref="G736:J736"/>
    <mergeCell ref="T624:V626"/>
    <mergeCell ref="X739:AB739"/>
    <mergeCell ref="G740:J740"/>
    <mergeCell ref="AO637:AS637"/>
    <mergeCell ref="AO640:AS640"/>
    <mergeCell ref="AH745:AJ745"/>
    <mergeCell ref="AH746:AJ746"/>
    <mergeCell ref="T731:W731"/>
    <mergeCell ref="Z629:AB629"/>
    <mergeCell ref="AO632:AS632"/>
    <mergeCell ref="AO631:AS631"/>
    <mergeCell ref="W635:Y635"/>
    <mergeCell ref="G676:R676"/>
    <mergeCell ref="G646:R646"/>
    <mergeCell ref="Z687:AE687"/>
    <mergeCell ref="M634:P634"/>
    <mergeCell ref="Q634:S634"/>
    <mergeCell ref="AI655:AK655"/>
    <mergeCell ref="D1011:AE1011"/>
    <mergeCell ref="D1012:AE1012"/>
    <mergeCell ref="AF1027:AI1028"/>
    <mergeCell ref="M962:S962"/>
    <mergeCell ref="AA925:AF925"/>
    <mergeCell ref="AE958:AK958"/>
    <mergeCell ref="F916:T917"/>
    <mergeCell ref="F939:T939"/>
    <mergeCell ref="AB988:AI988"/>
    <mergeCell ref="R986:AA986"/>
    <mergeCell ref="M959:S959"/>
    <mergeCell ref="B991:AA991"/>
    <mergeCell ref="D994:AE994"/>
    <mergeCell ref="D1000:AE1000"/>
    <mergeCell ref="I946:T946"/>
    <mergeCell ref="AA946:AF946"/>
    <mergeCell ref="F946:H946"/>
    <mergeCell ref="AA967:AG967"/>
    <mergeCell ref="F926:T926"/>
    <mergeCell ref="F927:T927"/>
    <mergeCell ref="F928:T928"/>
    <mergeCell ref="U926:Z926"/>
    <mergeCell ref="AA926:AF926"/>
    <mergeCell ref="AJ1025:AQ1028"/>
    <mergeCell ref="AJ987:AQ987"/>
    <mergeCell ref="AJ988:AQ988"/>
    <mergeCell ref="B992:AI992"/>
    <mergeCell ref="R987:AA987"/>
    <mergeCell ref="AA939:AF939"/>
    <mergeCell ref="AA940:AF940"/>
    <mergeCell ref="M955:S955"/>
    <mergeCell ref="I948:T948"/>
    <mergeCell ref="D1020:AE1021"/>
    <mergeCell ref="AB991:AI991"/>
    <mergeCell ref="D1025:AE1025"/>
    <mergeCell ref="AF1026:AI1026"/>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D1022:AE1023"/>
    <mergeCell ref="D1046:AE1047"/>
    <mergeCell ref="W974:AG974"/>
    <mergeCell ref="D1001:AE1001"/>
    <mergeCell ref="D1002:AE1006"/>
    <mergeCell ref="AB986:AI986"/>
    <mergeCell ref="AB987:AI987"/>
    <mergeCell ref="D987:Q987"/>
    <mergeCell ref="R989:AA989"/>
    <mergeCell ref="AJ989:AQ989"/>
    <mergeCell ref="AA968:AG968"/>
    <mergeCell ref="D988:Q988"/>
    <mergeCell ref="AE956:AK956"/>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D1033:AE1035"/>
    <mergeCell ref="AJ1032:AQ1035"/>
    <mergeCell ref="AJ994:AQ1000"/>
    <mergeCell ref="AJ1007:AQ1010"/>
    <mergeCell ref="AJ1011:AQ1012"/>
    <mergeCell ref="AJ986:AQ986"/>
    <mergeCell ref="AJ1001:AQ1006"/>
    <mergeCell ref="AJ1020:AQ1024"/>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I950:T950"/>
    <mergeCell ref="D995:AE998"/>
    <mergeCell ref="D999:AE999"/>
    <mergeCell ref="M971:S971"/>
    <mergeCell ref="M956:S956"/>
    <mergeCell ref="AF1023:AI1024"/>
    <mergeCell ref="D1007:AE1007"/>
    <mergeCell ref="R990:AA990"/>
    <mergeCell ref="AJ990:AQ990"/>
    <mergeCell ref="M960:S960"/>
    <mergeCell ref="D985:Q985"/>
    <mergeCell ref="D986:Q986"/>
    <mergeCell ref="AB985:AI985"/>
    <mergeCell ref="FY719:GC719"/>
    <mergeCell ref="FT737:FX737"/>
    <mergeCell ref="FE730:FI730"/>
    <mergeCell ref="FJ730:FN730"/>
    <mergeCell ref="FJ733:FN733"/>
    <mergeCell ref="FO733:FS733"/>
    <mergeCell ref="FE733:FI733"/>
    <mergeCell ref="FY737:GC737"/>
    <mergeCell ref="FT733:FX733"/>
    <mergeCell ref="FJ721:FN721"/>
    <mergeCell ref="FO721:FS721"/>
    <mergeCell ref="FY725:GC725"/>
    <mergeCell ref="EZ726:FD726"/>
    <mergeCell ref="FE726:FI726"/>
    <mergeCell ref="FJ726:FN726"/>
    <mergeCell ref="FO726:FS726"/>
    <mergeCell ref="FT726:FX726"/>
    <mergeCell ref="FY726:GC726"/>
    <mergeCell ref="FJ727:FN727"/>
    <mergeCell ref="FJ734:FN734"/>
    <mergeCell ref="FO734:FS734"/>
    <mergeCell ref="FY722:GC722"/>
    <mergeCell ref="EZ723:FD723"/>
    <mergeCell ref="FE723:FI723"/>
    <mergeCell ref="FJ723:FN723"/>
    <mergeCell ref="FO723:FS723"/>
    <mergeCell ref="FT723:FX723"/>
    <mergeCell ref="FY723:GC723"/>
    <mergeCell ref="EZ724:FD724"/>
    <mergeCell ref="FT724:FX724"/>
    <mergeCell ref="FY724:GC724"/>
    <mergeCell ref="FJ724:FN724"/>
    <mergeCell ref="FT751:FX751"/>
    <mergeCell ref="FY751:GC751"/>
    <mergeCell ref="FY735:GC735"/>
    <mergeCell ref="EZ736:FD736"/>
    <mergeCell ref="FE736:FI736"/>
    <mergeCell ref="FJ736:FN736"/>
    <mergeCell ref="FO751:FS751"/>
    <mergeCell ref="FO727:FS727"/>
    <mergeCell ref="FT727:FX727"/>
    <mergeCell ref="FY727:GC727"/>
    <mergeCell ref="ET728:EX728"/>
    <mergeCell ref="FT748:FX748"/>
    <mergeCell ref="FT749:FX749"/>
    <mergeCell ref="FY749:GC749"/>
    <mergeCell ref="FT750:FX750"/>
    <mergeCell ref="FY750:GC750"/>
    <mergeCell ref="FY728:GC728"/>
    <mergeCell ref="EZ729:FD729"/>
    <mergeCell ref="FE729:FI729"/>
    <mergeCell ref="FJ729:FN729"/>
    <mergeCell ref="FO729:FS729"/>
    <mergeCell ref="FT729:FX729"/>
    <mergeCell ref="FY729:GC729"/>
    <mergeCell ref="EZ732:FD732"/>
    <mergeCell ref="FY731:GC731"/>
    <mergeCell ref="FY732:GC732"/>
    <mergeCell ref="FO736:FS736"/>
    <mergeCell ref="FT736:FX736"/>
    <mergeCell ref="FY736:GC736"/>
    <mergeCell ref="EZ727:FD727"/>
    <mergeCell ref="FE727:FI727"/>
    <mergeCell ref="FY742:GC742"/>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J735:FN735"/>
    <mergeCell ref="FO735:FS735"/>
    <mergeCell ref="FT735:FX735"/>
    <mergeCell ref="FT734:FX734"/>
    <mergeCell ref="FY734:GC734"/>
    <mergeCell ref="EZ735:FD735"/>
    <mergeCell ref="FE735:FI735"/>
    <mergeCell ref="FY721:GC721"/>
    <mergeCell ref="FT732:FX732"/>
    <mergeCell ref="FT720:FX720"/>
    <mergeCell ref="FT717:FX717"/>
    <mergeCell ref="EZ728:FD728"/>
    <mergeCell ref="FE728:FI728"/>
    <mergeCell ref="FJ728:FN728"/>
    <mergeCell ref="FO728:FS728"/>
    <mergeCell ref="ER641:EV641"/>
    <mergeCell ref="FT728:FX728"/>
    <mergeCell ref="FJ725:FN725"/>
    <mergeCell ref="FO725:FS725"/>
    <mergeCell ref="FT725:FX725"/>
    <mergeCell ref="EZ721:FD721"/>
    <mergeCell ref="FE721:FI721"/>
    <mergeCell ref="EZ725:FD725"/>
    <mergeCell ref="FE725:FI725"/>
    <mergeCell ref="ER651:EV651"/>
    <mergeCell ref="ER652:EV652"/>
    <mergeCell ref="EZ718:FD718"/>
    <mergeCell ref="FE718:FI718"/>
    <mergeCell ref="FJ718:FN718"/>
    <mergeCell ref="FO718:FS718"/>
    <mergeCell ref="FT718:FX718"/>
    <mergeCell ref="FY718:GC718"/>
    <mergeCell ref="EZ719:FD719"/>
    <mergeCell ref="FE719:FI719"/>
    <mergeCell ref="FJ719:FN719"/>
    <mergeCell ref="FT722:FX722"/>
    <mergeCell ref="DZ732:ED732"/>
    <mergeCell ref="FE717:FI717"/>
    <mergeCell ref="FJ717:FN717"/>
    <mergeCell ref="FO717:FS717"/>
    <mergeCell ref="ER670:EV670"/>
    <mergeCell ref="DX669:EB669"/>
    <mergeCell ref="EC670:EG670"/>
    <mergeCell ref="EH670:EL670"/>
    <mergeCell ref="EC669:EG669"/>
    <mergeCell ref="EO729:ES729"/>
    <mergeCell ref="EO732:ES732"/>
    <mergeCell ref="ET729:EX729"/>
    <mergeCell ref="FE732:FI732"/>
    <mergeCell ref="FJ732:FN732"/>
    <mergeCell ref="FO732:FS732"/>
    <mergeCell ref="EE732:EI732"/>
    <mergeCell ref="FO719:FS719"/>
    <mergeCell ref="FT719:FX719"/>
    <mergeCell ref="EO720:ES720"/>
    <mergeCell ref="EJ729:EN729"/>
    <mergeCell ref="FO724:FS724"/>
    <mergeCell ref="FE724:FI724"/>
    <mergeCell ref="EW660:FA660"/>
    <mergeCell ref="EE717:EI717"/>
    <mergeCell ref="EJ720:EN720"/>
    <mergeCell ref="EO722:ES722"/>
    <mergeCell ref="DZ731:ED731"/>
    <mergeCell ref="EJ718:EN718"/>
    <mergeCell ref="EW644:FA644"/>
    <mergeCell ref="EC641:EG641"/>
    <mergeCell ref="EC643:EG643"/>
    <mergeCell ref="EM667:EQ667"/>
    <mergeCell ref="ER667:EV667"/>
    <mergeCell ref="EW667:FA667"/>
    <mergeCell ref="DX664:EB664"/>
    <mergeCell ref="EC664:EG664"/>
    <mergeCell ref="EZ722:FD722"/>
    <mergeCell ref="FE722:FI722"/>
    <mergeCell ref="FJ722:FN722"/>
    <mergeCell ref="EH641:EL641"/>
    <mergeCell ref="EM665:EQ665"/>
    <mergeCell ref="ER665:EV665"/>
    <mergeCell ref="EW665:FA665"/>
    <mergeCell ref="EW662:FA662"/>
    <mergeCell ref="DX663:EB663"/>
    <mergeCell ref="EC663:EG663"/>
    <mergeCell ref="EH663:EL663"/>
    <mergeCell ref="EM663:EQ663"/>
    <mergeCell ref="ER663:EV663"/>
    <mergeCell ref="EW663:FA663"/>
    <mergeCell ref="EC659:EG659"/>
    <mergeCell ref="DX660:EB660"/>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EZ720:FD720"/>
    <mergeCell ref="FE720:FI720"/>
    <mergeCell ref="FJ720:FN720"/>
    <mergeCell ref="FO720:FS720"/>
    <mergeCell ref="FO722:FS722"/>
    <mergeCell ref="EO736:ES736"/>
    <mergeCell ref="EW641:FA641"/>
    <mergeCell ref="EC642:EG642"/>
    <mergeCell ref="EH642:EL642"/>
    <mergeCell ref="EM642:EQ642"/>
    <mergeCell ref="ER642:EV642"/>
    <mergeCell ref="EC644:EG644"/>
    <mergeCell ref="EH644:EL644"/>
    <mergeCell ref="EW639:FA639"/>
    <mergeCell ref="EC640:EG640"/>
    <mergeCell ref="EW640:FA640"/>
    <mergeCell ref="ER643:EV643"/>
    <mergeCell ref="ER640:EV640"/>
    <mergeCell ref="EW638:FA638"/>
    <mergeCell ref="DX655:EB655"/>
    <mergeCell ref="DX658:EB658"/>
    <mergeCell ref="EC658:EG658"/>
    <mergeCell ref="EH658:EL658"/>
    <mergeCell ref="EC655:EG655"/>
    <mergeCell ref="EW670:FA670"/>
    <mergeCell ref="EO719:ES719"/>
    <mergeCell ref="ET720:EX720"/>
    <mergeCell ref="EC654:EG654"/>
    <mergeCell ref="EH654:EL654"/>
    <mergeCell ref="DX657:EB657"/>
    <mergeCell ref="EH664:EL664"/>
    <mergeCell ref="EZ717:FD717"/>
    <mergeCell ref="EM658:EQ658"/>
    <mergeCell ref="ER658:EV658"/>
    <mergeCell ref="EW658:FA658"/>
    <mergeCell ref="DX659:EB659"/>
    <mergeCell ref="ER660:EV66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R639:EV639"/>
    <mergeCell ref="ET731:EX731"/>
    <mergeCell ref="EJ727:EN727"/>
    <mergeCell ref="DU731:DY731"/>
    <mergeCell ref="EW666:FA666"/>
    <mergeCell ref="EO730:ES730"/>
    <mergeCell ref="ET730:EX730"/>
    <mergeCell ref="EO728:ES728"/>
    <mergeCell ref="DJ728:DN728"/>
    <mergeCell ref="DX668:EB668"/>
    <mergeCell ref="EC668:EG668"/>
    <mergeCell ref="DZ721:ED721"/>
    <mergeCell ref="DZ722:ED722"/>
    <mergeCell ref="DU717:DY717"/>
    <mergeCell ref="DU719:DY719"/>
    <mergeCell ref="DX654:EB654"/>
    <mergeCell ref="ET718:EX718"/>
    <mergeCell ref="DU723:DY723"/>
    <mergeCell ref="EE719:EI719"/>
    <mergeCell ref="DZ720:ED720"/>
    <mergeCell ref="EJ719:EN719"/>
    <mergeCell ref="EO718:ES718"/>
    <mergeCell ref="EO717:ES717"/>
    <mergeCell ref="EM668:EQ668"/>
    <mergeCell ref="EM664:EQ664"/>
    <mergeCell ref="ER664:EV664"/>
    <mergeCell ref="EC667:EG667"/>
    <mergeCell ref="DX670:EB670"/>
    <mergeCell ref="DU724:DY724"/>
    <mergeCell ref="DZ719:ED719"/>
    <mergeCell ref="EM661:EQ661"/>
    <mergeCell ref="ER656:EV656"/>
    <mergeCell ref="EH669:EL669"/>
    <mergeCell ref="EW654:FA654"/>
    <mergeCell ref="DX647:EB647"/>
    <mergeCell ref="ER661:EV661"/>
    <mergeCell ref="EO738:ES738"/>
    <mergeCell ref="DE738:DI738"/>
    <mergeCell ref="EM649:EQ649"/>
    <mergeCell ref="ET738:EX738"/>
    <mergeCell ref="DU738:DY738"/>
    <mergeCell ref="DE736:DI736"/>
    <mergeCell ref="ET727:EX727"/>
    <mergeCell ref="DZ727:ED727"/>
    <mergeCell ref="EM670:EQ670"/>
    <mergeCell ref="DU729:DY729"/>
    <mergeCell ref="DJ730:DN730"/>
    <mergeCell ref="EJ725:EN725"/>
    <mergeCell ref="DZ728:ED728"/>
    <mergeCell ref="EE724:EI724"/>
    <mergeCell ref="EZ733:FD733"/>
    <mergeCell ref="ER668:EV668"/>
    <mergeCell ref="EW661:FA661"/>
    <mergeCell ref="EW656:FA656"/>
    <mergeCell ref="DU727:DY727"/>
    <mergeCell ref="EE731:EI731"/>
    <mergeCell ref="EJ732:EN732"/>
    <mergeCell ref="DJ722:DN722"/>
    <mergeCell ref="DO730:DS730"/>
    <mergeCell ref="DO731:DS731"/>
    <mergeCell ref="EH667:EL667"/>
    <mergeCell ref="EM666:EQ666"/>
    <mergeCell ref="ER666:EV666"/>
    <mergeCell ref="DO719:DS719"/>
    <mergeCell ref="EE720:EI720"/>
    <mergeCell ref="FJ740:FN740"/>
    <mergeCell ref="ET737:EX737"/>
    <mergeCell ref="DO740:DS740"/>
    <mergeCell ref="DJ740:DN740"/>
    <mergeCell ref="CG745:CH745"/>
    <mergeCell ref="CK738:CL738"/>
    <mergeCell ref="DX661:EB661"/>
    <mergeCell ref="EE725:EI725"/>
    <mergeCell ref="EW664:FA664"/>
    <mergeCell ref="EO740:ES740"/>
    <mergeCell ref="ER669:EV669"/>
    <mergeCell ref="CG748:CH748"/>
    <mergeCell ref="CP739:CT739"/>
    <mergeCell ref="CI735:CJ735"/>
    <mergeCell ref="CI745:CJ745"/>
    <mergeCell ref="DU734:DY734"/>
    <mergeCell ref="DO751:DS751"/>
    <mergeCell ref="DJ736:DN736"/>
    <mergeCell ref="DZ729:ED729"/>
    <mergeCell ref="EJ731:EN731"/>
    <mergeCell ref="DU732:DY732"/>
    <mergeCell ref="DE734:DI734"/>
    <mergeCell ref="DE737:DI737"/>
    <mergeCell ref="EJ738:EN738"/>
    <mergeCell ref="DU736:DY736"/>
    <mergeCell ref="CZ735:DD735"/>
    <mergeCell ref="CI739:CJ739"/>
    <mergeCell ref="CK741:CL741"/>
    <mergeCell ref="CM741:CN741"/>
    <mergeCell ref="DZ734:ED734"/>
    <mergeCell ref="DJ737:DN737"/>
    <mergeCell ref="CU734:CY734"/>
    <mergeCell ref="B742:F742"/>
    <mergeCell ref="AO635:AS635"/>
    <mergeCell ref="EJ728:EN728"/>
    <mergeCell ref="EO727:ES727"/>
    <mergeCell ref="EJ733:EN733"/>
    <mergeCell ref="CZ777:DD777"/>
    <mergeCell ref="DE777:DI777"/>
    <mergeCell ref="DE775:DI775"/>
    <mergeCell ref="DU752:DY752"/>
    <mergeCell ref="DZ752:ED752"/>
    <mergeCell ref="DJ752:DN752"/>
    <mergeCell ref="EZ753:FD753"/>
    <mergeCell ref="FE753:FI753"/>
    <mergeCell ref="EJ753:EN753"/>
    <mergeCell ref="DO754:DS754"/>
    <mergeCell ref="EO753:ES753"/>
    <mergeCell ref="DJ751:DN751"/>
    <mergeCell ref="CP773:CT773"/>
    <mergeCell ref="CU752:CY752"/>
    <mergeCell ref="ET740:EX740"/>
    <mergeCell ref="DJ776:DN776"/>
    <mergeCell ref="DO776:DS776"/>
    <mergeCell ref="DO775:DS775"/>
    <mergeCell ref="CU745:CY745"/>
    <mergeCell ref="DJ773:DN773"/>
    <mergeCell ref="DJ777:DN777"/>
    <mergeCell ref="CZ774:DD774"/>
    <mergeCell ref="CZ773:DD773"/>
    <mergeCell ref="DJ774:DN774"/>
    <mergeCell ref="CZ752:DD752"/>
    <mergeCell ref="DO774:DS774"/>
    <mergeCell ref="CP747:CT747"/>
    <mergeCell ref="CP777:CT777"/>
    <mergeCell ref="EJ747:EN747"/>
    <mergeCell ref="EE742:EI742"/>
    <mergeCell ref="EJ742:EN742"/>
    <mergeCell ref="EJ734:EN734"/>
    <mergeCell ref="EE733:EI733"/>
    <mergeCell ref="ET732:EX732"/>
    <mergeCell ref="ET721:EX721"/>
    <mergeCell ref="DE740:DI740"/>
    <mergeCell ref="DU740:DY740"/>
    <mergeCell ref="DZ740:ED740"/>
    <mergeCell ref="EE740:EI740"/>
    <mergeCell ref="EJ740:EN740"/>
    <mergeCell ref="FO753:FS753"/>
    <mergeCell ref="FE748:FI748"/>
    <mergeCell ref="FJ748:FN748"/>
    <mergeCell ref="FO748:FS748"/>
    <mergeCell ref="EZ745:FD745"/>
    <mergeCell ref="ET751:EX751"/>
    <mergeCell ref="EJ751:EN751"/>
    <mergeCell ref="EO739:ES739"/>
    <mergeCell ref="ET739:EX739"/>
    <mergeCell ref="ET752:EX752"/>
    <mergeCell ref="EO751:ES751"/>
    <mergeCell ref="DE750:DI750"/>
    <mergeCell ref="DJ750:DN750"/>
    <mergeCell ref="DU753:DY753"/>
    <mergeCell ref="DZ753:ED753"/>
    <mergeCell ref="DJ735:DN735"/>
    <mergeCell ref="DE735:DI735"/>
    <mergeCell ref="DZ737:ED737"/>
    <mergeCell ref="EE751:EI751"/>
    <mergeCell ref="ET719:EX719"/>
    <mergeCell ref="EJ722:EN722"/>
    <mergeCell ref="ET736:EX736"/>
    <mergeCell ref="EE735:EI735"/>
    <mergeCell ref="CK736:CL736"/>
    <mergeCell ref="EE737:EI737"/>
    <mergeCell ref="EJ737:EN737"/>
    <mergeCell ref="EW668:FA668"/>
    <mergeCell ref="DJ734:DN734"/>
    <mergeCell ref="DO720:DS720"/>
    <mergeCell ref="DU718:DY718"/>
    <mergeCell ref="EE721:EI721"/>
    <mergeCell ref="DZ733:ED733"/>
    <mergeCell ref="DX662:EB662"/>
    <mergeCell ref="EC662:EG662"/>
    <mergeCell ref="EH662:EL662"/>
    <mergeCell ref="CU775:CY775"/>
    <mergeCell ref="DU751:DY751"/>
    <mergeCell ref="DZ751:ED751"/>
    <mergeCell ref="EJ735:EN735"/>
    <mergeCell ref="EO735:ES735"/>
    <mergeCell ref="DZ735:ED735"/>
    <mergeCell ref="CP736:CT736"/>
    <mergeCell ref="CZ741:DD741"/>
    <mergeCell ref="EH668:EL668"/>
    <mergeCell ref="EO724:ES724"/>
    <mergeCell ref="ET724:EX724"/>
    <mergeCell ref="EO726:ES726"/>
    <mergeCell ref="ET726:EX726"/>
    <mergeCell ref="ET722:EX722"/>
    <mergeCell ref="DO732:DS732"/>
    <mergeCell ref="ET717:EX717"/>
    <mergeCell ref="EZ739:FD739"/>
    <mergeCell ref="DO734:DS734"/>
    <mergeCell ref="DO735:DS735"/>
    <mergeCell ref="DO736:DS736"/>
    <mergeCell ref="CG743:CH743"/>
    <mergeCell ref="CZ738:DD738"/>
    <mergeCell ref="CM736:CN736"/>
    <mergeCell ref="CI738:CJ738"/>
    <mergeCell ref="CM735:CN735"/>
    <mergeCell ref="CG738:CH738"/>
    <mergeCell ref="CP775:CT775"/>
    <mergeCell ref="CP776:CT776"/>
    <mergeCell ref="DE774:DI774"/>
    <mergeCell ref="DU739:DY739"/>
    <mergeCell ref="DZ739:ED739"/>
    <mergeCell ref="EE739:EI739"/>
    <mergeCell ref="DO753:DS753"/>
    <mergeCell ref="DO773:DS773"/>
    <mergeCell ref="CU773:CY773"/>
    <mergeCell ref="DJ753:DN753"/>
    <mergeCell ref="DE753:DI753"/>
    <mergeCell ref="EE753:EI753"/>
    <mergeCell ref="CM737:CN737"/>
    <mergeCell ref="DU737:DY737"/>
    <mergeCell ref="DU735:DY735"/>
    <mergeCell ref="DO737:DS737"/>
    <mergeCell ref="DO738:DS738"/>
    <mergeCell ref="DE773:DI773"/>
    <mergeCell ref="CI751:CJ751"/>
    <mergeCell ref="CP735:CT735"/>
    <mergeCell ref="CG741:CH741"/>
    <mergeCell ref="CI741:CJ741"/>
    <mergeCell ref="CK744:CL744"/>
    <mergeCell ref="CM744:CN744"/>
    <mergeCell ref="CM738:CN738"/>
    <mergeCell ref="CU736:CY736"/>
    <mergeCell ref="CP787:CT787"/>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R649:EV649"/>
    <mergeCell ref="EM654:EQ654"/>
    <mergeCell ref="ER654:EV654"/>
    <mergeCell ref="ER662:EV662"/>
    <mergeCell ref="EH657:EL657"/>
    <mergeCell ref="EM657:EQ657"/>
    <mergeCell ref="ER655:EV655"/>
    <mergeCell ref="ER648:EV648"/>
    <mergeCell ref="ER647:EV647"/>
    <mergeCell ref="EH652:EL652"/>
    <mergeCell ref="EM662:EQ662"/>
    <mergeCell ref="EC657:EG657"/>
    <mergeCell ref="CU740:CY740"/>
    <mergeCell ref="DE747:DI747"/>
    <mergeCell ref="CP744:CT744"/>
    <mergeCell ref="DJ744:DN744"/>
    <mergeCell ref="EW657:FA657"/>
    <mergeCell ref="EH659:EL659"/>
    <mergeCell ref="AE564:AH564"/>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DE776:DI776"/>
    <mergeCell ref="DJ746:DN746"/>
    <mergeCell ref="DO746:DS746"/>
    <mergeCell ref="CZ746:DD746"/>
    <mergeCell ref="DE744:DI744"/>
    <mergeCell ref="EJ724:EN724"/>
    <mergeCell ref="EO723:ES723"/>
    <mergeCell ref="DU726:DY726"/>
    <mergeCell ref="EO721:ES721"/>
    <mergeCell ref="DZ717:ED717"/>
    <mergeCell ref="EJ717:EN717"/>
    <mergeCell ref="EJ739:EN739"/>
    <mergeCell ref="AK751:AO751"/>
    <mergeCell ref="DZ738:ED738"/>
    <mergeCell ref="AK738:AO738"/>
    <mergeCell ref="AH732:AJ732"/>
    <mergeCell ref="T737:W737"/>
    <mergeCell ref="T733:W733"/>
    <mergeCell ref="O734:S734"/>
    <mergeCell ref="AC734:AG734"/>
    <mergeCell ref="AC735:AG735"/>
    <mergeCell ref="EH647:EL647"/>
    <mergeCell ref="EM647:EQ647"/>
    <mergeCell ref="DX648:EB648"/>
    <mergeCell ref="DX651:EB651"/>
    <mergeCell ref="EC651:EG651"/>
    <mergeCell ref="EM648:EQ648"/>
    <mergeCell ref="EC647:EG647"/>
    <mergeCell ref="Z670:AK670"/>
    <mergeCell ref="EJ721:EN721"/>
    <mergeCell ref="N665:O665"/>
    <mergeCell ref="X730:AB730"/>
    <mergeCell ref="X731:AB731"/>
    <mergeCell ref="AC736:AG736"/>
    <mergeCell ref="DU721:DY721"/>
    <mergeCell ref="EE729:EI729"/>
    <mergeCell ref="EO731:ES731"/>
    <mergeCell ref="EM669:EQ669"/>
    <mergeCell ref="DX667:EB667"/>
    <mergeCell ref="EH666:EL666"/>
    <mergeCell ref="DU733:DY733"/>
    <mergeCell ref="EC665:EG665"/>
    <mergeCell ref="EH665:EL665"/>
    <mergeCell ref="T727:W727"/>
    <mergeCell ref="DJ719:DN719"/>
    <mergeCell ref="AC722:AG722"/>
    <mergeCell ref="DX656:EB656"/>
    <mergeCell ref="EC656:EG656"/>
    <mergeCell ref="EH656:EL656"/>
    <mergeCell ref="EC661:EG661"/>
    <mergeCell ref="EH661:EL661"/>
    <mergeCell ref="CP794:CT794"/>
    <mergeCell ref="CP795:CT795"/>
    <mergeCell ref="CK734:CL734"/>
    <mergeCell ref="CM734:CN734"/>
    <mergeCell ref="AK750:AO750"/>
    <mergeCell ref="AK748:AO748"/>
    <mergeCell ref="B743:F743"/>
    <mergeCell ref="AA598:AK598"/>
    <mergeCell ref="C766:AR768"/>
    <mergeCell ref="B737:F737"/>
    <mergeCell ref="B735:F735"/>
    <mergeCell ref="B738:F738"/>
    <mergeCell ref="K749:N749"/>
    <mergeCell ref="O749:S749"/>
    <mergeCell ref="X751:AB751"/>
    <mergeCell ref="K740:N740"/>
    <mergeCell ref="AC738:AG738"/>
    <mergeCell ref="AK731:AO731"/>
    <mergeCell ref="O737:S737"/>
    <mergeCell ref="AK727:AO727"/>
    <mergeCell ref="K724:N724"/>
    <mergeCell ref="G734:J734"/>
    <mergeCell ref="AC721:AG721"/>
    <mergeCell ref="G730:J730"/>
    <mergeCell ref="EE738:EI738"/>
    <mergeCell ref="EE726:EI726"/>
    <mergeCell ref="EJ726:EN726"/>
    <mergeCell ref="AK749:AO749"/>
    <mergeCell ref="CK739:CL739"/>
    <mergeCell ref="CM739:CN739"/>
    <mergeCell ref="CM740:CN740"/>
    <mergeCell ref="AO634:AS634"/>
    <mergeCell ref="AF635:AJ635"/>
    <mergeCell ref="AC630:AE630"/>
    <mergeCell ref="M565:P565"/>
    <mergeCell ref="T563:V563"/>
    <mergeCell ref="Z564:AD564"/>
    <mergeCell ref="Z565:AD565"/>
    <mergeCell ref="AC633:AE633"/>
    <mergeCell ref="T628:V628"/>
    <mergeCell ref="AK628:AN628"/>
    <mergeCell ref="AM564:AS564"/>
    <mergeCell ref="A69:AT70"/>
    <mergeCell ref="A72:AT73"/>
    <mergeCell ref="A544:AT545"/>
    <mergeCell ref="A480:AT481"/>
    <mergeCell ref="A351:AT352"/>
    <mergeCell ref="I392:N392"/>
    <mergeCell ref="M357:N357"/>
    <mergeCell ref="J385:U385"/>
    <mergeCell ref="Z593:AK593"/>
    <mergeCell ref="AK629:AN629"/>
    <mergeCell ref="C633:L633"/>
    <mergeCell ref="AI331:AK331"/>
    <mergeCell ref="Z624:AB626"/>
    <mergeCell ref="P613:R613"/>
    <mergeCell ref="W632:Y632"/>
    <mergeCell ref="Q627:S627"/>
    <mergeCell ref="Q628:S628"/>
    <mergeCell ref="Q629:S629"/>
    <mergeCell ref="P421:R421"/>
    <mergeCell ref="Z605:AE605"/>
    <mergeCell ref="Z609:AK609"/>
    <mergeCell ref="Z594:AK594"/>
    <mergeCell ref="AI561:AL561"/>
    <mergeCell ref="C634:L634"/>
    <mergeCell ref="M624:P626"/>
    <mergeCell ref="AM563:AS563"/>
    <mergeCell ref="AO627:AS627"/>
    <mergeCell ref="G601:R601"/>
    <mergeCell ref="W634:Y634"/>
    <mergeCell ref="M630:P630"/>
    <mergeCell ref="M631:P631"/>
    <mergeCell ref="M632:P632"/>
    <mergeCell ref="Q633:S633"/>
    <mergeCell ref="AC634:AE634"/>
    <mergeCell ref="Q631:S631"/>
    <mergeCell ref="G611:R611"/>
    <mergeCell ref="Z602:AK602"/>
    <mergeCell ref="Z612:AK612"/>
    <mergeCell ref="AF631:AJ631"/>
    <mergeCell ref="AK633:AN633"/>
    <mergeCell ref="AF632:AJ632"/>
    <mergeCell ref="AC631:AE631"/>
    <mergeCell ref="AM562:AS562"/>
    <mergeCell ref="Q624:S626"/>
    <mergeCell ref="AF633:AJ633"/>
    <mergeCell ref="M563:P563"/>
    <mergeCell ref="G580:R580"/>
    <mergeCell ref="G612:R612"/>
    <mergeCell ref="G581:L58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G729:J729"/>
    <mergeCell ref="B726:F726"/>
    <mergeCell ref="AC733:AG733"/>
    <mergeCell ref="H688:R688"/>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AH719:AJ719"/>
    <mergeCell ref="AC727:AG727"/>
    <mergeCell ref="AC728:AG728"/>
    <mergeCell ref="AC732:AG732"/>
    <mergeCell ref="X733:AB733"/>
    <mergeCell ref="G732:J732"/>
    <mergeCell ref="AH735:AJ735"/>
    <mergeCell ref="X734:AB734"/>
    <mergeCell ref="AK736:AO736"/>
    <mergeCell ref="AC724:AG724"/>
    <mergeCell ref="AC729:AG729"/>
    <mergeCell ref="O728:S728"/>
    <mergeCell ref="K730:N730"/>
    <mergeCell ref="AC731:AG731"/>
    <mergeCell ref="K725:N725"/>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3:D1083"/>
    <mergeCell ref="C1084:D1084"/>
    <mergeCell ref="C1085:D1085"/>
    <mergeCell ref="C1087:D1087"/>
    <mergeCell ref="C1088:D108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9:D1089"/>
    <mergeCell ref="C1090:D1090"/>
    <mergeCell ref="C1091:D1091"/>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40" zoomScaleNormal="140" workbookViewId="0">
      <pane ySplit="2" topLeftCell="A98" activePane="bottomLeft" state="frozen"/>
      <selection sqref="A1:AL2"/>
      <selection pane="bottomLeft" activeCell="T112" sqref="T11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 Perm Loan</v>
      </c>
      <c r="G2" s="139" t="str">
        <f>Application!B628&amp;Application!C628</f>
        <v>2)Santa Clara County</v>
      </c>
      <c r="H2" s="139" t="str">
        <f>Application!B629&amp;Application!C629</f>
        <v>3)Santa Clara County - Accrued Deferred Interest</v>
      </c>
      <c r="I2" s="139" t="str">
        <f>Application!B630&amp;Application!C630</f>
        <v>4)City of Morgan Hill</v>
      </c>
      <c r="J2" s="139" t="str">
        <f>Application!B631&amp;Application!C631</f>
        <v>5)City of Morgan Hill - Accrued Derferred Interest</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 t="shared" ref="E4:E7" si="0">C4-SUM(F4:Q4)</f>
        <v>1</v>
      </c>
      <c r="F4" s="147"/>
      <c r="G4" s="147"/>
      <c r="H4" s="147"/>
      <c r="I4" s="147"/>
      <c r="J4" s="147"/>
      <c r="K4" s="147"/>
      <c r="L4" s="147"/>
      <c r="M4" s="147"/>
      <c r="N4" s="147"/>
      <c r="O4" s="147"/>
      <c r="P4" s="147"/>
      <c r="Q4" s="147"/>
      <c r="R4" s="517">
        <f>SUM(E4:Q4)</f>
        <v>1</v>
      </c>
      <c r="S4" s="148"/>
      <c r="T4" s="148"/>
      <c r="U4" s="143"/>
    </row>
    <row r="5" spans="1:21" s="144" customFormat="1">
      <c r="A5" s="145" t="s">
        <v>28</v>
      </c>
      <c r="B5" s="146">
        <f>SUM(C5+D5)</f>
        <v>740653</v>
      </c>
      <c r="C5" s="147">
        <v>740653</v>
      </c>
      <c r="D5" s="147"/>
      <c r="E5" s="147">
        <f t="shared" si="0"/>
        <v>740653</v>
      </c>
      <c r="F5" s="147"/>
      <c r="G5" s="147"/>
      <c r="H5" s="147"/>
      <c r="I5" s="147"/>
      <c r="J5" s="147"/>
      <c r="K5" s="147"/>
      <c r="L5" s="147"/>
      <c r="M5" s="147"/>
      <c r="N5" s="147"/>
      <c r="O5" s="147"/>
      <c r="P5" s="147"/>
      <c r="Q5" s="147"/>
      <c r="R5" s="517">
        <f>SUM(E5:Q5)</f>
        <v>740653</v>
      </c>
      <c r="S5" s="148"/>
      <c r="T5" s="148"/>
      <c r="U5" s="143"/>
    </row>
    <row r="6" spans="1:21" s="144" customFormat="1">
      <c r="A6" s="145" t="s">
        <v>29</v>
      </c>
      <c r="B6" s="146">
        <f>SUM(C6+D6)</f>
        <v>70707</v>
      </c>
      <c r="C6" s="147">
        <v>70707</v>
      </c>
      <c r="D6" s="147"/>
      <c r="E6" s="147">
        <f t="shared" si="0"/>
        <v>70707</v>
      </c>
      <c r="F6" s="147"/>
      <c r="G6" s="147"/>
      <c r="H6" s="147"/>
      <c r="I6" s="147"/>
      <c r="J6" s="147"/>
      <c r="K6" s="147"/>
      <c r="L6" s="147"/>
      <c r="M6" s="147"/>
      <c r="N6" s="147"/>
      <c r="O6" s="147"/>
      <c r="P6" s="147"/>
      <c r="Q6" s="147"/>
      <c r="R6" s="517">
        <f>SUM(E6:Q6)</f>
        <v>70707</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593</v>
      </c>
      <c r="B8" s="146">
        <f>SUM(C8:D8)</f>
        <v>811361</v>
      </c>
      <c r="C8" s="146">
        <f t="shared" ref="C8:Q8" si="1">SUM(C4:C7)</f>
        <v>811361</v>
      </c>
      <c r="D8" s="146">
        <f t="shared" si="1"/>
        <v>0</v>
      </c>
      <c r="E8" s="146">
        <f t="shared" si="1"/>
        <v>811361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811361</v>
      </c>
      <c r="S8" s="148"/>
      <c r="T8" s="148"/>
      <c r="U8" s="143"/>
    </row>
    <row r="9" spans="1:21" s="144" customFormat="1">
      <c r="A9" s="145" t="s">
        <v>594</v>
      </c>
      <c r="B9" s="146">
        <f>SUM(C9+D9)</f>
        <v>0</v>
      </c>
      <c r="C9" s="147"/>
      <c r="D9" s="147"/>
      <c r="E9" s="147">
        <f t="shared" ref="E9:E10" si="2">C9-SUM(F9:Q9)</f>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947713</v>
      </c>
      <c r="C10" s="147">
        <v>947713</v>
      </c>
      <c r="D10" s="147"/>
      <c r="E10" s="147">
        <f t="shared" si="2"/>
        <v>947713</v>
      </c>
      <c r="F10" s="147"/>
      <c r="G10" s="147"/>
      <c r="H10" s="147"/>
      <c r="I10" s="147"/>
      <c r="J10" s="147"/>
      <c r="K10" s="147"/>
      <c r="L10" s="147"/>
      <c r="M10" s="147"/>
      <c r="N10" s="147"/>
      <c r="O10" s="147"/>
      <c r="P10" s="147"/>
      <c r="Q10" s="147"/>
      <c r="R10" s="517">
        <f>SUM(E10:Q10)</f>
        <v>947713</v>
      </c>
      <c r="S10" s="147">
        <v>760213</v>
      </c>
      <c r="T10" s="147"/>
      <c r="U10" s="143"/>
    </row>
    <row r="11" spans="1:21" s="144" customFormat="1">
      <c r="A11" s="149" t="s">
        <v>596</v>
      </c>
      <c r="B11" s="146">
        <f>SUM(C11:D11)</f>
        <v>947713</v>
      </c>
      <c r="C11" s="146">
        <f t="shared" ref="C11:Q11" si="3">SUM(C9:C10)</f>
        <v>947713</v>
      </c>
      <c r="D11" s="146">
        <f t="shared" si="3"/>
        <v>0</v>
      </c>
      <c r="E11" s="146">
        <f t="shared" si="3"/>
        <v>947713</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947713</v>
      </c>
      <c r="S11" s="148"/>
      <c r="T11" s="150">
        <f>SUM(T9:T10)</f>
        <v>0</v>
      </c>
      <c r="U11" s="143"/>
    </row>
    <row r="12" spans="1:21" s="144" customFormat="1">
      <c r="A12" s="149" t="s">
        <v>84</v>
      </c>
      <c r="B12" s="146">
        <f t="shared" ref="B12:Q12" si="4">SUM(B8+B11)</f>
        <v>1759074</v>
      </c>
      <c r="C12" s="146">
        <f t="shared" si="4"/>
        <v>1759074</v>
      </c>
      <c r="D12" s="146">
        <f t="shared" si="4"/>
        <v>0</v>
      </c>
      <c r="E12" s="146">
        <f t="shared" si="4"/>
        <v>1759074</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1759074</v>
      </c>
      <c r="S12" s="148"/>
      <c r="T12" s="148"/>
      <c r="U12" s="143"/>
    </row>
    <row r="13" spans="1:21" s="144" customFormat="1">
      <c r="A13" s="288" t="s">
        <v>902</v>
      </c>
      <c r="B13" s="146">
        <f>SUM(C13+D13)</f>
        <v>480182</v>
      </c>
      <c r="C13" s="147">
        <f>10382+469800</f>
        <v>480182</v>
      </c>
      <c r="D13" s="147"/>
      <c r="E13" s="147">
        <f t="shared" ref="E13:E15" si="5">C13-SUM(F13:Q13)</f>
        <v>480182</v>
      </c>
      <c r="F13" s="147"/>
      <c r="G13" s="147"/>
      <c r="H13" s="147"/>
      <c r="I13" s="147"/>
      <c r="J13" s="147"/>
      <c r="K13" s="147"/>
      <c r="L13" s="147"/>
      <c r="M13" s="147"/>
      <c r="N13" s="147"/>
      <c r="O13" s="147"/>
      <c r="P13" s="147"/>
      <c r="Q13" s="147"/>
      <c r="R13" s="517">
        <f>SUM(E13:Q13)</f>
        <v>480182</v>
      </c>
      <c r="S13" s="147">
        <v>306229</v>
      </c>
      <c r="T13" s="147"/>
      <c r="U13" s="143"/>
    </row>
    <row r="14" spans="1:21" s="144" customFormat="1" ht="24">
      <c r="A14" s="289" t="s">
        <v>1643</v>
      </c>
      <c r="B14" s="146">
        <f>SUM(C14+D14)</f>
        <v>0</v>
      </c>
      <c r="C14" s="147"/>
      <c r="D14" s="147"/>
      <c r="E14" s="147">
        <f t="shared" si="5"/>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7">
        <f t="shared" si="8"/>
        <v>0</v>
      </c>
      <c r="S23" s="147"/>
      <c r="T23" s="147"/>
      <c r="U23" s="143"/>
    </row>
    <row r="24" spans="1:21" s="144" customFormat="1">
      <c r="A24" s="509" t="s">
        <v>1640</v>
      </c>
      <c r="B24" s="146">
        <f t="shared" si="6"/>
        <v>0</v>
      </c>
      <c r="C24" s="147"/>
      <c r="D24" s="147"/>
      <c r="E24" s="147">
        <f t="shared" si="7"/>
        <v>0</v>
      </c>
      <c r="F24" s="147"/>
      <c r="G24" s="147"/>
      <c r="H24" s="147"/>
      <c r="I24" s="147"/>
      <c r="J24" s="147"/>
      <c r="K24" s="147"/>
      <c r="L24" s="147"/>
      <c r="M24" s="147"/>
      <c r="N24" s="147"/>
      <c r="O24" s="147"/>
      <c r="P24" s="147"/>
      <c r="Q24" s="147"/>
      <c r="R24" s="517">
        <f t="shared" si="8"/>
        <v>0</v>
      </c>
      <c r="S24" s="147"/>
      <c r="T24" s="147"/>
      <c r="U24" s="143"/>
    </row>
    <row r="25" spans="1:21" s="144" customFormat="1">
      <c r="A25" s="1151" t="s">
        <v>34</v>
      </c>
      <c r="B25" s="146">
        <f t="shared" si="6"/>
        <v>0</v>
      </c>
      <c r="C25" s="147"/>
      <c r="D25" s="147"/>
      <c r="E25" s="147">
        <f t="shared" si="7"/>
        <v>0</v>
      </c>
      <c r="F25" s="147"/>
      <c r="G25" s="147"/>
      <c r="H25" s="147"/>
      <c r="I25" s="147"/>
      <c r="J25" s="147"/>
      <c r="K25" s="147"/>
      <c r="L25" s="147"/>
      <c r="M25" s="147"/>
      <c r="N25" s="147"/>
      <c r="O25" s="147"/>
      <c r="P25" s="147"/>
      <c r="Q25" s="147"/>
      <c r="R25" s="517">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7">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2475786</v>
      </c>
      <c r="C29" s="147">
        <v>2475786</v>
      </c>
      <c r="D29" s="147"/>
      <c r="E29" s="147">
        <f t="shared" ref="E29:E37" si="11">C29-SUM(F29:Q29)</f>
        <v>2475786</v>
      </c>
      <c r="F29" s="147"/>
      <c r="G29" s="147"/>
      <c r="H29" s="147"/>
      <c r="I29" s="147"/>
      <c r="J29" s="147"/>
      <c r="K29" s="147"/>
      <c r="L29" s="147"/>
      <c r="M29" s="147"/>
      <c r="N29" s="147"/>
      <c r="O29" s="147"/>
      <c r="P29" s="147"/>
      <c r="Q29" s="147"/>
      <c r="R29" s="517">
        <f t="shared" ref="R29:R37" si="12">SUM(E29:Q29)</f>
        <v>2475786</v>
      </c>
      <c r="S29" s="147">
        <f>C29</f>
        <v>2475786</v>
      </c>
      <c r="T29" s="147"/>
      <c r="U29" s="143"/>
    </row>
    <row r="30" spans="1:21" s="144" customFormat="1">
      <c r="A30" s="145" t="s">
        <v>599</v>
      </c>
      <c r="B30" s="146">
        <f t="shared" si="10"/>
        <v>31760626</v>
      </c>
      <c r="C30" s="147">
        <f>31165626+595000</f>
        <v>31760626</v>
      </c>
      <c r="D30" s="147"/>
      <c r="E30" s="147">
        <f t="shared" si="11"/>
        <v>595000</v>
      </c>
      <c r="F30" s="147">
        <v>8315626</v>
      </c>
      <c r="G30" s="147">
        <v>22250000</v>
      </c>
      <c r="H30" s="147"/>
      <c r="I30" s="147">
        <v>600000</v>
      </c>
      <c r="J30" s="147"/>
      <c r="K30" s="147"/>
      <c r="L30" s="147"/>
      <c r="M30" s="147"/>
      <c r="N30" s="147"/>
      <c r="O30" s="147"/>
      <c r="P30" s="147"/>
      <c r="Q30" s="147"/>
      <c r="R30" s="517">
        <f t="shared" si="12"/>
        <v>31760626</v>
      </c>
      <c r="S30" s="147">
        <f>C30</f>
        <v>31760626</v>
      </c>
      <c r="T30" s="147"/>
      <c r="U30" s="143"/>
    </row>
    <row r="31" spans="1:21" s="144" customFormat="1">
      <c r="A31" s="145" t="s">
        <v>600</v>
      </c>
      <c r="B31" s="146">
        <f t="shared" si="10"/>
        <v>1735610</v>
      </c>
      <c r="C31" s="147">
        <f>1660722+74888</f>
        <v>1735610</v>
      </c>
      <c r="D31" s="147"/>
      <c r="E31" s="147">
        <f t="shared" si="11"/>
        <v>1735610</v>
      </c>
      <c r="F31" s="147"/>
      <c r="G31" s="147"/>
      <c r="H31" s="147"/>
      <c r="I31" s="147"/>
      <c r="J31" s="147"/>
      <c r="K31" s="147"/>
      <c r="L31" s="147"/>
      <c r="M31" s="147"/>
      <c r="N31" s="147"/>
      <c r="O31" s="147"/>
      <c r="P31" s="147"/>
      <c r="Q31" s="147"/>
      <c r="R31" s="517">
        <f t="shared" si="12"/>
        <v>1735610</v>
      </c>
      <c r="S31" s="147">
        <f t="shared" ref="S31:S37" si="13">C31</f>
        <v>1735610</v>
      </c>
      <c r="T31" s="147"/>
      <c r="U31" s="143"/>
    </row>
    <row r="32" spans="1:21" s="144" customFormat="1">
      <c r="A32" s="145" t="s">
        <v>137</v>
      </c>
      <c r="B32" s="146">
        <f t="shared" si="10"/>
        <v>713283</v>
      </c>
      <c r="C32" s="147">
        <v>713283</v>
      </c>
      <c r="D32" s="147"/>
      <c r="E32" s="147">
        <f t="shared" si="11"/>
        <v>713283</v>
      </c>
      <c r="F32" s="147"/>
      <c r="G32" s="147"/>
      <c r="H32" s="147"/>
      <c r="I32" s="147"/>
      <c r="J32" s="147"/>
      <c r="K32" s="147"/>
      <c r="L32" s="147"/>
      <c r="M32" s="147"/>
      <c r="N32" s="147"/>
      <c r="O32" s="147"/>
      <c r="P32" s="147"/>
      <c r="Q32" s="147"/>
      <c r="R32" s="517">
        <f t="shared" si="12"/>
        <v>713283</v>
      </c>
      <c r="S32" s="147">
        <f t="shared" si="13"/>
        <v>713283</v>
      </c>
      <c r="T32" s="147"/>
      <c r="U32" s="143"/>
    </row>
    <row r="33" spans="1:21" s="144" customFormat="1">
      <c r="A33" s="145" t="s">
        <v>138</v>
      </c>
      <c r="B33" s="146">
        <f t="shared" si="10"/>
        <v>754315</v>
      </c>
      <c r="C33" s="147">
        <v>754315</v>
      </c>
      <c r="D33" s="147"/>
      <c r="E33" s="147">
        <f t="shared" si="11"/>
        <v>754315</v>
      </c>
      <c r="F33" s="147"/>
      <c r="G33" s="147"/>
      <c r="H33" s="147"/>
      <c r="I33" s="147"/>
      <c r="J33" s="147"/>
      <c r="K33" s="147"/>
      <c r="L33" s="147"/>
      <c r="M33" s="147"/>
      <c r="N33" s="147"/>
      <c r="O33" s="147"/>
      <c r="P33" s="147"/>
      <c r="Q33" s="147"/>
      <c r="R33" s="517">
        <f t="shared" si="12"/>
        <v>754315</v>
      </c>
      <c r="S33" s="147">
        <f t="shared" si="13"/>
        <v>754315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7">
        <f t="shared" si="12"/>
        <v>0</v>
      </c>
      <c r="S34" s="147">
        <f t="shared" si="13"/>
        <v>0</v>
      </c>
      <c r="T34" s="147"/>
      <c r="U34" s="143"/>
    </row>
    <row r="35" spans="1:21" s="144" customFormat="1">
      <c r="A35" s="145" t="s">
        <v>140</v>
      </c>
      <c r="B35" s="146">
        <f t="shared" si="10"/>
        <v>837828</v>
      </c>
      <c r="C35" s="147">
        <v>837828</v>
      </c>
      <c r="D35" s="147"/>
      <c r="E35" s="147">
        <f t="shared" si="11"/>
        <v>837828</v>
      </c>
      <c r="F35" s="147"/>
      <c r="G35" s="147"/>
      <c r="H35" s="147"/>
      <c r="I35" s="147"/>
      <c r="J35" s="147"/>
      <c r="K35" s="147"/>
      <c r="L35" s="147"/>
      <c r="M35" s="147"/>
      <c r="N35" s="147"/>
      <c r="O35" s="147"/>
      <c r="P35" s="147"/>
      <c r="Q35" s="147"/>
      <c r="R35" s="517">
        <f t="shared" si="12"/>
        <v>837828</v>
      </c>
      <c r="S35" s="147">
        <f t="shared" si="13"/>
        <v>837828</v>
      </c>
      <c r="T35" s="147"/>
      <c r="U35" s="143"/>
    </row>
    <row r="36" spans="1:21" s="144" customFormat="1">
      <c r="A36" s="284" t="s">
        <v>1640</v>
      </c>
      <c r="B36" s="146">
        <f t="shared" si="10"/>
        <v>246000</v>
      </c>
      <c r="C36" s="147">
        <v>246000</v>
      </c>
      <c r="D36" s="147"/>
      <c r="E36" s="147">
        <f t="shared" si="11"/>
        <v>246000</v>
      </c>
      <c r="F36" s="147"/>
      <c r="G36" s="147"/>
      <c r="H36" s="147"/>
      <c r="I36" s="147"/>
      <c r="J36" s="147"/>
      <c r="K36" s="147"/>
      <c r="L36" s="147"/>
      <c r="M36" s="147"/>
      <c r="N36" s="147"/>
      <c r="O36" s="147"/>
      <c r="P36" s="147"/>
      <c r="Q36" s="147"/>
      <c r="R36" s="517">
        <f t="shared" si="12"/>
        <v>246000</v>
      </c>
      <c r="S36" s="147">
        <f t="shared" si="13"/>
        <v>246000</v>
      </c>
      <c r="T36" s="147"/>
      <c r="U36" s="143"/>
    </row>
    <row r="37" spans="1:21" s="144" customFormat="1">
      <c r="A37" s="1151" t="s">
        <v>169</v>
      </c>
      <c r="B37" s="146">
        <f t="shared" si="10"/>
        <v>0</v>
      </c>
      <c r="C37" s="147">
        <v>0</v>
      </c>
      <c r="D37" s="147"/>
      <c r="E37" s="147">
        <f t="shared" si="11"/>
        <v>0</v>
      </c>
      <c r="F37" s="147"/>
      <c r="G37" s="147"/>
      <c r="H37" s="147"/>
      <c r="I37" s="147"/>
      <c r="J37" s="147"/>
      <c r="K37" s="147"/>
      <c r="L37" s="147"/>
      <c r="M37" s="147"/>
      <c r="N37" s="147"/>
      <c r="O37" s="147"/>
      <c r="P37" s="147"/>
      <c r="Q37" s="147"/>
      <c r="R37" s="517">
        <f t="shared" si="12"/>
        <v>0</v>
      </c>
      <c r="S37" s="147">
        <f t="shared" si="13"/>
        <v>0</v>
      </c>
      <c r="T37" s="147"/>
      <c r="U37" s="143"/>
    </row>
    <row r="38" spans="1:21" s="144" customFormat="1">
      <c r="A38" s="149" t="s">
        <v>143</v>
      </c>
      <c r="B38" s="146">
        <f t="shared" si="10"/>
        <v>38523448</v>
      </c>
      <c r="C38" s="146">
        <f>SUM(C29:C37)</f>
        <v>38523448</v>
      </c>
      <c r="D38" s="146">
        <f t="shared" ref="D38:Q38" si="14">SUM(D29:D37)</f>
        <v>0</v>
      </c>
      <c r="E38" s="146">
        <f t="shared" si="14"/>
        <v>7357822</v>
      </c>
      <c r="F38" s="146">
        <f t="shared" si="14"/>
        <v>8315626</v>
      </c>
      <c r="G38" s="146">
        <f t="shared" si="14"/>
        <v>22250000</v>
      </c>
      <c r="H38" s="146">
        <f t="shared" si="14"/>
        <v>0</v>
      </c>
      <c r="I38" s="146">
        <f t="shared" si="14"/>
        <v>600000</v>
      </c>
      <c r="J38" s="146">
        <f t="shared" si="14"/>
        <v>0</v>
      </c>
      <c r="K38" s="146">
        <f t="shared" si="14"/>
        <v>0</v>
      </c>
      <c r="L38" s="146">
        <f t="shared" si="14"/>
        <v>0</v>
      </c>
      <c r="M38" s="146">
        <f t="shared" si="14"/>
        <v>0</v>
      </c>
      <c r="N38" s="146">
        <f t="shared" si="14"/>
        <v>0</v>
      </c>
      <c r="O38" s="146">
        <f t="shared" si="14"/>
        <v>0</v>
      </c>
      <c r="P38" s="146">
        <f t="shared" si="14"/>
        <v>0</v>
      </c>
      <c r="Q38" s="146">
        <f t="shared" si="14"/>
        <v>0</v>
      </c>
      <c r="R38" s="343">
        <f>SUM(R29:R37)</f>
        <v>38523448</v>
      </c>
      <c r="S38" s="150">
        <f>SUM(S29:S37)</f>
        <v>38523448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3641181</v>
      </c>
      <c r="C40" s="147">
        <v>3641181</v>
      </c>
      <c r="D40" s="147"/>
      <c r="E40" s="147">
        <f t="shared" ref="E40:E41" si="15">C40-SUM(F40:Q40)</f>
        <v>3641181</v>
      </c>
      <c r="F40" s="147"/>
      <c r="G40" s="147"/>
      <c r="H40" s="147"/>
      <c r="I40" s="147"/>
      <c r="J40" s="147"/>
      <c r="K40" s="147"/>
      <c r="L40" s="147"/>
      <c r="M40" s="147"/>
      <c r="N40" s="147"/>
      <c r="O40" s="147"/>
      <c r="P40" s="147"/>
      <c r="Q40" s="147"/>
      <c r="R40" s="517">
        <f>SUM(E40:Q40)</f>
        <v>3641181</v>
      </c>
      <c r="S40" s="147">
        <f>C40</f>
        <v>3641181</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3641181</v>
      </c>
      <c r="C42" s="146">
        <f>SUM(C39:C41)</f>
        <v>3641181</v>
      </c>
      <c r="D42" s="146">
        <f>SUM(D39:D41)</f>
        <v>0</v>
      </c>
      <c r="E42" s="146">
        <f t="shared" ref="E42:T42" si="16">SUM(E40:E41)</f>
        <v>3641181</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3641181</v>
      </c>
      <c r="S42" s="150">
        <f t="shared" si="16"/>
        <v>3641181</v>
      </c>
      <c r="T42" s="150">
        <f t="shared" si="16"/>
        <v>0</v>
      </c>
      <c r="U42" s="143"/>
    </row>
    <row r="43" spans="1:21" s="144" customFormat="1">
      <c r="A43" s="149" t="s">
        <v>148</v>
      </c>
      <c r="B43" s="146">
        <f>SUM(C43:D43)</f>
        <v>290978</v>
      </c>
      <c r="C43" s="147">
        <f>230978+60000</f>
        <v>290978</v>
      </c>
      <c r="D43" s="147"/>
      <c r="E43" s="147">
        <f>C43-SUM(F43:Q43)</f>
        <v>290978</v>
      </c>
      <c r="F43" s="147"/>
      <c r="G43" s="147"/>
      <c r="H43" s="147"/>
      <c r="I43" s="147"/>
      <c r="J43" s="147"/>
      <c r="K43" s="147"/>
      <c r="L43" s="147"/>
      <c r="M43" s="147"/>
      <c r="N43" s="147"/>
      <c r="O43" s="147"/>
      <c r="P43" s="147"/>
      <c r="Q43" s="147"/>
      <c r="R43" s="517">
        <f>SUM(E43:Q43)</f>
        <v>290978</v>
      </c>
      <c r="S43" s="147">
        <f>C43</f>
        <v>290978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3954967</v>
      </c>
      <c r="C45" s="147">
        <f>3788901+166066</f>
        <v>3954967</v>
      </c>
      <c r="D45" s="147"/>
      <c r="E45" s="147">
        <f t="shared" ref="E45:E53" si="18">C45-SUM(F45:Q45)</f>
        <v>3954967</v>
      </c>
      <c r="F45" s="147"/>
      <c r="G45" s="147"/>
      <c r="H45" s="147"/>
      <c r="I45" s="147"/>
      <c r="J45" s="147"/>
      <c r="K45" s="147"/>
      <c r="L45" s="147"/>
      <c r="M45" s="147"/>
      <c r="N45" s="147"/>
      <c r="O45" s="147"/>
      <c r="P45" s="147"/>
      <c r="Q45" s="147"/>
      <c r="R45" s="517">
        <f t="shared" ref="R45:R53" si="19">SUM(E45:Q45)</f>
        <v>3954967</v>
      </c>
      <c r="S45" s="147">
        <v>1571008</v>
      </c>
      <c r="T45" s="147"/>
      <c r="U45" s="143"/>
    </row>
    <row r="46" spans="1:21" s="144" customFormat="1">
      <c r="A46" s="145" t="s">
        <v>151</v>
      </c>
      <c r="B46" s="146">
        <f t="shared" si="17"/>
        <v>398523</v>
      </c>
      <c r="C46" s="147">
        <f>348023+50500</f>
        <v>398523</v>
      </c>
      <c r="D46" s="147"/>
      <c r="E46" s="147">
        <f t="shared" si="18"/>
        <v>398523</v>
      </c>
      <c r="F46" s="147"/>
      <c r="G46" s="147"/>
      <c r="H46" s="147"/>
      <c r="I46" s="147"/>
      <c r="J46" s="147"/>
      <c r="K46" s="147"/>
      <c r="L46" s="147"/>
      <c r="M46" s="147"/>
      <c r="N46" s="147"/>
      <c r="O46" s="147"/>
      <c r="P46" s="147"/>
      <c r="Q46" s="147"/>
      <c r="R46" s="517">
        <f t="shared" si="19"/>
        <v>398523</v>
      </c>
      <c r="S46" s="147">
        <f>138243+20060</f>
        <v>158303</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7">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7">
        <f t="shared" si="19"/>
        <v>0</v>
      </c>
      <c r="S48" s="147"/>
      <c r="T48" s="147"/>
      <c r="U48" s="143"/>
    </row>
    <row r="49" spans="1:21" s="144" customFormat="1">
      <c r="A49" s="145" t="s">
        <v>57</v>
      </c>
      <c r="B49" s="146">
        <f t="shared" si="17"/>
        <v>187136</v>
      </c>
      <c r="C49" s="147">
        <f>60000+2500+54901+52203+12532+5000</f>
        <v>187136</v>
      </c>
      <c r="D49" s="147"/>
      <c r="E49" s="147">
        <f t="shared" si="18"/>
        <v>187136</v>
      </c>
      <c r="F49" s="147"/>
      <c r="G49" s="147"/>
      <c r="H49" s="147"/>
      <c r="I49" s="147"/>
      <c r="J49" s="147"/>
      <c r="K49" s="147"/>
      <c r="L49" s="147"/>
      <c r="M49" s="147"/>
      <c r="N49" s="147"/>
      <c r="O49" s="147"/>
      <c r="P49" s="147"/>
      <c r="Q49" s="147"/>
      <c r="R49" s="517">
        <f t="shared" si="19"/>
        <v>187136</v>
      </c>
      <c r="S49" s="147">
        <f>6735+281+6163+5860+1407+561</f>
        <v>21007</v>
      </c>
      <c r="T49" s="147"/>
      <c r="U49" s="143"/>
    </row>
    <row r="50" spans="1:21" s="144" customFormat="1">
      <c r="A50" s="145" t="s">
        <v>156</v>
      </c>
      <c r="B50" s="146">
        <f t="shared" si="17"/>
        <v>50000</v>
      </c>
      <c r="C50" s="147">
        <v>50000</v>
      </c>
      <c r="D50" s="147"/>
      <c r="E50" s="147">
        <f t="shared" si="18"/>
        <v>50000</v>
      </c>
      <c r="F50" s="147"/>
      <c r="G50" s="147"/>
      <c r="H50" s="147"/>
      <c r="I50" s="147"/>
      <c r="J50" s="147"/>
      <c r="K50" s="147"/>
      <c r="L50" s="147"/>
      <c r="M50" s="147"/>
      <c r="N50" s="147"/>
      <c r="O50" s="147"/>
      <c r="P50" s="147"/>
      <c r="Q50" s="147"/>
      <c r="R50" s="517">
        <f t="shared" si="19"/>
        <v>50000</v>
      </c>
      <c r="S50" s="147">
        <f>C50</f>
        <v>50000</v>
      </c>
      <c r="T50" s="147"/>
      <c r="U50" s="143"/>
    </row>
    <row r="51" spans="1:21" s="144" customFormat="1">
      <c r="A51" s="284" t="s">
        <v>154</v>
      </c>
      <c r="B51" s="146">
        <f t="shared" si="17"/>
        <v>0</v>
      </c>
      <c r="C51" s="147"/>
      <c r="D51" s="147"/>
      <c r="E51" s="147">
        <f t="shared" si="18"/>
        <v>0</v>
      </c>
      <c r="F51" s="147"/>
      <c r="G51" s="147"/>
      <c r="H51" s="147"/>
      <c r="I51" s="147"/>
      <c r="J51" s="147"/>
      <c r="K51" s="147"/>
      <c r="L51" s="147"/>
      <c r="M51" s="147"/>
      <c r="N51" s="147"/>
      <c r="O51" s="147"/>
      <c r="P51" s="147"/>
      <c r="Q51" s="147"/>
      <c r="R51" s="517">
        <f t="shared" si="19"/>
        <v>0</v>
      </c>
      <c r="S51" s="147"/>
      <c r="T51" s="147"/>
      <c r="U51" s="143"/>
    </row>
    <row r="52" spans="1:21" s="144" customFormat="1">
      <c r="A52" s="145" t="s">
        <v>155</v>
      </c>
      <c r="B52" s="146">
        <f t="shared" si="17"/>
        <v>1200000</v>
      </c>
      <c r="C52" s="147">
        <v>1200000</v>
      </c>
      <c r="D52" s="147"/>
      <c r="E52" s="147">
        <f t="shared" si="18"/>
        <v>1200000</v>
      </c>
      <c r="F52" s="147"/>
      <c r="G52" s="147"/>
      <c r="H52" s="147"/>
      <c r="I52" s="147"/>
      <c r="J52" s="147"/>
      <c r="K52" s="147"/>
      <c r="L52" s="147"/>
      <c r="M52" s="147"/>
      <c r="N52" s="147"/>
      <c r="O52" s="147"/>
      <c r="P52" s="147"/>
      <c r="Q52" s="147"/>
      <c r="R52" s="517">
        <f t="shared" si="19"/>
        <v>1200000</v>
      </c>
      <c r="S52" s="147">
        <f>C52</f>
        <v>1200000</v>
      </c>
      <c r="T52" s="147"/>
      <c r="U52" s="143"/>
    </row>
    <row r="53" spans="1:21" s="144" customFormat="1">
      <c r="A53" s="1151" t="s">
        <v>2720</v>
      </c>
      <c r="B53" s="146">
        <f t="shared" si="17"/>
        <v>1008061</v>
      </c>
      <c r="C53" s="147">
        <f>981591+26470</f>
        <v>1008061</v>
      </c>
      <c r="D53" s="147"/>
      <c r="E53" s="147">
        <f t="shared" si="18"/>
        <v>0</v>
      </c>
      <c r="F53" s="147"/>
      <c r="G53" s="147"/>
      <c r="H53" s="147">
        <v>981591</v>
      </c>
      <c r="I53" s="147"/>
      <c r="J53" s="147">
        <v>26470</v>
      </c>
      <c r="K53" s="147"/>
      <c r="L53" s="147"/>
      <c r="M53" s="147"/>
      <c r="N53" s="147"/>
      <c r="O53" s="147"/>
      <c r="P53" s="147"/>
      <c r="Q53" s="147"/>
      <c r="R53" s="517">
        <f t="shared" si="19"/>
        <v>1008061</v>
      </c>
      <c r="S53" s="147">
        <f>570270+15378</f>
        <v>585648</v>
      </c>
      <c r="T53" s="147"/>
      <c r="U53" s="143"/>
    </row>
    <row r="54" spans="1:21" s="153" customFormat="1">
      <c r="A54" s="149" t="s">
        <v>157</v>
      </c>
      <c r="B54" s="150">
        <f>SUM(C54:D54)</f>
        <v>6798687</v>
      </c>
      <c r="C54" s="150">
        <f t="shared" ref="C54:T54" si="20">SUM(C45:C53)</f>
        <v>6798687</v>
      </c>
      <c r="D54" s="150">
        <f t="shared" si="20"/>
        <v>0</v>
      </c>
      <c r="E54" s="150">
        <f t="shared" si="20"/>
        <v>5790626</v>
      </c>
      <c r="F54" s="150">
        <f t="shared" si="20"/>
        <v>0</v>
      </c>
      <c r="G54" s="150">
        <f t="shared" si="20"/>
        <v>0</v>
      </c>
      <c r="H54" s="150">
        <f t="shared" si="20"/>
        <v>981591</v>
      </c>
      <c r="I54" s="150">
        <f t="shared" si="20"/>
        <v>0</v>
      </c>
      <c r="J54" s="150">
        <f t="shared" si="20"/>
        <v>26470</v>
      </c>
      <c r="K54" s="150">
        <f t="shared" si="20"/>
        <v>0</v>
      </c>
      <c r="L54" s="150">
        <f t="shared" si="20"/>
        <v>0</v>
      </c>
      <c r="M54" s="150">
        <f t="shared" si="20"/>
        <v>0</v>
      </c>
      <c r="N54" s="150">
        <f t="shared" si="20"/>
        <v>0</v>
      </c>
      <c r="O54" s="150">
        <f t="shared" si="20"/>
        <v>0</v>
      </c>
      <c r="P54" s="150">
        <f t="shared" si="20"/>
        <v>0</v>
      </c>
      <c r="Q54" s="150">
        <f t="shared" si="20"/>
        <v>0</v>
      </c>
      <c r="R54" s="343">
        <f t="shared" si="20"/>
        <v>6798687</v>
      </c>
      <c r="S54" s="150">
        <f t="shared" si="20"/>
        <v>3585966</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99520</v>
      </c>
      <c r="C56" s="147">
        <v>99520</v>
      </c>
      <c r="D56" s="147"/>
      <c r="E56" s="147">
        <f t="shared" ref="E56:E61" si="22">C56-SUM(F56:Q56)</f>
        <v>99520</v>
      </c>
      <c r="F56" s="147"/>
      <c r="G56" s="147"/>
      <c r="H56" s="147"/>
      <c r="I56" s="147"/>
      <c r="J56" s="147"/>
      <c r="K56" s="147"/>
      <c r="L56" s="147"/>
      <c r="M56" s="147"/>
      <c r="N56" s="147"/>
      <c r="O56" s="147"/>
      <c r="P56" s="147"/>
      <c r="Q56" s="147"/>
      <c r="R56" s="517">
        <f t="shared" ref="R56:R61" si="23">SUM(E56:Q56)</f>
        <v>99520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7">
        <f t="shared" si="23"/>
        <v>0</v>
      </c>
      <c r="S57" s="194"/>
      <c r="T57" s="194"/>
      <c r="U57" s="191"/>
    </row>
    <row r="58" spans="1:21" s="144" customFormat="1">
      <c r="A58" s="145" t="s">
        <v>156</v>
      </c>
      <c r="B58" s="146">
        <f t="shared" si="21"/>
        <v>25859</v>
      </c>
      <c r="C58" s="147">
        <v>25859</v>
      </c>
      <c r="D58" s="147"/>
      <c r="E58" s="147">
        <f t="shared" si="22"/>
        <v>25859</v>
      </c>
      <c r="F58" s="147"/>
      <c r="G58" s="147"/>
      <c r="H58" s="147"/>
      <c r="I58" s="147"/>
      <c r="J58" s="147"/>
      <c r="K58" s="147"/>
      <c r="L58" s="147"/>
      <c r="M58" s="147"/>
      <c r="N58" s="147"/>
      <c r="O58" s="147"/>
      <c r="P58" s="147"/>
      <c r="Q58" s="147"/>
      <c r="R58" s="517">
        <f t="shared" si="23"/>
        <v>25859</v>
      </c>
      <c r="S58" s="148"/>
      <c r="T58" s="148"/>
      <c r="U58" s="143"/>
    </row>
    <row r="59" spans="1:21" s="144" customFormat="1">
      <c r="A59" s="284" t="s">
        <v>154</v>
      </c>
      <c r="B59" s="146">
        <f t="shared" si="21"/>
        <v>0</v>
      </c>
      <c r="C59" s="147"/>
      <c r="D59" s="147"/>
      <c r="E59" s="147">
        <f t="shared" si="22"/>
        <v>0</v>
      </c>
      <c r="F59" s="147"/>
      <c r="G59" s="147"/>
      <c r="H59" s="147"/>
      <c r="I59" s="147"/>
      <c r="J59" s="147"/>
      <c r="K59" s="147"/>
      <c r="L59" s="147"/>
      <c r="M59" s="147"/>
      <c r="N59" s="147"/>
      <c r="O59" s="147"/>
      <c r="P59" s="147"/>
      <c r="Q59" s="147"/>
      <c r="R59" s="517">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7">
        <f t="shared" si="23"/>
        <v>0</v>
      </c>
      <c r="S60" s="148"/>
      <c r="T60" s="148"/>
      <c r="U60" s="143"/>
    </row>
    <row r="61" spans="1:21" s="144" customFormat="1" ht="24">
      <c r="A61" s="1151" t="s">
        <v>2745</v>
      </c>
      <c r="B61" s="146">
        <f t="shared" si="21"/>
        <v>90000</v>
      </c>
      <c r="C61" s="147">
        <f>40000+20000+20000+10000</f>
        <v>90000</v>
      </c>
      <c r="D61" s="147"/>
      <c r="E61" s="147">
        <f t="shared" si="22"/>
        <v>90000</v>
      </c>
      <c r="F61" s="147"/>
      <c r="G61" s="147"/>
      <c r="H61" s="147"/>
      <c r="I61" s="147"/>
      <c r="J61" s="147"/>
      <c r="K61" s="147"/>
      <c r="L61" s="147"/>
      <c r="M61" s="147"/>
      <c r="N61" s="147"/>
      <c r="O61" s="147"/>
      <c r="P61" s="147"/>
      <c r="Q61" s="147"/>
      <c r="R61" s="517">
        <f t="shared" si="23"/>
        <v>90000</v>
      </c>
      <c r="S61" s="148"/>
      <c r="T61" s="148"/>
      <c r="U61" s="143"/>
    </row>
    <row r="62" spans="1:21" s="144" customFormat="1" ht="13.7" customHeight="1">
      <c r="A62" s="149" t="s">
        <v>300</v>
      </c>
      <c r="B62" s="146">
        <f>SUM(C62:D62)</f>
        <v>215379</v>
      </c>
      <c r="C62" s="146">
        <f t="shared" ref="C62:R62" si="24">SUM(C56:C61)</f>
        <v>215379</v>
      </c>
      <c r="D62" s="146">
        <f t="shared" si="24"/>
        <v>0</v>
      </c>
      <c r="E62" s="146">
        <f t="shared" si="24"/>
        <v>215379</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3">
        <f t="shared" si="24"/>
        <v>215379</v>
      </c>
      <c r="S62" s="148"/>
      <c r="T62" s="148"/>
      <c r="U62" s="143"/>
    </row>
    <row r="63" spans="1:21" s="144" customFormat="1">
      <c r="A63" s="154" t="s">
        <v>301</v>
      </c>
      <c r="B63" s="146">
        <f t="shared" ref="B63:R63" si="25">SUM(B8+B11+B13+B14+B15+B26+B27+B38+B42+B43+B54+B62)</f>
        <v>51708929</v>
      </c>
      <c r="C63" s="146">
        <f t="shared" si="25"/>
        <v>51708929</v>
      </c>
      <c r="D63" s="146">
        <f t="shared" si="25"/>
        <v>0</v>
      </c>
      <c r="E63" s="146">
        <f t="shared" si="25"/>
        <v>19535242</v>
      </c>
      <c r="F63" s="146">
        <f t="shared" si="25"/>
        <v>8315626</v>
      </c>
      <c r="G63" s="146">
        <f t="shared" si="25"/>
        <v>22250000</v>
      </c>
      <c r="H63" s="146">
        <f t="shared" si="25"/>
        <v>981591</v>
      </c>
      <c r="I63" s="146">
        <f t="shared" si="25"/>
        <v>600000</v>
      </c>
      <c r="J63" s="146">
        <f t="shared" si="25"/>
        <v>26470</v>
      </c>
      <c r="K63" s="146">
        <f t="shared" si="25"/>
        <v>0</v>
      </c>
      <c r="L63" s="146">
        <f t="shared" si="25"/>
        <v>0</v>
      </c>
      <c r="M63" s="146">
        <f t="shared" si="25"/>
        <v>0</v>
      </c>
      <c r="N63" s="146">
        <f t="shared" si="25"/>
        <v>0</v>
      </c>
      <c r="O63" s="146">
        <f t="shared" si="25"/>
        <v>0</v>
      </c>
      <c r="P63" s="146">
        <f t="shared" si="25"/>
        <v>0</v>
      </c>
      <c r="Q63" s="146">
        <f t="shared" si="25"/>
        <v>0</v>
      </c>
      <c r="R63" s="343">
        <f t="shared" si="25"/>
        <v>51708929</v>
      </c>
      <c r="S63" s="146">
        <f>SUM(S10+S13+S14+S15+S26+S27+S38+S42+S43+S54)</f>
        <v>47108015</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f>65000</f>
        <v>65000</v>
      </c>
      <c r="D65" s="147"/>
      <c r="E65" s="147">
        <f t="shared" ref="E65:E69" si="26">C65-SUM(F65:Q65)</f>
        <v>65000</v>
      </c>
      <c r="F65" s="147"/>
      <c r="G65" s="147"/>
      <c r="H65" s="147"/>
      <c r="I65" s="147"/>
      <c r="J65" s="147"/>
      <c r="K65" s="147"/>
      <c r="L65" s="147"/>
      <c r="M65" s="147"/>
      <c r="N65" s="147"/>
      <c r="O65" s="147"/>
      <c r="P65" s="147"/>
      <c r="Q65" s="147"/>
      <c r="R65" s="517">
        <f>SUM(E65:Q65)</f>
        <v>65000</v>
      </c>
      <c r="S65" s="147">
        <f>25820</f>
        <v>25820</v>
      </c>
      <c r="T65" s="147"/>
      <c r="U65" s="143"/>
    </row>
    <row r="66" spans="1:21" s="144" customFormat="1" ht="24" customHeight="1">
      <c r="A66" s="284" t="s">
        <v>1641</v>
      </c>
      <c r="B66" s="146">
        <f>SUM(C66+D66)</f>
        <v>0</v>
      </c>
      <c r="C66" s="147"/>
      <c r="D66" s="147"/>
      <c r="E66" s="147">
        <f t="shared" si="26"/>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6"/>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6"/>
        <v>0</v>
      </c>
      <c r="F68" s="147"/>
      <c r="G68" s="147"/>
      <c r="H68" s="147"/>
      <c r="I68" s="147"/>
      <c r="J68" s="147"/>
      <c r="K68" s="147"/>
      <c r="L68" s="147"/>
      <c r="M68" s="147"/>
      <c r="N68" s="147"/>
      <c r="O68" s="147"/>
      <c r="P68" s="147"/>
      <c r="Q68" s="147"/>
      <c r="R68" s="517">
        <f>SUM(E68:Q68)</f>
        <v>0</v>
      </c>
      <c r="S68" s="147"/>
      <c r="T68" s="147"/>
      <c r="U68" s="143"/>
    </row>
    <row r="69" spans="1:21" s="144" customFormat="1">
      <c r="A69" s="1151" t="s">
        <v>2718</v>
      </c>
      <c r="B69" s="146">
        <f>SUM(C69+D69)</f>
        <v>70000</v>
      </c>
      <c r="C69" s="147">
        <v>70000</v>
      </c>
      <c r="D69" s="147"/>
      <c r="E69" s="147">
        <f t="shared" si="26"/>
        <v>70000</v>
      </c>
      <c r="F69" s="147"/>
      <c r="G69" s="147"/>
      <c r="H69" s="147"/>
      <c r="I69" s="147"/>
      <c r="J69" s="147"/>
      <c r="K69" s="147"/>
      <c r="L69" s="147"/>
      <c r="M69" s="147"/>
      <c r="N69" s="147"/>
      <c r="O69" s="147"/>
      <c r="P69" s="147"/>
      <c r="Q69" s="147"/>
      <c r="R69" s="517">
        <f>SUM(E69:Q69)</f>
        <v>70000</v>
      </c>
      <c r="S69" s="147">
        <f>C69</f>
        <v>70000</v>
      </c>
      <c r="T69" s="147"/>
      <c r="U69" s="143"/>
    </row>
    <row r="70" spans="1:21" s="144" customFormat="1">
      <c r="A70" s="149" t="s">
        <v>1645</v>
      </c>
      <c r="B70" s="146">
        <f>SUM(C70:D70)</f>
        <v>135000</v>
      </c>
      <c r="C70" s="146">
        <f>SUM(C65:C69)</f>
        <v>135000</v>
      </c>
      <c r="D70" s="146">
        <f>SUM(D65:D69)</f>
        <v>0</v>
      </c>
      <c r="E70" s="146">
        <f t="shared" ref="E70:T70" si="27">SUM(E65:E69)</f>
        <v>135000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3">
        <f t="shared" si="27"/>
        <v>135000</v>
      </c>
      <c r="S70" s="150">
        <f t="shared" si="27"/>
        <v>95820</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28"/>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391000</v>
      </c>
      <c r="C75" s="147">
        <v>391000</v>
      </c>
      <c r="D75" s="147"/>
      <c r="E75" s="147">
        <f t="shared" si="28"/>
        <v>391000</v>
      </c>
      <c r="F75" s="147"/>
      <c r="G75" s="147"/>
      <c r="H75" s="147"/>
      <c r="I75" s="147"/>
      <c r="J75" s="147"/>
      <c r="K75" s="147"/>
      <c r="L75" s="147"/>
      <c r="M75" s="147"/>
      <c r="N75" s="147"/>
      <c r="O75" s="147"/>
      <c r="P75" s="147"/>
      <c r="Q75" s="147"/>
      <c r="R75" s="517">
        <f>SUM(E75:Q75)</f>
        <v>391000</v>
      </c>
      <c r="S75" s="148"/>
      <c r="T75" s="148"/>
      <c r="U75" s="143"/>
    </row>
    <row r="76" spans="1:21" s="144" customFormat="1">
      <c r="A76" s="1151" t="s">
        <v>2717</v>
      </c>
      <c r="B76" s="146">
        <f>SUM(C76+D76)</f>
        <v>146893</v>
      </c>
      <c r="C76" s="147">
        <v>146893</v>
      </c>
      <c r="D76" s="147"/>
      <c r="E76" s="147">
        <f t="shared" si="28"/>
        <v>146893</v>
      </c>
      <c r="F76" s="147"/>
      <c r="G76" s="147"/>
      <c r="H76" s="147"/>
      <c r="I76" s="147"/>
      <c r="J76" s="147"/>
      <c r="K76" s="147"/>
      <c r="L76" s="147"/>
      <c r="M76" s="147"/>
      <c r="N76" s="147"/>
      <c r="O76" s="147"/>
      <c r="P76" s="147"/>
      <c r="Q76" s="147"/>
      <c r="R76" s="517">
        <f>SUM(E76:Q76)</f>
        <v>146893</v>
      </c>
      <c r="S76" s="148"/>
      <c r="T76" s="148"/>
      <c r="U76" s="143"/>
    </row>
    <row r="77" spans="1:21" s="144" customFormat="1">
      <c r="A77" s="149" t="s">
        <v>606</v>
      </c>
      <c r="B77" s="146">
        <f>SUM(C77:D77)</f>
        <v>537893</v>
      </c>
      <c r="C77" s="146">
        <f>SUM(C72:C76)</f>
        <v>537893</v>
      </c>
      <c r="D77" s="146">
        <f>SUM(D72:D76)</f>
        <v>0</v>
      </c>
      <c r="E77" s="146">
        <f t="shared" ref="E77:Q77" si="29">SUM(E72:E76)</f>
        <v>537893</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3">
        <f>SUM(R72:R76)</f>
        <v>537893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1998291</v>
      </c>
      <c r="C79" s="147">
        <v>1998291</v>
      </c>
      <c r="D79" s="147"/>
      <c r="E79" s="147">
        <f t="shared" ref="E79:E80" si="30">C79-SUM(F79:Q79)</f>
        <v>1998291</v>
      </c>
      <c r="F79" s="147"/>
      <c r="G79" s="147"/>
      <c r="H79" s="147"/>
      <c r="I79" s="147"/>
      <c r="J79" s="147"/>
      <c r="K79" s="147"/>
      <c r="L79" s="147"/>
      <c r="M79" s="147"/>
      <c r="N79" s="147"/>
      <c r="O79" s="147"/>
      <c r="P79" s="147"/>
      <c r="Q79" s="147"/>
      <c r="R79" s="517">
        <f>SUM(E79:Q79)</f>
        <v>1998291</v>
      </c>
      <c r="S79" s="147">
        <f>C79</f>
        <v>1998291</v>
      </c>
      <c r="T79" s="147"/>
      <c r="U79" s="143"/>
    </row>
    <row r="80" spans="1:21" s="144" customFormat="1">
      <c r="A80" s="284" t="s">
        <v>58</v>
      </c>
      <c r="B80" s="146">
        <f>SUM(C80:D80)</f>
        <v>616000</v>
      </c>
      <c r="C80" s="147">
        <v>616000</v>
      </c>
      <c r="D80" s="147"/>
      <c r="E80" s="147">
        <f t="shared" si="30"/>
        <v>616000</v>
      </c>
      <c r="F80" s="147"/>
      <c r="G80" s="147"/>
      <c r="H80" s="147"/>
      <c r="I80" s="147"/>
      <c r="J80" s="147"/>
      <c r="K80" s="147"/>
      <c r="L80" s="147"/>
      <c r="M80" s="147"/>
      <c r="N80" s="147"/>
      <c r="O80" s="147"/>
      <c r="P80" s="147"/>
      <c r="Q80" s="147"/>
      <c r="R80" s="517">
        <f>SUM(E80:Q80)</f>
        <v>616000</v>
      </c>
      <c r="S80" s="147">
        <f>C80</f>
        <v>616000</v>
      </c>
      <c r="T80" s="147"/>
      <c r="U80" s="143"/>
    </row>
    <row r="81" spans="1:21" s="144" customFormat="1">
      <c r="A81" s="149" t="s">
        <v>1209</v>
      </c>
      <c r="B81" s="146">
        <f>SUM(C81:D81)</f>
        <v>2614291</v>
      </c>
      <c r="C81" s="510">
        <f>SUM(C79:C80)</f>
        <v>2614291</v>
      </c>
      <c r="D81" s="510">
        <f t="shared" ref="D81:T81" si="31">SUM(D79:D80)</f>
        <v>0</v>
      </c>
      <c r="E81" s="510">
        <f t="shared" si="31"/>
        <v>2614291</v>
      </c>
      <c r="F81" s="510">
        <f t="shared" si="31"/>
        <v>0</v>
      </c>
      <c r="G81" s="510">
        <f t="shared" si="31"/>
        <v>0</v>
      </c>
      <c r="H81" s="510">
        <f t="shared" si="31"/>
        <v>0</v>
      </c>
      <c r="I81" s="510">
        <f t="shared" si="31"/>
        <v>0</v>
      </c>
      <c r="J81" s="510">
        <f t="shared" si="31"/>
        <v>0</v>
      </c>
      <c r="K81" s="510">
        <f t="shared" si="31"/>
        <v>0</v>
      </c>
      <c r="L81" s="510">
        <f t="shared" si="31"/>
        <v>0</v>
      </c>
      <c r="M81" s="510">
        <f t="shared" si="31"/>
        <v>0</v>
      </c>
      <c r="N81" s="510">
        <f t="shared" si="31"/>
        <v>0</v>
      </c>
      <c r="O81" s="510">
        <f t="shared" si="31"/>
        <v>0</v>
      </c>
      <c r="P81" s="510">
        <f t="shared" si="31"/>
        <v>0</v>
      </c>
      <c r="Q81" s="510">
        <f t="shared" si="31"/>
        <v>0</v>
      </c>
      <c r="R81" s="510">
        <f t="shared" si="31"/>
        <v>2614291</v>
      </c>
      <c r="S81" s="510">
        <f t="shared" si="31"/>
        <v>2614291</v>
      </c>
      <c r="T81" s="510">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32">SUM(C83+D83)</f>
        <v>78941</v>
      </c>
      <c r="C83" s="147">
        <v>78941</v>
      </c>
      <c r="D83" s="147"/>
      <c r="E83" s="147">
        <f t="shared" ref="E83:E95" si="33">C83-SUM(F83:Q83)</f>
        <v>78941</v>
      </c>
      <c r="F83" s="147"/>
      <c r="G83" s="147"/>
      <c r="H83" s="147"/>
      <c r="I83" s="147"/>
      <c r="J83" s="147"/>
      <c r="K83" s="147"/>
      <c r="L83" s="147"/>
      <c r="M83" s="147"/>
      <c r="N83" s="147"/>
      <c r="O83" s="147"/>
      <c r="P83" s="147"/>
      <c r="Q83" s="147"/>
      <c r="R83" s="517">
        <f t="shared" ref="R83:R95" si="34">SUM(E83:Q83)</f>
        <v>78941</v>
      </c>
      <c r="S83" s="148"/>
      <c r="T83" s="148"/>
      <c r="U83" s="143"/>
    </row>
    <row r="84" spans="1:21" s="144" customFormat="1">
      <c r="A84" s="145" t="s">
        <v>767</v>
      </c>
      <c r="B84" s="146">
        <f t="shared" si="32"/>
        <v>50455</v>
      </c>
      <c r="C84" s="147">
        <v>50455</v>
      </c>
      <c r="D84" s="147"/>
      <c r="E84" s="147">
        <f t="shared" si="33"/>
        <v>50455</v>
      </c>
      <c r="F84" s="147"/>
      <c r="G84" s="147"/>
      <c r="H84" s="147"/>
      <c r="I84" s="147"/>
      <c r="J84" s="147"/>
      <c r="K84" s="147"/>
      <c r="L84" s="147"/>
      <c r="M84" s="147"/>
      <c r="N84" s="147"/>
      <c r="O84" s="147"/>
      <c r="P84" s="147"/>
      <c r="Q84" s="147"/>
      <c r="R84" s="517">
        <f t="shared" si="34"/>
        <v>50455</v>
      </c>
      <c r="S84" s="147">
        <f>C84</f>
        <v>50455</v>
      </c>
      <c r="T84" s="147"/>
      <c r="U84" s="143"/>
    </row>
    <row r="85" spans="1:21" s="144" customFormat="1">
      <c r="A85" s="145" t="s">
        <v>768</v>
      </c>
      <c r="B85" s="146">
        <f t="shared" si="32"/>
        <v>2910000</v>
      </c>
      <c r="C85" s="147">
        <v>2910000</v>
      </c>
      <c r="D85" s="147"/>
      <c r="E85" s="147">
        <f t="shared" si="33"/>
        <v>1273626</v>
      </c>
      <c r="F85" s="147">
        <v>1636374</v>
      </c>
      <c r="G85" s="147"/>
      <c r="H85" s="147"/>
      <c r="I85" s="147"/>
      <c r="J85" s="147"/>
      <c r="K85" s="147"/>
      <c r="L85" s="147"/>
      <c r="M85" s="147"/>
      <c r="N85" s="147"/>
      <c r="O85" s="147"/>
      <c r="P85" s="147"/>
      <c r="Q85" s="147"/>
      <c r="R85" s="517">
        <f t="shared" si="34"/>
        <v>2910000</v>
      </c>
      <c r="S85" s="147">
        <f>C85</f>
        <v>2910000</v>
      </c>
      <c r="T85" s="147"/>
      <c r="U85" s="143"/>
    </row>
    <row r="86" spans="1:21" s="144" customFormat="1">
      <c r="A86" s="145" t="s">
        <v>769</v>
      </c>
      <c r="B86" s="146">
        <f t="shared" si="32"/>
        <v>528000</v>
      </c>
      <c r="C86" s="147">
        <v>528000</v>
      </c>
      <c r="D86" s="147"/>
      <c r="E86" s="147">
        <f t="shared" si="33"/>
        <v>528000</v>
      </c>
      <c r="F86" s="147"/>
      <c r="G86" s="147"/>
      <c r="H86" s="147"/>
      <c r="I86" s="147"/>
      <c r="J86" s="147"/>
      <c r="K86" s="147"/>
      <c r="L86" s="147"/>
      <c r="M86" s="147"/>
      <c r="N86" s="147"/>
      <c r="O86" s="147"/>
      <c r="P86" s="147"/>
      <c r="Q86" s="147"/>
      <c r="R86" s="517">
        <f t="shared" si="34"/>
        <v>528000</v>
      </c>
      <c r="S86" s="147">
        <f>C86</f>
        <v>528000</v>
      </c>
      <c r="T86" s="147"/>
      <c r="U86" s="143"/>
    </row>
    <row r="87" spans="1:21" s="144" customFormat="1">
      <c r="A87" s="145" t="s">
        <v>770</v>
      </c>
      <c r="B87" s="146">
        <f t="shared" si="32"/>
        <v>250000</v>
      </c>
      <c r="C87" s="147">
        <v>250000</v>
      </c>
      <c r="D87" s="147"/>
      <c r="E87" s="147">
        <f t="shared" si="33"/>
        <v>250000</v>
      </c>
      <c r="F87" s="147"/>
      <c r="G87" s="147"/>
      <c r="H87" s="147"/>
      <c r="I87" s="147"/>
      <c r="J87" s="147"/>
      <c r="K87" s="147"/>
      <c r="L87" s="147"/>
      <c r="M87" s="147"/>
      <c r="N87" s="147"/>
      <c r="O87" s="147"/>
      <c r="P87" s="147"/>
      <c r="Q87" s="147"/>
      <c r="R87" s="517">
        <f t="shared" si="34"/>
        <v>250000</v>
      </c>
      <c r="S87" s="147">
        <f>C87</f>
        <v>250000</v>
      </c>
      <c r="T87" s="147"/>
      <c r="U87" s="143"/>
    </row>
    <row r="88" spans="1:21" s="144" customFormat="1">
      <c r="A88" s="145" t="s">
        <v>771</v>
      </c>
      <c r="B88" s="146">
        <f t="shared" si="32"/>
        <v>104750</v>
      </c>
      <c r="C88" s="147">
        <v>104750</v>
      </c>
      <c r="D88" s="147"/>
      <c r="E88" s="147">
        <f t="shared" si="33"/>
        <v>104750</v>
      </c>
      <c r="F88" s="147"/>
      <c r="G88" s="147"/>
      <c r="H88" s="147"/>
      <c r="I88" s="147"/>
      <c r="J88" s="147"/>
      <c r="K88" s="147"/>
      <c r="L88" s="147"/>
      <c r="M88" s="147"/>
      <c r="N88" s="147"/>
      <c r="O88" s="147"/>
      <c r="P88" s="147"/>
      <c r="Q88" s="147"/>
      <c r="R88" s="517">
        <f t="shared" si="34"/>
        <v>104750</v>
      </c>
      <c r="S88" s="148"/>
      <c r="T88" s="148"/>
      <c r="U88" s="143"/>
    </row>
    <row r="89" spans="1:21" s="144" customFormat="1">
      <c r="A89" s="145" t="s">
        <v>772</v>
      </c>
      <c r="B89" s="146">
        <f t="shared" si="32"/>
        <v>250000</v>
      </c>
      <c r="C89" s="147">
        <v>250000</v>
      </c>
      <c r="D89" s="147"/>
      <c r="E89" s="147">
        <f t="shared" si="33"/>
        <v>250000</v>
      </c>
      <c r="F89" s="147"/>
      <c r="G89" s="147"/>
      <c r="H89" s="147"/>
      <c r="I89" s="147"/>
      <c r="J89" s="147"/>
      <c r="K89" s="147"/>
      <c r="L89" s="147"/>
      <c r="M89" s="147"/>
      <c r="N89" s="147"/>
      <c r="O89" s="147"/>
      <c r="P89" s="147"/>
      <c r="Q89" s="147"/>
      <c r="R89" s="517">
        <f t="shared" si="34"/>
        <v>250000</v>
      </c>
      <c r="S89" s="147">
        <f>C89</f>
        <v>250000</v>
      </c>
      <c r="T89" s="147"/>
      <c r="U89" s="143"/>
    </row>
    <row r="90" spans="1:21" s="144" customFormat="1">
      <c r="A90" s="145" t="s">
        <v>773</v>
      </c>
      <c r="B90" s="146">
        <f t="shared" si="32"/>
        <v>7000</v>
      </c>
      <c r="C90" s="147">
        <v>7000</v>
      </c>
      <c r="D90" s="147"/>
      <c r="E90" s="147">
        <f t="shared" si="33"/>
        <v>7000</v>
      </c>
      <c r="F90" s="147"/>
      <c r="G90" s="147"/>
      <c r="H90" s="147"/>
      <c r="I90" s="147"/>
      <c r="J90" s="147"/>
      <c r="K90" s="147"/>
      <c r="L90" s="147"/>
      <c r="M90" s="147"/>
      <c r="N90" s="147"/>
      <c r="O90" s="147"/>
      <c r="P90" s="147"/>
      <c r="Q90" s="147"/>
      <c r="R90" s="517">
        <f t="shared" si="34"/>
        <v>7000</v>
      </c>
      <c r="S90" s="147"/>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7">
        <f t="shared" si="34"/>
        <v>0</v>
      </c>
      <c r="S91" s="147"/>
      <c r="T91" s="147"/>
      <c r="U91" s="143"/>
    </row>
    <row r="92" spans="1:21" s="144" customFormat="1">
      <c r="A92" s="284" t="s">
        <v>1211</v>
      </c>
      <c r="B92" s="146">
        <f t="shared" si="32"/>
        <v>8000</v>
      </c>
      <c r="C92" s="147">
        <v>8000</v>
      </c>
      <c r="D92" s="147"/>
      <c r="E92" s="147">
        <f t="shared" si="33"/>
        <v>8000</v>
      </c>
      <c r="F92" s="147"/>
      <c r="G92" s="147"/>
      <c r="H92" s="147"/>
      <c r="I92" s="147"/>
      <c r="J92" s="147"/>
      <c r="K92" s="147"/>
      <c r="L92" s="147"/>
      <c r="M92" s="147"/>
      <c r="N92" s="147"/>
      <c r="O92" s="147"/>
      <c r="P92" s="147"/>
      <c r="Q92" s="147"/>
      <c r="R92" s="517">
        <f t="shared" si="34"/>
        <v>8000</v>
      </c>
      <c r="S92" s="147">
        <f>C92</f>
        <v>8000</v>
      </c>
      <c r="T92" s="147"/>
      <c r="U92" s="143"/>
    </row>
    <row r="93" spans="1:21" s="144" customFormat="1">
      <c r="A93" s="1151" t="s">
        <v>2716</v>
      </c>
      <c r="B93" s="146">
        <f t="shared" si="32"/>
        <v>365000</v>
      </c>
      <c r="C93" s="147">
        <v>365000</v>
      </c>
      <c r="D93" s="147"/>
      <c r="E93" s="147">
        <f t="shared" si="33"/>
        <v>365000</v>
      </c>
      <c r="F93" s="147"/>
      <c r="G93" s="147"/>
      <c r="H93" s="147"/>
      <c r="I93" s="147"/>
      <c r="J93" s="147"/>
      <c r="K93" s="147"/>
      <c r="L93" s="147"/>
      <c r="M93" s="147"/>
      <c r="N93" s="147"/>
      <c r="O93" s="147"/>
      <c r="P93" s="147"/>
      <c r="Q93" s="147"/>
      <c r="R93" s="517">
        <f t="shared" si="34"/>
        <v>365000</v>
      </c>
      <c r="S93" s="147">
        <f>C93</f>
        <v>365000</v>
      </c>
      <c r="T93" s="147"/>
      <c r="U93" s="143"/>
    </row>
    <row r="94" spans="1:21" s="144" customFormat="1">
      <c r="A94" s="1151" t="s">
        <v>34</v>
      </c>
      <c r="B94" s="146">
        <f t="shared" si="32"/>
        <v>0</v>
      </c>
      <c r="C94" s="147"/>
      <c r="D94" s="147"/>
      <c r="E94" s="147">
        <f t="shared" si="33"/>
        <v>0</v>
      </c>
      <c r="F94" s="147"/>
      <c r="G94" s="147"/>
      <c r="H94" s="147"/>
      <c r="I94" s="147"/>
      <c r="J94" s="147"/>
      <c r="K94" s="147"/>
      <c r="L94" s="147"/>
      <c r="M94" s="147"/>
      <c r="N94" s="147"/>
      <c r="O94" s="147"/>
      <c r="P94" s="147"/>
      <c r="Q94" s="147"/>
      <c r="R94" s="517">
        <f t="shared" si="34"/>
        <v>0</v>
      </c>
      <c r="S94" s="147"/>
      <c r="T94" s="147"/>
      <c r="U94" s="143"/>
    </row>
    <row r="95" spans="1:21" s="144" customFormat="1">
      <c r="A95" s="1151" t="s">
        <v>34</v>
      </c>
      <c r="B95" s="146">
        <f t="shared" si="32"/>
        <v>0</v>
      </c>
      <c r="C95" s="147"/>
      <c r="D95" s="147"/>
      <c r="E95" s="147">
        <f t="shared" si="33"/>
        <v>0</v>
      </c>
      <c r="F95" s="147"/>
      <c r="G95" s="147"/>
      <c r="H95" s="147"/>
      <c r="I95" s="147"/>
      <c r="J95" s="147"/>
      <c r="K95" s="147"/>
      <c r="L95" s="147"/>
      <c r="M95" s="147"/>
      <c r="N95" s="147"/>
      <c r="O95" s="147"/>
      <c r="P95" s="147"/>
      <c r="Q95" s="147"/>
      <c r="R95" s="517">
        <f t="shared" si="34"/>
        <v>0</v>
      </c>
      <c r="S95" s="147"/>
      <c r="T95" s="147"/>
      <c r="U95" s="143"/>
    </row>
    <row r="96" spans="1:21" s="144" customFormat="1">
      <c r="A96" s="149" t="s">
        <v>774</v>
      </c>
      <c r="B96" s="146">
        <f>SUM(C96:D96)</f>
        <v>4552146</v>
      </c>
      <c r="C96" s="146">
        <f t="shared" ref="C96:R96" si="35">SUM(C83:C95)</f>
        <v>4552146</v>
      </c>
      <c r="D96" s="146">
        <f t="shared" si="35"/>
        <v>0</v>
      </c>
      <c r="E96" s="146">
        <f t="shared" si="35"/>
        <v>2915772</v>
      </c>
      <c r="F96" s="146">
        <f t="shared" si="35"/>
        <v>1636374</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3">
        <f t="shared" si="35"/>
        <v>4552146</v>
      </c>
      <c r="S96" s="150">
        <f>SUM(S84:S87,S89:S95)</f>
        <v>4361455</v>
      </c>
      <c r="T96" s="146">
        <f>SUM(T84:T87,T89:T95)</f>
        <v>0</v>
      </c>
      <c r="U96" s="143"/>
    </row>
    <row r="97" spans="1:21" s="144" customFormat="1">
      <c r="A97" s="149" t="s">
        <v>775</v>
      </c>
      <c r="B97" s="146">
        <f>SUM(C97:D97)</f>
        <v>59548259</v>
      </c>
      <c r="C97" s="146">
        <f t="shared" ref="C97:R97" si="36">SUM(C63+C70+C77+C81+C96)</f>
        <v>59548259</v>
      </c>
      <c r="D97" s="146">
        <f t="shared" si="36"/>
        <v>0</v>
      </c>
      <c r="E97" s="146">
        <f t="shared" si="36"/>
        <v>25738198</v>
      </c>
      <c r="F97" s="146">
        <f t="shared" si="36"/>
        <v>9952000</v>
      </c>
      <c r="G97" s="146">
        <f t="shared" si="36"/>
        <v>22250000</v>
      </c>
      <c r="H97" s="146">
        <f t="shared" si="36"/>
        <v>981591</v>
      </c>
      <c r="I97" s="146">
        <f t="shared" si="36"/>
        <v>600000</v>
      </c>
      <c r="J97" s="146">
        <f t="shared" si="36"/>
        <v>26470</v>
      </c>
      <c r="K97" s="146">
        <f t="shared" si="36"/>
        <v>0</v>
      </c>
      <c r="L97" s="146">
        <f t="shared" si="36"/>
        <v>0</v>
      </c>
      <c r="M97" s="146">
        <f t="shared" si="36"/>
        <v>0</v>
      </c>
      <c r="N97" s="146">
        <f t="shared" si="36"/>
        <v>0</v>
      </c>
      <c r="O97" s="146">
        <f t="shared" si="36"/>
        <v>0</v>
      </c>
      <c r="P97" s="146">
        <f t="shared" si="36"/>
        <v>0</v>
      </c>
      <c r="Q97" s="146">
        <f t="shared" si="36"/>
        <v>0</v>
      </c>
      <c r="R97" s="146">
        <f t="shared" si="36"/>
        <v>59548259</v>
      </c>
      <c r="S97" s="146">
        <f>SUM(S63+S70+S81+S96)</f>
        <v>54179581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5900000</v>
      </c>
      <c r="C99" s="980">
        <v>5900000</v>
      </c>
      <c r="D99" s="980"/>
      <c r="E99" s="980">
        <f t="shared" ref="E99:E103" si="37">C99-SUM(F99:Q99)</f>
        <v>2800000</v>
      </c>
      <c r="F99" s="147"/>
      <c r="G99" s="147"/>
      <c r="H99" s="147"/>
      <c r="I99" s="147"/>
      <c r="J99" s="147"/>
      <c r="K99" s="147">
        <v>3100000</v>
      </c>
      <c r="L99" s="147"/>
      <c r="M99" s="147"/>
      <c r="N99" s="147"/>
      <c r="O99" s="147"/>
      <c r="P99" s="147"/>
      <c r="Q99" s="147"/>
      <c r="R99" s="517">
        <f>SUM(E99:Q99)</f>
        <v>5900000</v>
      </c>
      <c r="S99" s="147">
        <f>C99</f>
        <v>5900000</v>
      </c>
      <c r="T99" s="147"/>
      <c r="U99" s="143"/>
    </row>
    <row r="100" spans="1:21" s="144" customFormat="1">
      <c r="A100" s="284" t="s">
        <v>1646</v>
      </c>
      <c r="B100" s="146">
        <f>SUM(C100+D100)</f>
        <v>0</v>
      </c>
      <c r="C100" s="147"/>
      <c r="D100" s="147"/>
      <c r="E100" s="147">
        <f t="shared" si="3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3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7"/>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5900000</v>
      </c>
      <c r="C104" s="146">
        <f>SUM(C99:C103)</f>
        <v>5900000</v>
      </c>
      <c r="D104" s="146">
        <f t="shared" ref="D104:T104" si="38">SUM(D99:D103)</f>
        <v>0</v>
      </c>
      <c r="E104" s="146">
        <f t="shared" si="38"/>
        <v>2800000</v>
      </c>
      <c r="F104" s="146">
        <f t="shared" si="38"/>
        <v>0</v>
      </c>
      <c r="G104" s="146">
        <f t="shared" si="38"/>
        <v>0</v>
      </c>
      <c r="H104" s="146">
        <f t="shared" si="38"/>
        <v>0</v>
      </c>
      <c r="I104" s="146">
        <f t="shared" si="38"/>
        <v>0</v>
      </c>
      <c r="J104" s="146">
        <f t="shared" si="38"/>
        <v>0</v>
      </c>
      <c r="K104" s="146">
        <f t="shared" si="38"/>
        <v>3100000</v>
      </c>
      <c r="L104" s="146">
        <f t="shared" si="38"/>
        <v>0</v>
      </c>
      <c r="M104" s="146">
        <f t="shared" si="38"/>
        <v>0</v>
      </c>
      <c r="N104" s="146">
        <f t="shared" si="38"/>
        <v>0</v>
      </c>
      <c r="O104" s="146">
        <f t="shared" si="38"/>
        <v>0</v>
      </c>
      <c r="P104" s="146">
        <f t="shared" si="38"/>
        <v>0</v>
      </c>
      <c r="Q104" s="146">
        <f t="shared" si="38"/>
        <v>0</v>
      </c>
      <c r="R104" s="343">
        <f t="shared" si="38"/>
        <v>5900000</v>
      </c>
      <c r="S104" s="150">
        <f t="shared" si="38"/>
        <v>5900000</v>
      </c>
      <c r="T104" s="150">
        <f t="shared" si="38"/>
        <v>0</v>
      </c>
      <c r="U104" s="143"/>
    </row>
    <row r="105" spans="1:21" s="144" customFormat="1">
      <c r="A105" s="149" t="s">
        <v>780</v>
      </c>
      <c r="B105" s="150">
        <f>SUM(C105:D105)</f>
        <v>65448259</v>
      </c>
      <c r="C105" s="150">
        <f t="shared" ref="C105:R105" si="39">SUM(C97+C104)</f>
        <v>65448259</v>
      </c>
      <c r="D105" s="150">
        <f t="shared" si="39"/>
        <v>0</v>
      </c>
      <c r="E105" s="150">
        <f t="shared" si="39"/>
        <v>28538198</v>
      </c>
      <c r="F105" s="150">
        <f t="shared" si="39"/>
        <v>9952000</v>
      </c>
      <c r="G105" s="150">
        <f t="shared" si="39"/>
        <v>22250000</v>
      </c>
      <c r="H105" s="150">
        <f t="shared" si="39"/>
        <v>981591</v>
      </c>
      <c r="I105" s="150">
        <f t="shared" si="39"/>
        <v>600000</v>
      </c>
      <c r="J105" s="150">
        <f t="shared" si="39"/>
        <v>26470</v>
      </c>
      <c r="K105" s="150">
        <f t="shared" si="39"/>
        <v>3100000</v>
      </c>
      <c r="L105" s="150">
        <f t="shared" si="39"/>
        <v>0</v>
      </c>
      <c r="M105" s="150">
        <f t="shared" si="39"/>
        <v>0</v>
      </c>
      <c r="N105" s="150">
        <f t="shared" si="39"/>
        <v>0</v>
      </c>
      <c r="O105" s="150">
        <f t="shared" si="39"/>
        <v>0</v>
      </c>
      <c r="P105" s="150">
        <f t="shared" si="39"/>
        <v>0</v>
      </c>
      <c r="Q105" s="150">
        <f t="shared" si="39"/>
        <v>0</v>
      </c>
      <c r="R105" s="343">
        <f t="shared" si="39"/>
        <v>65448259</v>
      </c>
      <c r="S105" s="150">
        <f>S97+S104</f>
        <v>60079581</v>
      </c>
      <c r="T105" s="150">
        <f>T97+T104</f>
        <v>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60079581</v>
      </c>
      <c r="T107" s="150">
        <f>T105+T106</f>
        <v>0</v>
      </c>
    </row>
    <row r="108" spans="1:21" s="189" customFormat="1">
      <c r="A108" s="162" t="s">
        <v>879</v>
      </c>
      <c r="B108" s="157"/>
      <c r="C108" s="157"/>
      <c r="D108" s="157"/>
      <c r="E108" s="302">
        <f>Application!AO640</f>
        <v>28538198</v>
      </c>
      <c r="F108" s="302">
        <f>Application!AO627</f>
        <v>9952000</v>
      </c>
      <c r="G108" s="302">
        <f>Application!AO628</f>
        <v>22250000</v>
      </c>
      <c r="H108" s="302">
        <f>Application!AO629</f>
        <v>981591</v>
      </c>
      <c r="I108" s="302">
        <f>Application!AO630</f>
        <v>600000</v>
      </c>
      <c r="J108" s="302">
        <f>Application!AO631</f>
        <v>26470</v>
      </c>
      <c r="K108" s="302">
        <f>Application!AO632</f>
        <v>3100000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68" t="s">
        <v>990</v>
      </c>
      <c r="E122" s="1868"/>
      <c r="F122" s="1868"/>
      <c r="G122" s="325"/>
      <c r="H122" s="325"/>
      <c r="I122" s="325"/>
      <c r="J122" s="325"/>
      <c r="K122" s="325"/>
      <c r="L122" s="325"/>
      <c r="M122" s="325"/>
      <c r="N122" s="325"/>
      <c r="O122" s="325"/>
      <c r="P122" s="325"/>
      <c r="Q122" s="325"/>
      <c r="R122" s="325"/>
      <c r="S122" s="325"/>
      <c r="T122" s="325"/>
      <c r="U122" s="327"/>
    </row>
    <row r="123" spans="1:21">
      <c r="A123" s="325" t="s">
        <v>991</v>
      </c>
      <c r="B123" s="334">
        <v>0</v>
      </c>
      <c r="C123" s="325"/>
      <c r="D123" s="1870" t="s">
        <v>1224</v>
      </c>
      <c r="E123" s="1779"/>
      <c r="F123" s="1779"/>
      <c r="G123" s="1779"/>
      <c r="H123" s="1779"/>
      <c r="I123" s="1779"/>
      <c r="J123" s="1779"/>
      <c r="K123" s="1779"/>
      <c r="L123" s="1779"/>
      <c r="M123" s="1779"/>
      <c r="N123" s="1779"/>
      <c r="O123" s="1779"/>
      <c r="P123" s="1779"/>
      <c r="Q123" s="1779"/>
      <c r="R123" s="1779"/>
      <c r="S123" s="1779"/>
      <c r="T123" s="325"/>
      <c r="U123" s="327"/>
    </row>
    <row r="124" spans="1:21" ht="12.75">
      <c r="A124" s="117" t="s">
        <v>992</v>
      </c>
      <c r="B124" s="334"/>
      <c r="C124" s="117"/>
      <c r="D124" s="1779"/>
      <c r="E124" s="1779"/>
      <c r="F124" s="1779"/>
      <c r="G124" s="1779"/>
      <c r="H124" s="1779"/>
      <c r="I124" s="1779"/>
      <c r="J124" s="1779"/>
      <c r="K124" s="1779"/>
      <c r="L124" s="1779"/>
      <c r="M124" s="1779"/>
      <c r="N124" s="1779"/>
      <c r="O124" s="1779"/>
      <c r="P124" s="1779"/>
      <c r="Q124" s="1779"/>
      <c r="R124" s="1779"/>
      <c r="S124" s="1779"/>
      <c r="T124" s="325"/>
      <c r="U124" s="327"/>
    </row>
    <row r="125" spans="1:21" ht="12.75">
      <c r="A125" s="117" t="s">
        <v>993</v>
      </c>
      <c r="B125" s="334">
        <v>0</v>
      </c>
      <c r="C125" s="117"/>
      <c r="D125" s="1779"/>
      <c r="E125" s="1779"/>
      <c r="F125" s="1779"/>
      <c r="G125" s="1779"/>
      <c r="H125" s="1779"/>
      <c r="I125" s="1779"/>
      <c r="J125" s="1779"/>
      <c r="K125" s="1779"/>
      <c r="L125" s="1779"/>
      <c r="M125" s="1779"/>
      <c r="N125" s="1779"/>
      <c r="O125" s="1779"/>
      <c r="P125" s="1779"/>
      <c r="Q125" s="1779"/>
      <c r="R125" s="1779"/>
      <c r="S125" s="1779"/>
      <c r="T125" s="325"/>
      <c r="U125" s="327"/>
    </row>
    <row r="126" spans="1:21" ht="12.75">
      <c r="A126" s="117" t="s">
        <v>994</v>
      </c>
      <c r="B126" s="334">
        <v>0</v>
      </c>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v>0</v>
      </c>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65"/>
      <c r="E128" s="1865"/>
      <c r="F128" s="1865"/>
      <c r="G128" s="1865"/>
      <c r="H128" s="1865"/>
      <c r="I128" s="117"/>
      <c r="J128" s="1866"/>
      <c r="K128" s="1866"/>
      <c r="L128" s="117"/>
      <c r="M128" s="117"/>
      <c r="N128" s="117"/>
      <c r="O128" s="117"/>
      <c r="P128" s="117"/>
      <c r="Q128" s="117"/>
      <c r="R128" s="117"/>
      <c r="S128" s="117"/>
      <c r="T128" s="325"/>
      <c r="U128" s="327"/>
    </row>
    <row r="129" spans="1:21" ht="12.75">
      <c r="A129" s="117" t="s">
        <v>299</v>
      </c>
      <c r="B129" s="334"/>
      <c r="C129" s="117"/>
      <c r="D129" s="1867" t="s">
        <v>997</v>
      </c>
      <c r="E129" s="1867"/>
      <c r="F129" s="1867"/>
      <c r="G129" s="1867"/>
      <c r="H129" s="1867"/>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841"/>
      <c r="E131" s="1841"/>
      <c r="F131" s="1841"/>
      <c r="G131" s="1841"/>
      <c r="H131" s="1841"/>
      <c r="I131" s="117"/>
      <c r="J131" s="1841"/>
      <c r="K131" s="1841"/>
      <c r="L131" s="1841"/>
      <c r="M131" s="1841"/>
      <c r="N131" s="117"/>
      <c r="O131" s="117"/>
      <c r="P131" s="117"/>
      <c r="Q131" s="117"/>
      <c r="R131" s="117"/>
      <c r="S131" s="117"/>
      <c r="T131" s="325"/>
      <c r="U131" s="327"/>
    </row>
    <row r="132" spans="1:21" ht="12" customHeight="1">
      <c r="A132" s="337"/>
      <c r="B132" s="117"/>
      <c r="C132" s="117"/>
      <c r="D132" s="1871" t="s">
        <v>1000</v>
      </c>
      <c r="E132" s="1871"/>
      <c r="F132" s="1871"/>
      <c r="G132" s="1871"/>
      <c r="H132" s="1871"/>
      <c r="I132" s="117"/>
      <c r="J132" s="1871" t="s">
        <v>1001</v>
      </c>
      <c r="K132" s="1871"/>
      <c r="L132" s="1871"/>
      <c r="M132" s="187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2"/>
      <c r="B138" s="1865"/>
      <c r="C138" s="1865"/>
      <c r="D138" s="329"/>
      <c r="E138" s="1866"/>
      <c r="F138" s="1866"/>
      <c r="G138" s="117"/>
      <c r="H138" s="117"/>
      <c r="I138" s="117"/>
      <c r="J138" s="117"/>
      <c r="K138" s="117"/>
      <c r="L138" s="117"/>
      <c r="M138" s="117"/>
      <c r="N138" s="117"/>
      <c r="O138" s="117"/>
      <c r="P138" s="117"/>
      <c r="Q138" s="117"/>
      <c r="R138" s="117"/>
      <c r="S138" s="117"/>
      <c r="T138" s="331"/>
      <c r="U138" s="332"/>
    </row>
    <row r="139" spans="1:21" ht="12.75">
      <c r="A139" s="1869" t="s">
        <v>1004</v>
      </c>
      <c r="B139" s="1869"/>
      <c r="C139" s="1869"/>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zoomScale="140" zoomScaleNormal="140" workbookViewId="0">
      <selection activeCell="D6" sqref="D6"/>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5" t="s">
        <v>1227</v>
      </c>
      <c r="B1" s="1876"/>
      <c r="C1" s="1876"/>
      <c r="D1" s="1876"/>
      <c r="E1" s="1876"/>
      <c r="F1" s="1876"/>
      <c r="G1" s="1876"/>
      <c r="H1" s="1876"/>
      <c r="I1" s="1876"/>
      <c r="J1" s="1877"/>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1</v>
      </c>
      <c r="C4" s="363"/>
      <c r="D4" s="363"/>
      <c r="E4" s="364"/>
      <c r="F4" s="364"/>
      <c r="G4" s="364"/>
      <c r="H4" s="364"/>
      <c r="I4" s="364"/>
      <c r="J4" s="364"/>
      <c r="K4" s="360"/>
    </row>
    <row r="5" spans="1:11" s="361" customFormat="1">
      <c r="A5" s="365" t="s">
        <v>28</v>
      </c>
      <c r="B5" s="362">
        <f>'Sources and Uses Budget'!C5</f>
        <v>740653</v>
      </c>
      <c r="C5" s="363"/>
      <c r="D5" s="363"/>
      <c r="E5" s="364"/>
      <c r="F5" s="364"/>
      <c r="G5" s="364"/>
      <c r="H5" s="364"/>
      <c r="I5" s="364"/>
      <c r="J5" s="364"/>
      <c r="K5" s="360"/>
    </row>
    <row r="6" spans="1:11" s="361" customFormat="1">
      <c r="A6" s="365" t="s">
        <v>29</v>
      </c>
      <c r="B6" s="362">
        <f>'Sources and Uses Budget'!C6</f>
        <v>70707</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811361</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947713</v>
      </c>
      <c r="C10" s="363"/>
      <c r="D10" s="363"/>
      <c r="E10" s="362">
        <f>'Sources and Uses Budget'!S10</f>
        <v>760213</v>
      </c>
      <c r="F10" s="363"/>
      <c r="G10" s="363"/>
      <c r="H10" s="362">
        <f>'Sources and Uses Budget'!T10</f>
        <v>0</v>
      </c>
      <c r="I10" s="363"/>
      <c r="J10" s="363"/>
      <c r="K10" s="360"/>
    </row>
    <row r="11" spans="1:11" s="361" customFormat="1">
      <c r="A11" s="366" t="s">
        <v>596</v>
      </c>
      <c r="B11" s="362">
        <f>'Sources and Uses Budget'!C11</f>
        <v>947713</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1759074</v>
      </c>
      <c r="C12" s="362">
        <f>SUM(C8+C11)</f>
        <v>0</v>
      </c>
      <c r="D12" s="362">
        <f>SUM(D8+D11)</f>
        <v>0</v>
      </c>
      <c r="E12" s="364"/>
      <c r="F12" s="364"/>
      <c r="G12" s="364"/>
      <c r="H12" s="364"/>
      <c r="I12" s="364"/>
      <c r="J12" s="364"/>
      <c r="K12" s="360"/>
    </row>
    <row r="13" spans="1:11" s="361" customFormat="1">
      <c r="A13" s="367" t="s">
        <v>902</v>
      </c>
      <c r="B13" s="362">
        <f>'Sources and Uses Budget'!C13</f>
        <v>480182</v>
      </c>
      <c r="C13" s="363"/>
      <c r="D13" s="363"/>
      <c r="E13" s="362">
        <f>'Sources and Uses Budget'!S13</f>
        <v>306229</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2475786</v>
      </c>
      <c r="C29" s="363"/>
      <c r="D29" s="363"/>
      <c r="E29" s="362">
        <f>'Sources and Uses Budget'!S29</f>
        <v>2475786</v>
      </c>
      <c r="F29" s="363"/>
      <c r="G29" s="363"/>
      <c r="H29" s="362">
        <f>'Sources and Uses Budget'!T29</f>
        <v>0</v>
      </c>
      <c r="I29" s="363"/>
      <c r="J29" s="363"/>
      <c r="K29" s="360"/>
    </row>
    <row r="30" spans="1:11" s="361" customFormat="1">
      <c r="A30" s="145" t="s">
        <v>599</v>
      </c>
      <c r="B30" s="362">
        <f>'Sources and Uses Budget'!C30</f>
        <v>31760626</v>
      </c>
      <c r="C30" s="363"/>
      <c r="D30" s="363"/>
      <c r="E30" s="362">
        <f>'Sources and Uses Budget'!S30</f>
        <v>31760626</v>
      </c>
      <c r="F30" s="363"/>
      <c r="G30" s="363"/>
      <c r="H30" s="362">
        <f>'Sources and Uses Budget'!T30</f>
        <v>0</v>
      </c>
      <c r="I30" s="363"/>
      <c r="J30" s="363"/>
      <c r="K30" s="360"/>
    </row>
    <row r="31" spans="1:11" s="361" customFormat="1">
      <c r="A31" s="145" t="s">
        <v>600</v>
      </c>
      <c r="B31" s="362">
        <f>'Sources and Uses Budget'!C31</f>
        <v>1735610</v>
      </c>
      <c r="C31" s="363"/>
      <c r="D31" s="363"/>
      <c r="E31" s="362">
        <f>'Sources and Uses Budget'!S31</f>
        <v>1735610</v>
      </c>
      <c r="F31" s="363"/>
      <c r="G31" s="363"/>
      <c r="H31" s="362">
        <f>'Sources and Uses Budget'!T31</f>
        <v>0</v>
      </c>
      <c r="I31" s="363"/>
      <c r="J31" s="363"/>
      <c r="K31" s="360"/>
    </row>
    <row r="32" spans="1:11" s="361" customFormat="1">
      <c r="A32" s="145" t="s">
        <v>137</v>
      </c>
      <c r="B32" s="362">
        <f>'Sources and Uses Budget'!C32</f>
        <v>713283</v>
      </c>
      <c r="C32" s="363"/>
      <c r="D32" s="363"/>
      <c r="E32" s="362">
        <f>'Sources and Uses Budget'!S32</f>
        <v>713283</v>
      </c>
      <c r="F32" s="363"/>
      <c r="G32" s="363"/>
      <c r="H32" s="362">
        <f>'Sources and Uses Budget'!T32</f>
        <v>0</v>
      </c>
      <c r="I32" s="363"/>
      <c r="J32" s="363"/>
      <c r="K32" s="360"/>
    </row>
    <row r="33" spans="1:11" s="361" customFormat="1">
      <c r="A33" s="145" t="s">
        <v>138</v>
      </c>
      <c r="B33" s="362">
        <f>'Sources and Uses Budget'!C33</f>
        <v>754315</v>
      </c>
      <c r="C33" s="363"/>
      <c r="D33" s="363"/>
      <c r="E33" s="362">
        <f>'Sources and Uses Budget'!S33</f>
        <v>754315</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837828</v>
      </c>
      <c r="C35" s="363"/>
      <c r="D35" s="363"/>
      <c r="E35" s="362">
        <f>'Sources and Uses Budget'!S35</f>
        <v>837828</v>
      </c>
      <c r="F35" s="363"/>
      <c r="G35" s="363"/>
      <c r="H35" s="362">
        <f>'Sources and Uses Budget'!T35</f>
        <v>0</v>
      </c>
      <c r="I35" s="363"/>
      <c r="J35" s="363"/>
      <c r="K35" s="360"/>
    </row>
    <row r="36" spans="1:11" s="361" customFormat="1">
      <c r="A36" s="509" t="s">
        <v>1640</v>
      </c>
      <c r="B36" s="362">
        <f>'Sources and Uses Budget'!C36</f>
        <v>246000</v>
      </c>
      <c r="C36" s="363"/>
      <c r="D36" s="363"/>
      <c r="E36" s="362">
        <f>'Sources and Uses Budget'!S36</f>
        <v>246000</v>
      </c>
      <c r="F36" s="363"/>
      <c r="G36" s="363"/>
      <c r="H36" s="362">
        <f>'Sources and Uses Budget'!T36</f>
        <v>0</v>
      </c>
      <c r="I36" s="363"/>
      <c r="J36" s="363"/>
      <c r="K36" s="360"/>
    </row>
    <row r="37" spans="1:11" s="361" customFormat="1">
      <c r="A37" s="365" t="str">
        <f>'Sources and Uses Budget'!$A37</f>
        <v>Other:</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38523448</v>
      </c>
      <c r="C38" s="362">
        <f>SUM(C29:C37)</f>
        <v>0</v>
      </c>
      <c r="D38" s="362">
        <f>SUM(D29:D37)</f>
        <v>0</v>
      </c>
      <c r="E38" s="362">
        <f>'Sources and Uses Budget'!S38</f>
        <v>38523448</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3641181</v>
      </c>
      <c r="C40" s="363"/>
      <c r="D40" s="363"/>
      <c r="E40" s="362">
        <f>'Sources and Uses Budget'!S40</f>
        <v>3641181</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3641181</v>
      </c>
      <c r="C42" s="362">
        <f>SUM(C39:C41)</f>
        <v>0</v>
      </c>
      <c r="D42" s="362">
        <f>SUM(D39:D41)</f>
        <v>0</v>
      </c>
      <c r="E42" s="362">
        <f>'Sources and Uses Budget'!S42</f>
        <v>3641181</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290978</v>
      </c>
      <c r="C43" s="363"/>
      <c r="D43" s="363"/>
      <c r="E43" s="362">
        <f>'Sources and Uses Budget'!S43</f>
        <v>290978</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3954967</v>
      </c>
      <c r="C45" s="363"/>
      <c r="D45" s="363"/>
      <c r="E45" s="362">
        <f>'Sources and Uses Budget'!S45</f>
        <v>1571008</v>
      </c>
      <c r="F45" s="363"/>
      <c r="G45" s="363"/>
      <c r="H45" s="362">
        <f>'Sources and Uses Budget'!T45</f>
        <v>0</v>
      </c>
      <c r="I45" s="363"/>
      <c r="J45" s="363"/>
      <c r="K45" s="360"/>
    </row>
    <row r="46" spans="1:11" s="361" customFormat="1">
      <c r="A46" s="365" t="s">
        <v>151</v>
      </c>
      <c r="B46" s="362">
        <f>'Sources and Uses Budget'!C46</f>
        <v>398523</v>
      </c>
      <c r="C46" s="363"/>
      <c r="D46" s="363"/>
      <c r="E46" s="362">
        <f>'Sources and Uses Budget'!S46</f>
        <v>158303</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187136</v>
      </c>
      <c r="C49" s="363"/>
      <c r="D49" s="363"/>
      <c r="E49" s="362">
        <f>'Sources and Uses Budget'!S49</f>
        <v>21007</v>
      </c>
      <c r="F49" s="363"/>
      <c r="G49" s="363"/>
      <c r="H49" s="362">
        <f>'Sources and Uses Budget'!T49</f>
        <v>0</v>
      </c>
      <c r="I49" s="363"/>
      <c r="J49" s="363"/>
      <c r="K49" s="360"/>
    </row>
    <row r="50" spans="1:11" s="361" customFormat="1">
      <c r="A50" s="365" t="s">
        <v>156</v>
      </c>
      <c r="B50" s="362">
        <f>'Sources and Uses Budget'!C50</f>
        <v>50000</v>
      </c>
      <c r="C50" s="363"/>
      <c r="D50" s="363"/>
      <c r="E50" s="362">
        <f>'Sources and Uses Budget'!S50</f>
        <v>50000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1200000</v>
      </c>
      <c r="C52" s="363"/>
      <c r="D52" s="363"/>
      <c r="E52" s="362">
        <f>'Sources and Uses Budget'!S52</f>
        <v>1200000</v>
      </c>
      <c r="F52" s="363"/>
      <c r="G52" s="363"/>
      <c r="H52" s="362">
        <f>'Sources and Uses Budget'!T52</f>
        <v>0</v>
      </c>
      <c r="I52" s="363"/>
      <c r="J52" s="363"/>
      <c r="K52" s="360"/>
    </row>
    <row r="53" spans="1:11" s="361" customFormat="1">
      <c r="A53" s="365" t="str">
        <f>'Sources and Uses Budget'!$A53</f>
        <v>Other: Accrued/Deferred Interest</v>
      </c>
      <c r="B53" s="362">
        <f>'Sources and Uses Budget'!C53</f>
        <v>1008061</v>
      </c>
      <c r="C53" s="363"/>
      <c r="D53" s="363"/>
      <c r="E53" s="362">
        <f>'Sources and Uses Budget'!S53</f>
        <v>585648</v>
      </c>
      <c r="F53" s="363"/>
      <c r="G53" s="363"/>
      <c r="H53" s="362">
        <f>'Sources and Uses Budget'!T53</f>
        <v>0</v>
      </c>
      <c r="I53" s="363"/>
      <c r="J53" s="363"/>
      <c r="K53" s="360"/>
    </row>
    <row r="54" spans="1:11" s="370" customFormat="1">
      <c r="A54" s="366" t="s">
        <v>157</v>
      </c>
      <c r="B54" s="362">
        <f>'Sources and Uses Budget'!C54</f>
        <v>6798687</v>
      </c>
      <c r="C54" s="368">
        <f>SUM(C45:C53)</f>
        <v>0</v>
      </c>
      <c r="D54" s="368">
        <f>SUM(D45:D53)</f>
        <v>0</v>
      </c>
      <c r="E54" s="362">
        <f>'Sources and Uses Budget'!S54</f>
        <v>3585966</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99520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25859</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ht="24">
      <c r="A61" s="365" t="str">
        <f>'Sources and Uses Budget'!$A61</f>
        <v>Other:SCC Loan Org. Fee; Legal (Borrower &amp; Lender)</v>
      </c>
      <c r="B61" s="362">
        <f>'Sources and Uses Budget'!C61</f>
        <v>90000</v>
      </c>
      <c r="C61" s="363"/>
      <c r="D61" s="363"/>
      <c r="E61" s="364"/>
      <c r="F61" s="364"/>
      <c r="G61" s="364"/>
      <c r="H61" s="364"/>
      <c r="I61" s="364"/>
      <c r="J61" s="364"/>
      <c r="K61" s="360"/>
    </row>
    <row r="62" spans="1:11" s="361" customFormat="1" ht="13.7" customHeight="1">
      <c r="A62" s="366" t="s">
        <v>300</v>
      </c>
      <c r="B62" s="362">
        <f>'Sources and Uses Budget'!C62</f>
        <v>215379</v>
      </c>
      <c r="C62" s="362">
        <f>SUM(C56:C61)</f>
        <v>0</v>
      </c>
      <c r="D62" s="362">
        <f>SUM(D56:D61)</f>
        <v>0</v>
      </c>
      <c r="E62" s="364"/>
      <c r="F62" s="364"/>
      <c r="G62" s="364"/>
      <c r="H62" s="364"/>
      <c r="I62" s="364"/>
      <c r="J62" s="364"/>
      <c r="K62" s="360"/>
    </row>
    <row r="63" spans="1:11" s="361" customFormat="1">
      <c r="A63" s="371" t="s">
        <v>301</v>
      </c>
      <c r="B63" s="362">
        <f>'Sources and Uses Budget'!C63</f>
        <v>51708929</v>
      </c>
      <c r="C63" s="362">
        <f>SUM(C8+C11+C13+C14+C15+C26+C27+C38+C42+C43+C54+C62)</f>
        <v>0</v>
      </c>
      <c r="D63" s="362">
        <f>SUM(D8+D11+D13+D14+D15+D26+D27+D38+D42+D43+D54+D62)</f>
        <v>0</v>
      </c>
      <c r="E63" s="362">
        <f>'Sources and Uses Budget'!S63</f>
        <v>47108015</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65000</v>
      </c>
      <c r="C65" s="363"/>
      <c r="D65" s="363"/>
      <c r="E65" s="362">
        <f>'Sources and Uses Budget'!S65</f>
        <v>25820</v>
      </c>
      <c r="F65" s="363"/>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Borrower Legal/Const</v>
      </c>
      <c r="B69" s="362">
        <f>'Sources and Uses Budget'!C69</f>
        <v>70000</v>
      </c>
      <c r="C69" s="363"/>
      <c r="D69" s="363"/>
      <c r="E69" s="362">
        <f>'Sources and Uses Budget'!S69</f>
        <v>70000</v>
      </c>
      <c r="F69" s="363"/>
      <c r="G69" s="363"/>
      <c r="H69" s="362">
        <f>'Sources and Uses Budget'!T69</f>
        <v>0</v>
      </c>
      <c r="I69" s="363"/>
      <c r="J69" s="363"/>
      <c r="K69" s="360"/>
    </row>
    <row r="70" spans="1:11" s="361" customFormat="1">
      <c r="A70" s="366" t="s">
        <v>601</v>
      </c>
      <c r="B70" s="362">
        <f>'Sources and Uses Budget'!C70</f>
        <v>135000</v>
      </c>
      <c r="C70" s="362">
        <f>SUM(C64:C69)</f>
        <v>0</v>
      </c>
      <c r="D70" s="362">
        <f>SUM(D64:D69)</f>
        <v>0</v>
      </c>
      <c r="E70" s="362">
        <f>'Sources and Uses Budget'!S70</f>
        <v>95820</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391000</v>
      </c>
      <c r="C75" s="363"/>
      <c r="D75" s="363"/>
      <c r="E75" s="364"/>
      <c r="F75" s="364"/>
      <c r="G75" s="364"/>
      <c r="H75" s="364"/>
      <c r="I75" s="364"/>
      <c r="J75" s="364"/>
      <c r="K75" s="360"/>
    </row>
    <row r="76" spans="1:11" s="361" customFormat="1">
      <c r="A76" s="365" t="str">
        <f>'Sources and Uses Budget'!$A76</f>
        <v>Other: HCD Pooled Transition Reserve</v>
      </c>
      <c r="B76" s="362">
        <f>'Sources and Uses Budget'!C76</f>
        <v>146893</v>
      </c>
      <c r="C76" s="363"/>
      <c r="D76" s="363"/>
      <c r="E76" s="364"/>
      <c r="F76" s="364"/>
      <c r="G76" s="364"/>
      <c r="H76" s="364"/>
      <c r="I76" s="364"/>
      <c r="J76" s="364"/>
      <c r="K76" s="360"/>
    </row>
    <row r="77" spans="1:11" s="361" customFormat="1">
      <c r="A77" s="366" t="s">
        <v>606</v>
      </c>
      <c r="B77" s="362">
        <f>'Sources and Uses Budget'!C77</f>
        <v>537893</v>
      </c>
      <c r="C77" s="362">
        <f>SUM(C72:C76)</f>
        <v>0</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1998291</v>
      </c>
      <c r="C79" s="363"/>
      <c r="D79" s="363"/>
      <c r="E79" s="362">
        <f>'Sources and Uses Budget'!S79</f>
        <v>1998291</v>
      </c>
      <c r="F79" s="363"/>
      <c r="G79" s="363"/>
      <c r="H79" s="362">
        <f>'Sources and Uses Budget'!T79</f>
        <v>0</v>
      </c>
      <c r="I79" s="363"/>
      <c r="J79" s="363"/>
      <c r="K79" s="360"/>
    </row>
    <row r="80" spans="1:11" s="361" customFormat="1">
      <c r="A80" s="365" t="s">
        <v>58</v>
      </c>
      <c r="B80" s="362">
        <f>'Sources and Uses Budget'!C80</f>
        <v>616000</v>
      </c>
      <c r="C80" s="363"/>
      <c r="D80" s="363"/>
      <c r="E80" s="362">
        <f>'Sources and Uses Budget'!S80</f>
        <v>616000</v>
      </c>
      <c r="F80" s="363"/>
      <c r="G80" s="363"/>
      <c r="H80" s="362">
        <f>'Sources and Uses Budget'!T80</f>
        <v>0</v>
      </c>
      <c r="I80" s="363"/>
      <c r="J80" s="363"/>
      <c r="K80" s="360"/>
    </row>
    <row r="81" spans="1:11" s="361" customFormat="1">
      <c r="A81" s="366" t="s">
        <v>1209</v>
      </c>
      <c r="B81" s="362">
        <f>'Sources and Uses Budget'!C81</f>
        <v>2614291</v>
      </c>
      <c r="C81" s="362">
        <f>SUM(C79:C80)</f>
        <v>0</v>
      </c>
      <c r="D81" s="362">
        <f>SUM(D79:D80)</f>
        <v>0</v>
      </c>
      <c r="E81" s="362">
        <f>'Sources and Uses Budget'!S81</f>
        <v>2614291</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78941</v>
      </c>
      <c r="C83" s="363"/>
      <c r="D83" s="363"/>
      <c r="E83" s="364"/>
      <c r="F83" s="364"/>
      <c r="G83" s="364"/>
      <c r="H83" s="364"/>
      <c r="I83" s="364"/>
      <c r="J83" s="364"/>
      <c r="K83" s="360"/>
    </row>
    <row r="84" spans="1:11" s="361" customFormat="1">
      <c r="A84" s="145" t="s">
        <v>767</v>
      </c>
      <c r="B84" s="362">
        <f>'Sources and Uses Budget'!C84</f>
        <v>50455</v>
      </c>
      <c r="C84" s="363"/>
      <c r="D84" s="363"/>
      <c r="E84" s="362">
        <f>'Sources and Uses Budget'!S84</f>
        <v>50455</v>
      </c>
      <c r="F84" s="363"/>
      <c r="G84" s="363"/>
      <c r="H84" s="362">
        <f>'Sources and Uses Budget'!T84</f>
        <v>0</v>
      </c>
      <c r="I84" s="363"/>
      <c r="J84" s="363"/>
      <c r="K84" s="360"/>
    </row>
    <row r="85" spans="1:11" s="361" customFormat="1">
      <c r="A85" s="145" t="s">
        <v>768</v>
      </c>
      <c r="B85" s="362">
        <f>'Sources and Uses Budget'!C85</f>
        <v>2910000</v>
      </c>
      <c r="C85" s="363"/>
      <c r="D85" s="363"/>
      <c r="E85" s="362">
        <f>'Sources and Uses Budget'!S85</f>
        <v>2910000</v>
      </c>
      <c r="F85" s="363"/>
      <c r="G85" s="363"/>
      <c r="H85" s="362">
        <f>'Sources and Uses Budget'!T85</f>
        <v>0</v>
      </c>
      <c r="I85" s="363"/>
      <c r="J85" s="363"/>
      <c r="K85" s="360"/>
    </row>
    <row r="86" spans="1:11" s="361" customFormat="1">
      <c r="A86" s="145" t="s">
        <v>769</v>
      </c>
      <c r="B86" s="362">
        <f>'Sources and Uses Budget'!C86</f>
        <v>528000</v>
      </c>
      <c r="C86" s="363"/>
      <c r="D86" s="363"/>
      <c r="E86" s="362">
        <f>'Sources and Uses Budget'!S86</f>
        <v>528000</v>
      </c>
      <c r="F86" s="363"/>
      <c r="G86" s="363"/>
      <c r="H86" s="362">
        <f>'Sources and Uses Budget'!T86</f>
        <v>0</v>
      </c>
      <c r="I86" s="363"/>
      <c r="J86" s="363"/>
      <c r="K86" s="360"/>
    </row>
    <row r="87" spans="1:11" s="361" customFormat="1">
      <c r="A87" s="145" t="s">
        <v>770</v>
      </c>
      <c r="B87" s="362">
        <f>'Sources and Uses Budget'!C87</f>
        <v>250000</v>
      </c>
      <c r="C87" s="363"/>
      <c r="D87" s="363"/>
      <c r="E87" s="362">
        <f>'Sources and Uses Budget'!S87</f>
        <v>250000</v>
      </c>
      <c r="F87" s="363"/>
      <c r="G87" s="363"/>
      <c r="H87" s="362">
        <f>'Sources and Uses Budget'!T87</f>
        <v>0</v>
      </c>
      <c r="I87" s="363"/>
      <c r="J87" s="363"/>
      <c r="K87" s="360"/>
    </row>
    <row r="88" spans="1:11" s="361" customFormat="1">
      <c r="A88" s="145" t="s">
        <v>771</v>
      </c>
      <c r="B88" s="362">
        <f>'Sources and Uses Budget'!C88</f>
        <v>104750</v>
      </c>
      <c r="C88" s="363"/>
      <c r="D88" s="363"/>
      <c r="E88" s="364"/>
      <c r="F88" s="364"/>
      <c r="G88" s="364"/>
      <c r="H88" s="364"/>
      <c r="I88" s="364"/>
      <c r="J88" s="364"/>
      <c r="K88" s="360"/>
    </row>
    <row r="89" spans="1:11" s="361" customFormat="1">
      <c r="A89" s="145" t="s">
        <v>772</v>
      </c>
      <c r="B89" s="362">
        <f>'Sources and Uses Budget'!C89</f>
        <v>250000</v>
      </c>
      <c r="C89" s="363"/>
      <c r="D89" s="363"/>
      <c r="E89" s="362">
        <f>'Sources and Uses Budget'!S89</f>
        <v>250000</v>
      </c>
      <c r="F89" s="363"/>
      <c r="G89" s="363"/>
      <c r="H89" s="362">
        <f>'Sources and Uses Budget'!T89</f>
        <v>0</v>
      </c>
      <c r="I89" s="363"/>
      <c r="J89" s="363"/>
      <c r="K89" s="360"/>
    </row>
    <row r="90" spans="1:11" s="361" customFormat="1">
      <c r="A90" s="145" t="s">
        <v>773</v>
      </c>
      <c r="B90" s="362">
        <f>'Sources and Uses Budget'!C90</f>
        <v>7000</v>
      </c>
      <c r="C90" s="363"/>
      <c r="D90" s="363"/>
      <c r="E90" s="362">
        <f>'Sources and Uses Budget'!S90</f>
        <v>0</v>
      </c>
      <c r="F90" s="363"/>
      <c r="G90" s="363"/>
      <c r="H90" s="362">
        <f>'Sources and Uses Budget'!T90</f>
        <v>0</v>
      </c>
      <c r="I90" s="363"/>
      <c r="J90" s="363"/>
      <c r="K90" s="360"/>
    </row>
    <row r="91" spans="1:11" s="361" customFormat="1">
      <c r="A91" s="155" t="s">
        <v>371</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8000</v>
      </c>
      <c r="C92" s="363"/>
      <c r="D92" s="363"/>
      <c r="E92" s="362">
        <f>'Sources and Uses Budget'!S92</f>
        <v>8000</v>
      </c>
      <c r="F92" s="363"/>
      <c r="G92" s="363"/>
      <c r="H92" s="362">
        <f>'Sources and Uses Budget'!T92</f>
        <v>0</v>
      </c>
      <c r="I92" s="363"/>
      <c r="J92" s="363"/>
      <c r="K92" s="360"/>
    </row>
    <row r="93" spans="1:11" s="361" customFormat="1">
      <c r="A93" s="365" t="str">
        <f>'Sources and Uses Budget'!$A93</f>
        <v>Other: Special Inspections &amp; Testing</v>
      </c>
      <c r="B93" s="362">
        <f>'Sources and Uses Budget'!C93</f>
        <v>365000</v>
      </c>
      <c r="C93" s="363"/>
      <c r="D93" s="363"/>
      <c r="E93" s="362">
        <f>'Sources and Uses Budget'!S93</f>
        <v>365000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4552146</v>
      </c>
      <c r="C96" s="362">
        <f>SUM(C83:C95)</f>
        <v>0</v>
      </c>
      <c r="D96" s="362">
        <f>SUM(D83:D95)</f>
        <v>0</v>
      </c>
      <c r="E96" s="362">
        <f>'Sources and Uses Budget'!S96</f>
        <v>4361455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59548259</v>
      </c>
      <c r="C97" s="362">
        <f>SUM(C63+C70+C77+C81+C96)</f>
        <v>0</v>
      </c>
      <c r="D97" s="362">
        <f>SUM(D63+D70+D77+D81+D96)</f>
        <v>0</v>
      </c>
      <c r="E97" s="362">
        <f>'Sources and Uses Budget'!S97</f>
        <v>54179581</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5900000</v>
      </c>
      <c r="C99" s="363"/>
      <c r="D99" s="363"/>
      <c r="E99" s="362">
        <f>'Sources and Uses Budget'!S99</f>
        <v>5900000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5900000</v>
      </c>
      <c r="C104" s="362">
        <f>SUM(C99:C103)</f>
        <v>0</v>
      </c>
      <c r="D104" s="362">
        <f>SUM(D99:D103)</f>
        <v>0</v>
      </c>
      <c r="E104" s="362">
        <f>'Sources and Uses Budget'!S104</f>
        <v>5900000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65448259</v>
      </c>
      <c r="C105" s="368">
        <f>SUM(C97+C104)</f>
        <v>0</v>
      </c>
      <c r="D105" s="368">
        <f>SUM(D97+D104)</f>
        <v>0</v>
      </c>
      <c r="E105" s="362">
        <f>'Sources and Uses Budget'!S105</f>
        <v>60079581</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60079581</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3"/>
      <c r="E124" s="1316"/>
      <c r="F124" s="1316"/>
      <c r="G124" s="1316"/>
      <c r="H124" s="1316"/>
      <c r="I124" s="1316"/>
      <c r="J124" s="377"/>
      <c r="K124" s="360"/>
    </row>
    <row r="125" spans="1:11" s="361" customFormat="1" ht="12.75">
      <c r="A125" s="386"/>
      <c r="B125" s="385"/>
      <c r="C125" s="386"/>
      <c r="D125" s="1316"/>
      <c r="E125" s="1316"/>
      <c r="F125" s="1316"/>
      <c r="G125" s="1316"/>
      <c r="H125" s="1316"/>
      <c r="I125" s="1316"/>
      <c r="J125" s="377"/>
      <c r="K125" s="360"/>
    </row>
    <row r="126" spans="1:11" s="361" customFormat="1" ht="12.75">
      <c r="A126" s="386"/>
      <c r="B126" s="385"/>
      <c r="C126" s="386"/>
      <c r="D126" s="1316"/>
      <c r="E126" s="1316"/>
      <c r="F126" s="1316"/>
      <c r="G126" s="1316"/>
      <c r="H126" s="1316"/>
      <c r="I126" s="1316"/>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4"/>
      <c r="B139" s="1316"/>
      <c r="C139" s="1316"/>
      <c r="D139" s="357"/>
      <c r="E139" s="386"/>
      <c r="F139" s="386"/>
      <c r="G139" s="386"/>
    </row>
    <row r="140" spans="1:11" ht="12" customHeight="1">
      <c r="A140" s="1303"/>
      <c r="B140" s="1303"/>
      <c r="C140" s="130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zoomScale="140" zoomScaleNormal="140" workbookViewId="0">
      <selection sqref="A1:BE2"/>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42578125" style="1189" bestFit="1" customWidth="1"/>
    <col min="67" max="68" width="5.42578125" style="1189" hidden="1" customWidth="1"/>
    <col min="69" max="69" width="8" style="1189" hidden="1" customWidth="1"/>
    <col min="70" max="70" width="6" style="1189" hidden="1" customWidth="1"/>
    <col min="71" max="71" width="6.140625" style="1189" hidden="1" customWidth="1"/>
    <col min="72" max="76" width="5.42578125" style="1189" hidden="1" customWidth="1"/>
    <col min="77" max="77" width="6.140625" style="1189" bestFit="1" customWidth="1"/>
    <col min="78" max="78" width="5.42578125" style="1189" bestFit="1" customWidth="1"/>
    <col min="79" max="16384" width="2.7109375" style="1189"/>
  </cols>
  <sheetData>
    <row r="1" spans="1:65" ht="15.75" customHeight="1">
      <c r="A1" s="2326" t="s">
        <v>2460</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2459</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8" t="str">
        <f>IF(Application!H18="","",Application!H18)</f>
        <v>The Magnolias</v>
      </c>
      <c r="M4" s="2319"/>
      <c r="N4" s="2319"/>
      <c r="O4" s="2319"/>
      <c r="P4" s="2319"/>
      <c r="Q4" s="2319"/>
      <c r="R4" s="2319"/>
      <c r="S4" s="2319"/>
      <c r="T4" s="2319"/>
      <c r="U4" s="2319"/>
      <c r="V4" s="2319"/>
      <c r="W4" s="2319"/>
      <c r="X4" s="2319"/>
      <c r="Y4" s="2319"/>
      <c r="Z4" s="2319"/>
      <c r="AA4" s="2319"/>
      <c r="AB4" s="2319"/>
      <c r="AC4" s="2320"/>
      <c r="AD4" s="1192"/>
      <c r="AE4" s="1192"/>
      <c r="AF4" s="2314" t="s">
        <v>2458</v>
      </c>
      <c r="AG4" s="2314"/>
      <c r="AH4" s="2314"/>
      <c r="AI4" s="2314"/>
      <c r="AJ4" s="2314"/>
      <c r="AK4" s="2314"/>
      <c r="AL4" s="2314"/>
      <c r="AM4" s="2314"/>
      <c r="AN4" s="2314"/>
      <c r="AO4" s="2314"/>
      <c r="AP4" s="2315"/>
      <c r="AQ4" s="2316"/>
      <c r="AR4" s="2316"/>
      <c r="AS4" s="2316"/>
      <c r="AT4" s="2316"/>
      <c r="AU4" s="2316"/>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4" t="s">
        <v>2457</v>
      </c>
      <c r="AG5" s="2314"/>
      <c r="AH5" s="2314"/>
      <c r="AI5" s="2314"/>
      <c r="AJ5" s="2314"/>
      <c r="AK5" s="2314"/>
      <c r="AL5" s="2314"/>
      <c r="AM5" s="2314"/>
      <c r="AN5" s="2314"/>
      <c r="AO5" s="2314"/>
      <c r="AP5" s="2315"/>
      <c r="AQ5" s="2316"/>
      <c r="AR5" s="2316"/>
      <c r="AS5" s="2316"/>
      <c r="AT5" s="2316"/>
      <c r="AU5" s="2316"/>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8" t="str">
        <f>IF(Application!H16="","",Application!H16)</f>
        <v>The Magnolias LP</v>
      </c>
      <c r="M6" s="2319"/>
      <c r="N6" s="2319"/>
      <c r="O6" s="2319"/>
      <c r="P6" s="2319"/>
      <c r="Q6" s="2319"/>
      <c r="R6" s="2319"/>
      <c r="S6" s="2319"/>
      <c r="T6" s="2319"/>
      <c r="U6" s="2319"/>
      <c r="V6" s="2319"/>
      <c r="W6" s="2319"/>
      <c r="X6" s="2319"/>
      <c r="Y6" s="2319"/>
      <c r="Z6" s="2319"/>
      <c r="AA6" s="2319"/>
      <c r="AB6" s="2319"/>
      <c r="AC6" s="2320"/>
      <c r="AD6" s="1192"/>
      <c r="AE6" s="1192"/>
      <c r="AF6" s="2321" t="s">
        <v>2455</v>
      </c>
      <c r="AG6" s="2321"/>
      <c r="AH6" s="2321"/>
      <c r="AI6" s="2321"/>
      <c r="AJ6" s="2321"/>
      <c r="AK6" s="2321"/>
      <c r="AL6" s="2321"/>
      <c r="AM6" s="2321"/>
      <c r="AN6" s="2321"/>
      <c r="AO6" s="2321"/>
      <c r="AP6" s="2322"/>
      <c r="AQ6" s="2322"/>
      <c r="AR6" s="2322"/>
      <c r="AS6" s="2322"/>
      <c r="AT6" s="2322"/>
      <c r="AU6" s="2322"/>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1" t="s">
        <v>2454</v>
      </c>
      <c r="AG7" s="2321"/>
      <c r="AH7" s="2321"/>
      <c r="AI7" s="2321"/>
      <c r="AJ7" s="2321"/>
      <c r="AK7" s="2321"/>
      <c r="AL7" s="2321"/>
      <c r="AM7" s="2321"/>
      <c r="AN7" s="2321"/>
      <c r="AO7" s="2321"/>
      <c r="AP7" s="2322"/>
      <c r="AQ7" s="2322"/>
      <c r="AR7" s="2322"/>
      <c r="AS7" s="2322"/>
      <c r="AT7" s="2322"/>
      <c r="AU7" s="2322"/>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3" t="str">
        <f>Application!T197</f>
        <v>No</v>
      </c>
      <c r="AC8" s="2324"/>
      <c r="AD8" s="2325"/>
      <c r="AE8" s="1192"/>
      <c r="AF8" s="2321" t="s">
        <v>2452</v>
      </c>
      <c r="AG8" s="2321"/>
      <c r="AH8" s="2321"/>
      <c r="AI8" s="2321"/>
      <c r="AJ8" s="2321"/>
      <c r="AK8" s="2321"/>
      <c r="AL8" s="2321"/>
      <c r="AM8" s="2321"/>
      <c r="AN8" s="2321"/>
      <c r="AO8" s="2321"/>
      <c r="AP8" s="2322" t="s">
        <v>2100</v>
      </c>
      <c r="AQ8" s="2322"/>
      <c r="AR8" s="2322"/>
      <c r="AS8" s="2322"/>
      <c r="AT8" s="2322"/>
      <c r="AU8" s="2322"/>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4" t="s">
        <v>2451</v>
      </c>
      <c r="AG9" s="2314"/>
      <c r="AH9" s="2314"/>
      <c r="AI9" s="2314"/>
      <c r="AJ9" s="2314"/>
      <c r="AK9" s="2314"/>
      <c r="AL9" s="2314"/>
      <c r="AM9" s="2314"/>
      <c r="AN9" s="2314"/>
      <c r="AO9" s="2314"/>
      <c r="AP9" s="2315"/>
      <c r="AQ9" s="2316"/>
      <c r="AR9" s="2316"/>
      <c r="AS9" s="2316"/>
      <c r="AT9" s="2316"/>
      <c r="AU9" s="2316"/>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2317">
        <f>Application!AO627</f>
        <v>9952000</v>
      </c>
      <c r="O10" s="2317"/>
      <c r="P10" s="2317"/>
      <c r="Q10" s="2317"/>
      <c r="R10" s="2317"/>
      <c r="S10" s="2317"/>
      <c r="T10" s="2317"/>
      <c r="U10" s="1192"/>
      <c r="V10" s="1192"/>
      <c r="W10" s="1192"/>
      <c r="X10" s="1195"/>
      <c r="Y10" s="1195"/>
      <c r="Z10" s="1195"/>
      <c r="AA10" s="1195"/>
      <c r="AB10" s="1195"/>
      <c r="AC10" s="1195"/>
      <c r="AD10" s="1195"/>
      <c r="AE10" s="1195"/>
      <c r="AF10" s="2314" t="s">
        <v>2448</v>
      </c>
      <c r="AG10" s="2314"/>
      <c r="AH10" s="2314"/>
      <c r="AI10" s="2314"/>
      <c r="AJ10" s="2314"/>
      <c r="AK10" s="2314"/>
      <c r="AL10" s="2314"/>
      <c r="AM10" s="2314"/>
      <c r="AN10" s="2314"/>
      <c r="AO10" s="2314"/>
      <c r="AP10" s="2315"/>
      <c r="AQ10" s="2316"/>
      <c r="AR10" s="2316"/>
      <c r="AS10" s="2316"/>
      <c r="AT10" s="2316"/>
      <c r="AU10" s="2316"/>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2317">
        <f>Application!AA933</f>
        <v>0</v>
      </c>
      <c r="O11" s="2317"/>
      <c r="P11" s="2317"/>
      <c r="Q11" s="2317"/>
      <c r="R11" s="2317"/>
      <c r="S11" s="2317"/>
      <c r="T11" s="2317"/>
      <c r="U11" s="1192"/>
      <c r="V11" s="1192"/>
      <c r="W11" s="1192"/>
      <c r="X11" s="1195"/>
      <c r="Y11" s="1195"/>
      <c r="Z11" s="1195"/>
      <c r="AA11" s="1195"/>
      <c r="AB11" s="1195"/>
      <c r="AC11" s="1195"/>
      <c r="AD11" s="1195"/>
      <c r="AE11" s="1195"/>
      <c r="AF11" s="2314" t="s">
        <v>2445</v>
      </c>
      <c r="AG11" s="2314"/>
      <c r="AH11" s="2314"/>
      <c r="AI11" s="2314"/>
      <c r="AJ11" s="2314"/>
      <c r="AK11" s="2314"/>
      <c r="AL11" s="2314"/>
      <c r="AM11" s="2314"/>
      <c r="AN11" s="2314"/>
      <c r="AO11" s="2314"/>
      <c r="AP11" s="2315"/>
      <c r="AQ11" s="2316"/>
      <c r="AR11" s="2316"/>
      <c r="AS11" s="2316"/>
      <c r="AT11" s="2316"/>
      <c r="AU11" s="2316"/>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2305" t="s">
        <v>2443</v>
      </c>
      <c r="C13" s="2306"/>
      <c r="D13" s="2306"/>
      <c r="E13" s="2306"/>
      <c r="F13" s="2306"/>
      <c r="G13" s="2306"/>
      <c r="H13" s="2306"/>
      <c r="I13" s="2306"/>
      <c r="J13" s="2306"/>
      <c r="K13" s="2306"/>
      <c r="L13" s="2306"/>
      <c r="M13" s="2306"/>
      <c r="N13" s="2306"/>
      <c r="O13" s="2306"/>
      <c r="P13" s="2307"/>
      <c r="Q13" s="2308" t="s">
        <v>669</v>
      </c>
      <c r="R13" s="2309"/>
      <c r="S13" s="2309"/>
      <c r="T13" s="2310"/>
      <c r="U13" s="1195"/>
      <c r="V13" s="1192"/>
      <c r="W13" s="1192"/>
      <c r="X13" s="1192"/>
      <c r="Y13" s="1192"/>
      <c r="Z13" s="1192"/>
      <c r="AA13" s="2295" t="s">
        <v>2442</v>
      </c>
      <c r="AB13" s="2295"/>
      <c r="AC13" s="2295"/>
      <c r="AD13" s="2295"/>
      <c r="AE13" s="2295"/>
      <c r="AF13" s="2295"/>
      <c r="AG13" s="2295"/>
      <c r="AH13" s="2295"/>
      <c r="AI13" s="2295"/>
      <c r="AJ13" s="2295"/>
      <c r="AK13" s="2295"/>
      <c r="AL13" s="2295"/>
      <c r="AM13" s="2295"/>
      <c r="AN13" s="2295"/>
      <c r="AO13" s="2311">
        <f>Application!W473</f>
        <v>0</v>
      </c>
      <c r="AP13" s="2312"/>
      <c r="AQ13" s="2312"/>
      <c r="AR13" s="2312"/>
      <c r="AS13" s="2312"/>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3" t="s">
        <v>2440</v>
      </c>
      <c r="AB14" s="2313"/>
      <c r="AC14" s="2313"/>
      <c r="AD14" s="2313"/>
      <c r="AE14" s="2313"/>
      <c r="AF14" s="2313"/>
      <c r="AG14" s="2313"/>
      <c r="AH14" s="2313"/>
      <c r="AI14" s="2313"/>
      <c r="AJ14" s="2313"/>
      <c r="AK14" s="2313"/>
      <c r="AL14" s="2313"/>
      <c r="AM14" s="2313"/>
      <c r="AN14" s="2313"/>
      <c r="AO14" s="2296"/>
      <c r="AP14" s="2297"/>
      <c r="AQ14" s="2297"/>
      <c r="AR14" s="2297"/>
      <c r="AS14" s="2297"/>
      <c r="AT14" s="1195"/>
      <c r="AU14" s="1195"/>
      <c r="AV14" s="1195"/>
      <c r="AW14" s="1195"/>
      <c r="AX14" s="1195"/>
      <c r="AY14" s="1195"/>
      <c r="AZ14" s="1195"/>
      <c r="BA14" s="1195"/>
      <c r="BB14" s="1195"/>
      <c r="BC14" s="1195"/>
      <c r="BD14" s="1195"/>
      <c r="BE14" s="1196"/>
    </row>
    <row r="15" spans="1:65" thickBot="1">
      <c r="A15" s="1192"/>
      <c r="B15" s="2290" t="s">
        <v>2439</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5"/>
      <c r="Y15" s="1192"/>
      <c r="Z15" s="1192"/>
      <c r="AA15" s="2295" t="s">
        <v>2438</v>
      </c>
      <c r="AB15" s="2295"/>
      <c r="AC15" s="2295"/>
      <c r="AD15" s="2295"/>
      <c r="AE15" s="2295"/>
      <c r="AF15" s="2295"/>
      <c r="AG15" s="2295"/>
      <c r="AH15" s="2295"/>
      <c r="AI15" s="2295"/>
      <c r="AJ15" s="2295"/>
      <c r="AK15" s="2295"/>
      <c r="AL15" s="2295"/>
      <c r="AM15" s="2295"/>
      <c r="AN15" s="2295"/>
      <c r="AO15" s="2296"/>
      <c r="AP15" s="2297"/>
      <c r="AQ15" s="2297"/>
      <c r="AR15" s="2297"/>
      <c r="AS15" s="2297"/>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100" t="s">
        <v>2437</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2"/>
      <c r="BA17" s="1192"/>
      <c r="BB17" s="1192"/>
      <c r="BC17" s="1192"/>
      <c r="BD17" s="1192"/>
      <c r="BE17" s="1196"/>
      <c r="BF17" s="1190"/>
    </row>
    <row r="18" spans="1:58" ht="15.75" customHeight="1">
      <c r="A18" s="1192"/>
      <c r="B18" s="2298" t="s">
        <v>2436</v>
      </c>
      <c r="C18" s="2299"/>
      <c r="D18" s="2299"/>
      <c r="E18" s="2299"/>
      <c r="F18" s="2299"/>
      <c r="G18" s="2299"/>
      <c r="H18" s="2299"/>
      <c r="I18" s="2300"/>
      <c r="J18" s="2301" t="s">
        <v>1586</v>
      </c>
      <c r="K18" s="2302"/>
      <c r="L18" s="2302"/>
      <c r="M18" s="2302"/>
      <c r="N18" s="2302"/>
      <c r="O18" s="2303"/>
      <c r="P18" s="2301" t="s">
        <v>323</v>
      </c>
      <c r="Q18" s="2302"/>
      <c r="R18" s="2302"/>
      <c r="S18" s="2302"/>
      <c r="T18" s="2302"/>
      <c r="U18" s="2303"/>
      <c r="V18" s="2301" t="s">
        <v>324</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2435</v>
      </c>
      <c r="AU18" s="2302"/>
      <c r="AV18" s="2302"/>
      <c r="AW18" s="2302"/>
      <c r="AX18" s="2302"/>
      <c r="AY18" s="2304"/>
      <c r="AZ18" s="1192"/>
      <c r="BA18" s="1192"/>
      <c r="BB18" s="1192"/>
      <c r="BC18" s="1192"/>
      <c r="BD18" s="1192"/>
      <c r="BE18" s="1196"/>
    </row>
    <row r="19" spans="1:58" ht="15">
      <c r="A19" s="1192"/>
      <c r="B19" s="2284">
        <v>0.3</v>
      </c>
      <c r="C19" s="2285"/>
      <c r="D19" s="2285"/>
      <c r="E19" s="2285"/>
      <c r="F19" s="2285"/>
      <c r="G19" s="2285"/>
      <c r="H19" s="2285"/>
      <c r="I19" s="2286"/>
      <c r="J19" s="2287">
        <f t="shared" ref="J19:J24" si="0">SUM(P19:AS19)</f>
        <v>32</v>
      </c>
      <c r="K19" s="2288"/>
      <c r="L19" s="2288"/>
      <c r="M19" s="2288"/>
      <c r="N19" s="2288"/>
      <c r="O19" s="2289"/>
      <c r="P19" s="2287" cm="1">
        <f t="array" ref="P19">SUMPRODUCT((Application!$B$718:$B$752 = 'CalHFA Addendum'!P$18)*(Application!$AC$718:$AC$752 = 'CalHFA Addendum'!$B19),Application!$G$718:$G$752)</f>
        <v>11</v>
      </c>
      <c r="Q19" s="2288"/>
      <c r="R19" s="2288"/>
      <c r="S19" s="2288"/>
      <c r="T19" s="2288"/>
      <c r="U19" s="2289"/>
      <c r="V19" s="2287" cm="1">
        <f t="array" ref="V19">SUMPRODUCT((Application!$B$714:$B$738 = 'CalHFA Addendum'!V$18)*(Application!$AC$714:$AC$738 = 'CalHFA Addendum'!$B19),Application!$G$714:$G$738)</f>
        <v>1</v>
      </c>
      <c r="W19" s="2288"/>
      <c r="X19" s="2288"/>
      <c r="Y19" s="2288"/>
      <c r="Z19" s="2288"/>
      <c r="AA19" s="2289"/>
      <c r="AB19" s="2287" cm="1">
        <f t="array" ref="AB19">SUMPRODUCT((Application!$B$714:$B$738 = 'CalHFA Addendum'!AB$18)*(Application!$AC$714:$AC$738 = 'CalHFA Addendum'!$B19),Application!$G$714:$G$738)</f>
        <v>12</v>
      </c>
      <c r="AC19" s="2288"/>
      <c r="AD19" s="2288"/>
      <c r="AE19" s="2288"/>
      <c r="AF19" s="2288"/>
      <c r="AG19" s="2289"/>
      <c r="AH19" s="2287" cm="1">
        <f t="array" ref="AH19">SUMPRODUCT((Application!$B$714:$B$738 = 'CalHFA Addendum'!AH$18)*(Application!$AC$714:$AC$738 = 'CalHFA Addendum'!$B19),Application!$G$714:$G$738)</f>
        <v>8</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0.48484848484848486</v>
      </c>
      <c r="AU19" s="2273"/>
      <c r="AV19" s="2273"/>
      <c r="AW19" s="2273"/>
      <c r="AX19" s="2273"/>
      <c r="AY19" s="2274"/>
      <c r="AZ19" s="1197"/>
      <c r="BA19" s="1192"/>
      <c r="BB19" s="1192"/>
      <c r="BC19" s="1192"/>
      <c r="BD19" s="1192"/>
      <c r="BE19" s="1196"/>
    </row>
    <row r="20" spans="1:58" ht="15" customHeight="1">
      <c r="A20" s="1192"/>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92"/>
      <c r="BA20" s="1192"/>
      <c r="BB20" s="1192"/>
      <c r="BC20" s="1192"/>
      <c r="BD20" s="1192"/>
      <c r="BE20" s="1196"/>
    </row>
    <row r="21" spans="1:58" ht="15">
      <c r="A21" s="1192"/>
      <c r="B21" s="2284">
        <v>0.5</v>
      </c>
      <c r="C21" s="2285"/>
      <c r="D21" s="2285"/>
      <c r="E21" s="2285"/>
      <c r="F21" s="2285"/>
      <c r="G21" s="2285"/>
      <c r="H21" s="2285"/>
      <c r="I21" s="2286"/>
      <c r="J21" s="2287">
        <f t="shared" si="0"/>
        <v>33</v>
      </c>
      <c r="K21" s="2288"/>
      <c r="L21" s="2288"/>
      <c r="M21" s="2288"/>
      <c r="N21" s="2288"/>
      <c r="O21" s="2289"/>
      <c r="P21" s="2287" cm="1">
        <f t="array" ref="P21">SUMPRODUCT((Application!$B$714:$B$738 = 'CalHFA Addendum'!P$18)*(Application!$AC$714:$AC$738 = 'CalHFA Addendum'!$B21),Application!$G$714:$G$738)</f>
        <v>4</v>
      </c>
      <c r="Q21" s="2288"/>
      <c r="R21" s="2288"/>
      <c r="S21" s="2288"/>
      <c r="T21" s="2288"/>
      <c r="U21" s="2289"/>
      <c r="V21" s="2287" cm="1">
        <f t="array" ref="V21">SUMPRODUCT((Application!$B$714:$B$738 = 'CalHFA Addendum'!V$18)*(Application!$AC$714:$AC$738 = 'CalHFA Addendum'!$B21),Application!$G$714:$G$738)</f>
        <v>15</v>
      </c>
      <c r="W21" s="2288"/>
      <c r="X21" s="2288"/>
      <c r="Y21" s="2288"/>
      <c r="Z21" s="2288"/>
      <c r="AA21" s="2289"/>
      <c r="AB21" s="2287" cm="1">
        <f t="array" ref="AB21">SUMPRODUCT((Application!$B$714:$B$738 = 'CalHFA Addendum'!AB$18)*(Application!$AC$714:$AC$738 = 'CalHFA Addendum'!$B21),Application!$G$714:$G$738)</f>
        <v>5</v>
      </c>
      <c r="AC21" s="2288"/>
      <c r="AD21" s="2288"/>
      <c r="AE21" s="2288"/>
      <c r="AF21" s="2288"/>
      <c r="AG21" s="2289"/>
      <c r="AH21" s="2287" cm="1">
        <f t="array" ref="AH21">SUMPRODUCT((Application!$B$714:$B$738 = 'CalHFA Addendum'!AH$18)*(Application!$AC$714:$AC$738 = 'CalHFA Addendum'!$B21),Application!$G$714:$G$738)</f>
        <v>9</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0.5</v>
      </c>
      <c r="AU21" s="2273"/>
      <c r="AV21" s="2273"/>
      <c r="AW21" s="2273"/>
      <c r="AX21" s="2273"/>
      <c r="AY21" s="2274"/>
      <c r="AZ21" s="1192"/>
      <c r="BA21" s="1192"/>
      <c r="BB21" s="1192"/>
      <c r="BC21" s="1192"/>
      <c r="BD21" s="1192"/>
      <c r="BE21" s="1196"/>
    </row>
    <row r="22" spans="1:58" ht="15">
      <c r="A22" s="1192"/>
      <c r="B22" s="2284">
        <v>0.6</v>
      </c>
      <c r="C22" s="2285"/>
      <c r="D22" s="2285"/>
      <c r="E22" s="2285"/>
      <c r="F22" s="2285"/>
      <c r="G22" s="2285"/>
      <c r="H22" s="2285"/>
      <c r="I22" s="2286"/>
      <c r="J22" s="2287">
        <f t="shared" si="0"/>
        <v>0</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v>
      </c>
      <c r="AU22" s="2273"/>
      <c r="AV22" s="2273"/>
      <c r="AW22" s="2273"/>
      <c r="AX22" s="2273"/>
      <c r="AY22" s="2274"/>
      <c r="AZ22" s="1192"/>
      <c r="BA22" s="1192"/>
      <c r="BB22" s="1192"/>
      <c r="BC22" s="1192"/>
      <c r="BD22" s="1192"/>
      <c r="BE22" s="1196"/>
    </row>
    <row r="23" spans="1:58" ht="15">
      <c r="A23" s="1192"/>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v>
      </c>
      <c r="AU23" s="2273"/>
      <c r="AV23" s="2273"/>
      <c r="AW23" s="2273"/>
      <c r="AX23" s="2273"/>
      <c r="AY23" s="2274"/>
      <c r="AZ23" s="1192"/>
      <c r="BA23" s="1192"/>
      <c r="BB23" s="1192"/>
      <c r="BC23" s="1192"/>
      <c r="BD23" s="1192"/>
      <c r="BE23" s="1196"/>
    </row>
    <row r="24" spans="1:58" ht="15">
      <c r="A24" s="1192"/>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92"/>
      <c r="BA24" s="1192"/>
      <c r="BB24" s="1192"/>
      <c r="BC24" s="1192"/>
      <c r="BD24" s="1192"/>
      <c r="BE24" s="1196"/>
    </row>
    <row r="25" spans="1:58" ht="15">
      <c r="A25" s="1192"/>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2"/>
      <c r="BA25" s="1192"/>
      <c r="BB25" s="1192"/>
      <c r="BC25" s="1192"/>
      <c r="BD25" s="1192"/>
      <c r="BE25" s="1196"/>
    </row>
    <row r="26" spans="1:58" ht="15">
      <c r="A26" s="1192"/>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2"/>
      <c r="BA26" s="1192"/>
      <c r="BB26" s="1192"/>
      <c r="BC26" s="1192"/>
      <c r="BD26" s="1192"/>
      <c r="BE26" s="1196"/>
    </row>
    <row r="27" spans="1:58" ht="15">
      <c r="A27" s="1192"/>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2"/>
      <c r="BA27" s="1192"/>
      <c r="BB27" s="1192"/>
      <c r="BC27" s="1192"/>
      <c r="BD27" s="1192"/>
      <c r="BE27" s="1196"/>
    </row>
    <row r="28" spans="1:58" thickBot="1">
      <c r="A28" s="1192"/>
      <c r="B28" s="2275" t="s">
        <v>2434</v>
      </c>
      <c r="C28" s="2276"/>
      <c r="D28" s="2276"/>
      <c r="E28" s="2276"/>
      <c r="F28" s="2276"/>
      <c r="G28" s="2276"/>
      <c r="H28" s="2276"/>
      <c r="I28" s="2277"/>
      <c r="J28" s="2278">
        <f>SUM(P28:AS28)</f>
        <v>1</v>
      </c>
      <c r="K28" s="2279"/>
      <c r="L28" s="2279"/>
      <c r="M28" s="2279"/>
      <c r="N28" s="2279"/>
      <c r="O28" s="2280"/>
      <c r="P28" s="2278">
        <f>_xlfn.IFNA(VLOOKUP(P$18,Application!$J$773:$S$776,6,FALSE), 0)</f>
        <v>0</v>
      </c>
      <c r="Q28" s="2279"/>
      <c r="R28" s="2279"/>
      <c r="S28" s="2279"/>
      <c r="T28" s="2279"/>
      <c r="U28" s="2280"/>
      <c r="V28" s="2278">
        <f>_xlfn.IFNA(VLOOKUP(V$18,Application!$J$773:$S$776,6,FALSE), 0)</f>
        <v>0</v>
      </c>
      <c r="W28" s="2279"/>
      <c r="X28" s="2279"/>
      <c r="Y28" s="2279"/>
      <c r="Z28" s="2279"/>
      <c r="AA28" s="2280"/>
      <c r="AB28" s="2278">
        <f>_xlfn.IFNA(VLOOKUP(AB$18,Application!$J$773:$S$776,6,FALSE), 0)</f>
        <v>0</v>
      </c>
      <c r="AC28" s="2279"/>
      <c r="AD28" s="2279"/>
      <c r="AE28" s="2279"/>
      <c r="AF28" s="2279"/>
      <c r="AG28" s="2280"/>
      <c r="AH28" s="2278">
        <f>_xlfn.IFNA(VLOOKUP(AH$18,Application!$J$773:$S$776,6,FALSE), 0)</f>
        <v>1</v>
      </c>
      <c r="AI28" s="2279"/>
      <c r="AJ28" s="2279"/>
      <c r="AK28" s="2279"/>
      <c r="AL28" s="2279"/>
      <c r="AM28" s="2280"/>
      <c r="AN28" s="2278">
        <f>_xlfn.IFNA(VLOOKUP(AN$18,Application!$J$773:$S$776,6,FALSE), 0)</f>
        <v>0</v>
      </c>
      <c r="AO28" s="2279"/>
      <c r="AP28" s="2279"/>
      <c r="AQ28" s="2279"/>
      <c r="AR28" s="2279"/>
      <c r="AS28" s="2280"/>
      <c r="AT28" s="2281">
        <f t="shared" si="1"/>
        <v>1.5151515151515152E-2</v>
      </c>
      <c r="AU28" s="2282"/>
      <c r="AV28" s="2282"/>
      <c r="AW28" s="2282"/>
      <c r="AX28" s="2282"/>
      <c r="AY28" s="2283"/>
      <c r="AZ28" s="1192"/>
      <c r="BA28" s="1192"/>
      <c r="BB28" s="1192"/>
      <c r="BC28" s="1192"/>
      <c r="BD28" s="1192"/>
      <c r="BE28" s="1196"/>
    </row>
    <row r="29" spans="1:58" thickBot="1">
      <c r="A29" s="1192"/>
      <c r="B29" s="2258" t="s">
        <v>1586</v>
      </c>
      <c r="C29" s="2231"/>
      <c r="D29" s="2231"/>
      <c r="E29" s="2231"/>
      <c r="F29" s="2231"/>
      <c r="G29" s="2231"/>
      <c r="H29" s="2231"/>
      <c r="I29" s="2232"/>
      <c r="J29" s="2230">
        <f>SUM(J19:O28)</f>
        <v>66</v>
      </c>
      <c r="K29" s="2231"/>
      <c r="L29" s="2231"/>
      <c r="M29" s="2231"/>
      <c r="N29" s="2231"/>
      <c r="O29" s="2232"/>
      <c r="P29" s="2230">
        <f>SUM(P19:U28)</f>
        <v>15</v>
      </c>
      <c r="Q29" s="2231"/>
      <c r="R29" s="2231"/>
      <c r="S29" s="2231"/>
      <c r="T29" s="2231"/>
      <c r="U29" s="2232"/>
      <c r="V29" s="2230">
        <f>SUM(V19:AA28)</f>
        <v>16</v>
      </c>
      <c r="W29" s="2231"/>
      <c r="X29" s="2231"/>
      <c r="Y29" s="2231"/>
      <c r="Z29" s="2231"/>
      <c r="AA29" s="2232"/>
      <c r="AB29" s="2230">
        <f>SUM(AB19:AG28)</f>
        <v>17</v>
      </c>
      <c r="AC29" s="2231"/>
      <c r="AD29" s="2231"/>
      <c r="AE29" s="2231"/>
      <c r="AF29" s="2231"/>
      <c r="AG29" s="2232"/>
      <c r="AH29" s="2230">
        <f>SUM(AH19:AM28)</f>
        <v>18</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6" t="s">
        <v>2433</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6"/>
    </row>
    <row r="32" spans="1:58" thickBot="1">
      <c r="A32" s="1192"/>
      <c r="B32" s="2239" t="s">
        <v>2432</v>
      </c>
      <c r="C32" s="2240"/>
      <c r="D32" s="2240"/>
      <c r="E32" s="2240"/>
      <c r="F32" s="2240"/>
      <c r="G32" s="2240"/>
      <c r="H32" s="2240"/>
      <c r="I32" s="2240"/>
      <c r="J32" s="2243" t="s">
        <v>2431</v>
      </c>
      <c r="K32" s="2244"/>
      <c r="L32" s="2244"/>
      <c r="M32" s="2244"/>
      <c r="N32" s="2243" t="s">
        <v>2430</v>
      </c>
      <c r="O32" s="2244"/>
      <c r="P32" s="2244"/>
      <c r="Q32" s="2246"/>
      <c r="R32" s="2248" t="s">
        <v>2429</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6"/>
    </row>
    <row r="33" spans="1:58" ht="15" customHeight="1">
      <c r="A33" s="1192"/>
      <c r="B33" s="2241"/>
      <c r="C33" s="2242"/>
      <c r="D33" s="2242"/>
      <c r="E33" s="2242"/>
      <c r="F33" s="2242"/>
      <c r="G33" s="2242"/>
      <c r="H33" s="2242"/>
      <c r="I33" s="2242"/>
      <c r="J33" s="2245"/>
      <c r="K33" s="2245"/>
      <c r="L33" s="2245"/>
      <c r="M33" s="2245"/>
      <c r="N33" s="2245"/>
      <c r="O33" s="2245"/>
      <c r="P33" s="2245"/>
      <c r="Q33" s="2247"/>
      <c r="R33" s="2251" t="s">
        <v>2428</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6"/>
    </row>
    <row r="34" spans="1:58" ht="15.75" customHeight="1" thickBot="1">
      <c r="A34" s="1192"/>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6"/>
    </row>
    <row r="35" spans="1:58" ht="15.75" customHeight="1">
      <c r="A35" s="1192"/>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2427</v>
      </c>
      <c r="AT35" s="2260"/>
      <c r="AU35" s="2260"/>
      <c r="AV35" s="2260"/>
      <c r="AW35" s="2260"/>
      <c r="AX35" s="2268"/>
      <c r="AY35" s="2259" t="s">
        <v>2426</v>
      </c>
      <c r="AZ35" s="2260"/>
      <c r="BA35" s="2260"/>
      <c r="BB35" s="2260"/>
      <c r="BC35" s="2260"/>
      <c r="BD35" s="2261"/>
      <c r="BE35" s="1196"/>
    </row>
    <row r="36" spans="1:58" ht="15.75" customHeight="1">
      <c r="A36" s="1192"/>
      <c r="B36" s="2163" t="s">
        <v>2425</v>
      </c>
      <c r="C36" s="2164"/>
      <c r="D36" s="2164"/>
      <c r="E36" s="2164"/>
      <c r="F36" s="2164"/>
      <c r="G36" s="2164"/>
      <c r="H36" s="2164"/>
      <c r="I36" s="2164"/>
      <c r="J36" s="2228" t="s">
        <v>2424</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6"/>
    </row>
    <row r="37" spans="1:58" ht="15.75" customHeight="1">
      <c r="A37" s="1192"/>
      <c r="B37" s="2163" t="s">
        <v>2423</v>
      </c>
      <c r="C37" s="2164"/>
      <c r="D37" s="2164"/>
      <c r="E37" s="2164"/>
      <c r="F37" s="2164"/>
      <c r="G37" s="2164"/>
      <c r="H37" s="2164"/>
      <c r="I37" s="2164"/>
      <c r="J37" s="2228" t="s">
        <v>2422</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6"/>
    </row>
    <row r="38" spans="1:58" ht="15.75" customHeight="1">
      <c r="A38" s="1192"/>
      <c r="B38" s="2163" t="s">
        <v>2421</v>
      </c>
      <c r="C38" s="2164"/>
      <c r="D38" s="2164"/>
      <c r="E38" s="2164"/>
      <c r="F38" s="2164"/>
      <c r="G38" s="2164"/>
      <c r="H38" s="2164"/>
      <c r="I38" s="2164"/>
      <c r="J38" s="2228" t="s">
        <v>2420</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6"/>
    </row>
    <row r="39" spans="1:58" ht="15.75" customHeight="1">
      <c r="A39" s="1192"/>
      <c r="B39" s="2163" t="s">
        <v>2419</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6"/>
    </row>
    <row r="40" spans="1:58" ht="15.75" customHeight="1">
      <c r="A40" s="1192"/>
      <c r="B40" s="2163" t="s">
        <v>2419</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6"/>
    </row>
    <row r="41" spans="1:58" ht="15.75" customHeight="1">
      <c r="A41" s="1192"/>
      <c r="B41" s="2163" t="s">
        <v>2418</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6"/>
    </row>
    <row r="42" spans="1:58" ht="15.75" customHeight="1">
      <c r="A42" s="1192"/>
      <c r="B42" s="2163" t="s">
        <v>2418</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6"/>
    </row>
    <row r="43" spans="1:58" ht="15.75" customHeight="1">
      <c r="A43" s="1192"/>
      <c r="B43" s="2168" t="s">
        <v>2417</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6"/>
    </row>
    <row r="44" spans="1:58" ht="15.75" customHeight="1">
      <c r="A44" s="1192"/>
      <c r="B44" s="2168" t="s">
        <v>2416</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6"/>
    </row>
    <row r="45" spans="1:58" ht="15.75" customHeight="1">
      <c r="A45" s="1192"/>
      <c r="B45" s="2168" t="s">
        <v>2415</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6"/>
    </row>
    <row r="46" spans="1:58" ht="15.75" customHeight="1">
      <c r="A46" s="1192"/>
      <c r="B46" s="2168" t="s">
        <v>2339</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6"/>
    </row>
    <row r="47" spans="1:58" ht="15.75" customHeight="1" thickBot="1">
      <c r="A47" s="1192"/>
      <c r="B47" s="2222" t="s">
        <v>299</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2" t="s">
        <v>2412</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8" t="s">
        <v>2405</v>
      </c>
      <c r="C51" s="2103"/>
      <c r="D51" s="2103"/>
      <c r="E51" s="2103"/>
      <c r="F51" s="2103"/>
      <c r="G51" s="2103"/>
      <c r="H51" s="2103"/>
      <c r="I51" s="2103"/>
      <c r="J51" s="2103" t="s">
        <v>2411</v>
      </c>
      <c r="K51" s="2103"/>
      <c r="L51" s="2103"/>
      <c r="M51" s="2103"/>
      <c r="N51" s="2103"/>
      <c r="O51" s="2103"/>
      <c r="P51" s="2103"/>
      <c r="Q51" s="2103"/>
      <c r="R51" s="2207" t="s">
        <v>2410</v>
      </c>
      <c r="S51" s="2207"/>
      <c r="T51" s="2207"/>
      <c r="U51" s="2207"/>
      <c r="V51" s="2207"/>
      <c r="W51" s="2207"/>
      <c r="X51" s="2207"/>
      <c r="Y51" s="2207"/>
      <c r="Z51" s="2207" t="s">
        <v>2409</v>
      </c>
      <c r="AA51" s="2207"/>
      <c r="AB51" s="2207"/>
      <c r="AC51" s="2207"/>
      <c r="AD51" s="2207"/>
      <c r="AE51" s="2207"/>
      <c r="AF51" s="2207"/>
      <c r="AG51" s="2207"/>
      <c r="AH51" s="2207" t="s">
        <v>2408</v>
      </c>
      <c r="AI51" s="2207"/>
      <c r="AJ51" s="2207"/>
      <c r="AK51" s="2207"/>
      <c r="AL51" s="2207"/>
      <c r="AM51" s="2207"/>
      <c r="AN51" s="2207"/>
      <c r="AO51" s="2208"/>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8" t="s">
        <v>2407</v>
      </c>
      <c r="C52" s="2169"/>
      <c r="D52" s="2169"/>
      <c r="E52" s="2169"/>
      <c r="F52" s="2169"/>
      <c r="G52" s="2169"/>
      <c r="H52" s="2169"/>
      <c r="I52" s="2169"/>
      <c r="J52" s="1989">
        <v>0</v>
      </c>
      <c r="K52" s="1989"/>
      <c r="L52" s="1989"/>
      <c r="M52" s="1989"/>
      <c r="N52" s="1989"/>
      <c r="O52" s="1989"/>
      <c r="P52" s="1989"/>
      <c r="Q52" s="1989"/>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8" t="s">
        <v>2406</v>
      </c>
      <c r="C53" s="2169"/>
      <c r="D53" s="2169"/>
      <c r="E53" s="2169"/>
      <c r="F53" s="2169"/>
      <c r="G53" s="2169"/>
      <c r="H53" s="2169"/>
      <c r="I53" s="2169"/>
      <c r="J53" s="1989">
        <v>0</v>
      </c>
      <c r="K53" s="1989"/>
      <c r="L53" s="1989"/>
      <c r="M53" s="1989"/>
      <c r="N53" s="1989"/>
      <c r="O53" s="1989"/>
      <c r="P53" s="1989"/>
      <c r="Q53" s="1989"/>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8"/>
      <c r="C54" s="2169"/>
      <c r="D54" s="2169"/>
      <c r="E54" s="2169"/>
      <c r="F54" s="2169"/>
      <c r="G54" s="2169"/>
      <c r="H54" s="2169"/>
      <c r="I54" s="2169"/>
      <c r="J54" s="1989"/>
      <c r="K54" s="1989"/>
      <c r="L54" s="1989"/>
      <c r="M54" s="1989"/>
      <c r="N54" s="1989"/>
      <c r="O54" s="1989"/>
      <c r="P54" s="1989"/>
      <c r="Q54" s="1989"/>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8"/>
      <c r="C55" s="2169"/>
      <c r="D55" s="2169"/>
      <c r="E55" s="2169"/>
      <c r="F55" s="2169"/>
      <c r="G55" s="2169"/>
      <c r="H55" s="2169"/>
      <c r="I55" s="2169"/>
      <c r="J55" s="1989"/>
      <c r="K55" s="1989"/>
      <c r="L55" s="1989"/>
      <c r="M55" s="1989"/>
      <c r="N55" s="1989"/>
      <c r="O55" s="1989"/>
      <c r="P55" s="1989"/>
      <c r="Q55" s="1989"/>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8"/>
      <c r="C56" s="2169"/>
      <c r="D56" s="2169"/>
      <c r="E56" s="2169"/>
      <c r="F56" s="2169"/>
      <c r="G56" s="2169"/>
      <c r="H56" s="2169"/>
      <c r="I56" s="2169"/>
      <c r="J56" s="1989"/>
      <c r="K56" s="1989"/>
      <c r="L56" s="1989"/>
      <c r="M56" s="1989"/>
      <c r="N56" s="1989"/>
      <c r="O56" s="1989"/>
      <c r="P56" s="1989"/>
      <c r="Q56" s="1989"/>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3" t="s">
        <v>1586</v>
      </c>
      <c r="C57" s="2134"/>
      <c r="D57" s="2134"/>
      <c r="E57" s="2134"/>
      <c r="F57" s="2134"/>
      <c r="G57" s="2134"/>
      <c r="H57" s="2134"/>
      <c r="I57" s="2134"/>
      <c r="J57" s="2134"/>
      <c r="K57" s="2134"/>
      <c r="L57" s="2134"/>
      <c r="M57" s="2134"/>
      <c r="N57" s="2134"/>
      <c r="O57" s="2134"/>
      <c r="P57" s="2134"/>
      <c r="Q57" s="2134"/>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6" t="s">
        <v>2405</v>
      </c>
      <c r="C59" s="2197"/>
      <c r="D59" s="2197"/>
      <c r="E59" s="2197"/>
      <c r="F59" s="2197"/>
      <c r="G59" s="2197"/>
      <c r="H59" s="2197"/>
      <c r="I59" s="2198"/>
      <c r="J59" s="2101" t="s">
        <v>2404</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2"/>
      <c r="AY59" s="1192"/>
      <c r="AZ59" s="1192"/>
      <c r="BA59" s="1192"/>
      <c r="BB59" s="1192"/>
      <c r="BC59" s="1192"/>
      <c r="BD59" s="1192"/>
      <c r="BE59" s="1196"/>
    </row>
    <row r="60" spans="1:58" ht="15.75" customHeight="1">
      <c r="A60" s="1192"/>
      <c r="B60" s="2188" t="str">
        <f>IF(B52="", "", B52)</f>
        <v>Services Company 1</v>
      </c>
      <c r="C60" s="2189"/>
      <c r="D60" s="2189"/>
      <c r="E60" s="2189"/>
      <c r="F60" s="2189"/>
      <c r="G60" s="2189"/>
      <c r="H60" s="2189"/>
      <c r="I60" s="2190"/>
      <c r="J60" s="2191"/>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2"/>
      <c r="AY60" s="1192"/>
      <c r="AZ60" s="1192"/>
      <c r="BA60" s="1192"/>
      <c r="BB60" s="1192"/>
      <c r="BC60" s="1192"/>
      <c r="BD60" s="1192"/>
      <c r="BE60" s="1196"/>
    </row>
    <row r="61" spans="1:58" ht="15.75" customHeight="1">
      <c r="A61" s="1192"/>
      <c r="B61" s="2188" t="str">
        <f>IF(B53="", "", B53)</f>
        <v>Services Company 2</v>
      </c>
      <c r="C61" s="2189"/>
      <c r="D61" s="2189"/>
      <c r="E61" s="2189"/>
      <c r="F61" s="2189"/>
      <c r="G61" s="2189"/>
      <c r="H61" s="2189"/>
      <c r="I61" s="2190"/>
      <c r="J61" s="2191"/>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2"/>
      <c r="AY61" s="1192"/>
      <c r="AZ61" s="1192"/>
      <c r="BA61" s="1192"/>
      <c r="BB61" s="1192"/>
      <c r="BC61" s="1192"/>
      <c r="BD61" s="1192"/>
      <c r="BE61" s="1196"/>
    </row>
    <row r="62" spans="1:58" ht="15.75" customHeight="1">
      <c r="A62" s="1192"/>
      <c r="B62" s="2188" t="str">
        <f>IF(B54="", "", B54)</f>
        <v/>
      </c>
      <c r="C62" s="2189"/>
      <c r="D62" s="2189"/>
      <c r="E62" s="2189"/>
      <c r="F62" s="2189"/>
      <c r="G62" s="2189"/>
      <c r="H62" s="2189"/>
      <c r="I62" s="2190"/>
      <c r="J62" s="2191"/>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2"/>
      <c r="AY62" s="1192"/>
      <c r="AZ62" s="1192"/>
      <c r="BA62" s="1192"/>
      <c r="BB62" s="1192"/>
      <c r="BC62" s="1192"/>
      <c r="BD62" s="1192"/>
      <c r="BE62" s="1196"/>
    </row>
    <row r="63" spans="1:58" ht="15.75" customHeight="1">
      <c r="A63" s="1192"/>
      <c r="B63" s="2188" t="str">
        <f>IF(B55="", "", B55)</f>
        <v/>
      </c>
      <c r="C63" s="2189"/>
      <c r="D63" s="2189"/>
      <c r="E63" s="2189"/>
      <c r="F63" s="2189"/>
      <c r="G63" s="2189"/>
      <c r="H63" s="2189"/>
      <c r="I63" s="2190"/>
      <c r="J63" s="2191"/>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2"/>
      <c r="AY63" s="1192"/>
      <c r="AZ63" s="1192"/>
      <c r="BA63" s="1192"/>
      <c r="BB63" s="1192"/>
      <c r="BC63" s="1192"/>
      <c r="BD63" s="1192"/>
      <c r="BE63" s="1196"/>
    </row>
    <row r="64" spans="1:58" ht="15.75" customHeight="1" thickBot="1">
      <c r="A64" s="1192"/>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0" t="s">
        <v>2402</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2"/>
      <c r="AC68" s="2026" t="s">
        <v>2401</v>
      </c>
      <c r="AD68" s="2027"/>
      <c r="AE68" s="2027"/>
      <c r="AF68" s="2027"/>
      <c r="AG68" s="2027"/>
      <c r="AH68" s="2027"/>
      <c r="AI68" s="2027"/>
      <c r="AJ68" s="2027"/>
      <c r="AK68" s="2027"/>
      <c r="AL68" s="2027"/>
      <c r="AM68" s="2027"/>
      <c r="AN68" s="2027"/>
      <c r="AO68" s="2027"/>
      <c r="AP68" s="2027"/>
      <c r="AQ68" s="2027"/>
      <c r="AR68" s="2027"/>
      <c r="AS68" s="2027"/>
      <c r="AT68" s="2027"/>
      <c r="AU68" s="2027"/>
      <c r="AV68" s="2180" t="s">
        <v>669</v>
      </c>
      <c r="AW68" s="2083"/>
      <c r="AX68" s="2083"/>
      <c r="AY68" s="2083"/>
      <c r="AZ68" s="2083"/>
      <c r="BA68" s="2083"/>
      <c r="BB68" s="2083"/>
      <c r="BC68" s="2084"/>
      <c r="BD68" s="1192"/>
      <c r="BE68" s="1196"/>
      <c r="BM68" s="1201" t="s">
        <v>2400</v>
      </c>
    </row>
    <row r="69" spans="1:94" ht="15.75" customHeight="1" thickTop="1" thickBot="1">
      <c r="A69" s="1192"/>
      <c r="B69" s="2181" t="s">
        <v>2399</v>
      </c>
      <c r="C69" s="2182"/>
      <c r="D69" s="2182"/>
      <c r="E69" s="2182"/>
      <c r="F69" s="2182"/>
      <c r="G69" s="2182"/>
      <c r="H69" s="2182"/>
      <c r="I69" s="2182"/>
      <c r="J69" s="2182"/>
      <c r="K69" s="2182"/>
      <c r="L69" s="2182"/>
      <c r="M69" s="2182"/>
      <c r="N69" s="2182"/>
      <c r="O69" s="2183" t="s">
        <v>2398</v>
      </c>
      <c r="P69" s="2184"/>
      <c r="Q69" s="2184"/>
      <c r="R69" s="2184"/>
      <c r="S69" s="2184"/>
      <c r="T69" s="2184"/>
      <c r="U69" s="2184"/>
      <c r="V69" s="2184"/>
      <c r="W69" s="2184"/>
      <c r="X69" s="2184"/>
      <c r="Y69" s="2184"/>
      <c r="Z69" s="2184"/>
      <c r="AA69" s="2185"/>
      <c r="AB69" s="1192"/>
      <c r="AC69" s="2186" t="s">
        <v>2397</v>
      </c>
      <c r="AD69" s="2187"/>
      <c r="AE69" s="2187"/>
      <c r="AF69" s="2187"/>
      <c r="AG69" s="2187"/>
      <c r="AH69" s="2187"/>
      <c r="AI69" s="2187"/>
      <c r="AJ69" s="2187"/>
      <c r="AK69" s="2187"/>
      <c r="AL69" s="2187"/>
      <c r="AM69" s="2187"/>
      <c r="AN69" s="2187"/>
      <c r="AO69" s="2187"/>
      <c r="AP69" s="2187"/>
      <c r="AQ69" s="2187"/>
      <c r="AR69" s="2187"/>
      <c r="AS69" s="2187"/>
      <c r="AT69" s="2187"/>
      <c r="AU69" s="2187"/>
      <c r="AV69" s="2180" t="s">
        <v>669</v>
      </c>
      <c r="AW69" s="2083"/>
      <c r="AX69" s="2083"/>
      <c r="AY69" s="2083"/>
      <c r="AZ69" s="2083"/>
      <c r="BA69" s="2083"/>
      <c r="BB69" s="2083"/>
      <c r="BC69" s="2084"/>
      <c r="BD69" s="1192"/>
      <c r="BE69" s="1196"/>
      <c r="BM69" s="1202" t="s">
        <v>545</v>
      </c>
    </row>
    <row r="70" spans="1:94" ht="15.75" customHeight="1">
      <c r="A70" s="1192"/>
      <c r="B70" s="2163" t="s">
        <v>2396</v>
      </c>
      <c r="C70" s="2164"/>
      <c r="D70" s="2164"/>
      <c r="E70" s="2164"/>
      <c r="F70" s="2164"/>
      <c r="G70" s="2164"/>
      <c r="H70" s="2164"/>
      <c r="I70" s="2164"/>
      <c r="J70" s="2164"/>
      <c r="K70" s="2164"/>
      <c r="L70" s="2164"/>
      <c r="M70" s="2164"/>
      <c r="N70" s="2164"/>
      <c r="O70" s="2034">
        <v>0</v>
      </c>
      <c r="P70" s="2034"/>
      <c r="Q70" s="2034"/>
      <c r="R70" s="2034"/>
      <c r="S70" s="2034"/>
      <c r="T70" s="2034"/>
      <c r="U70" s="2034"/>
      <c r="V70" s="2034"/>
      <c r="W70" s="2034"/>
      <c r="X70" s="2034"/>
      <c r="Y70" s="2034"/>
      <c r="Z70" s="2034"/>
      <c r="AA70" s="2165"/>
      <c r="AB70" s="1192"/>
      <c r="AC70" s="2072" t="s">
        <v>2395</v>
      </c>
      <c r="AD70" s="2028"/>
      <c r="AE70" s="2028"/>
      <c r="AF70" s="2174"/>
      <c r="AG70" s="2174"/>
      <c r="AH70" s="2174"/>
      <c r="AI70" s="2174"/>
      <c r="AJ70" s="2174"/>
      <c r="AK70" s="2174"/>
      <c r="AL70" s="2174"/>
      <c r="AM70" s="2174"/>
      <c r="AN70" s="2174"/>
      <c r="AO70" s="2174"/>
      <c r="AP70" s="2174"/>
      <c r="AQ70" s="2174"/>
      <c r="AR70" s="2174"/>
      <c r="AS70" s="2174"/>
      <c r="AT70" s="2174"/>
      <c r="AU70" s="2175"/>
      <c r="AV70" s="1192"/>
      <c r="AW70" s="1192"/>
      <c r="AX70" s="1192"/>
      <c r="AY70" s="1192"/>
      <c r="AZ70" s="1192"/>
      <c r="BA70" s="1192"/>
      <c r="BB70" s="1192"/>
      <c r="BC70" s="1192"/>
      <c r="BD70" s="1192"/>
      <c r="BE70" s="1196"/>
      <c r="BM70" s="1203" t="s">
        <v>669</v>
      </c>
    </row>
    <row r="71" spans="1:94" ht="15.75" customHeight="1" thickBot="1">
      <c r="A71" s="1192"/>
      <c r="B71" s="2163" t="s">
        <v>2394</v>
      </c>
      <c r="C71" s="2164"/>
      <c r="D71" s="2164"/>
      <c r="E71" s="2164"/>
      <c r="F71" s="2164"/>
      <c r="G71" s="2164"/>
      <c r="H71" s="2164"/>
      <c r="I71" s="2164"/>
      <c r="J71" s="2164"/>
      <c r="K71" s="2164"/>
      <c r="L71" s="2164"/>
      <c r="M71" s="2164"/>
      <c r="N71" s="2164"/>
      <c r="O71" s="2034">
        <v>0</v>
      </c>
      <c r="P71" s="2034"/>
      <c r="Q71" s="2034"/>
      <c r="R71" s="2034"/>
      <c r="S71" s="2034"/>
      <c r="T71" s="2034"/>
      <c r="U71" s="2034"/>
      <c r="V71" s="2034"/>
      <c r="W71" s="2034"/>
      <c r="X71" s="2034"/>
      <c r="Y71" s="2034"/>
      <c r="Z71" s="2034"/>
      <c r="AA71" s="2165"/>
      <c r="AB71" s="1192"/>
      <c r="AC71" s="2176" t="s">
        <v>2393</v>
      </c>
      <c r="AD71" s="2177"/>
      <c r="AE71" s="2177"/>
      <c r="AF71" s="2178"/>
      <c r="AG71" s="2178"/>
      <c r="AH71" s="2178"/>
      <c r="AI71" s="2178"/>
      <c r="AJ71" s="2178"/>
      <c r="AK71" s="2178"/>
      <c r="AL71" s="2178"/>
      <c r="AM71" s="2178"/>
      <c r="AN71" s="2178"/>
      <c r="AO71" s="2178"/>
      <c r="AP71" s="2178"/>
      <c r="AQ71" s="2178"/>
      <c r="AR71" s="2178"/>
      <c r="AS71" s="2178"/>
      <c r="AT71" s="2178"/>
      <c r="AU71" s="2179"/>
      <c r="AV71" s="1192"/>
      <c r="AW71" s="1192"/>
      <c r="AX71" s="1192"/>
      <c r="AY71" s="1192"/>
      <c r="AZ71" s="1192"/>
      <c r="BA71" s="1192"/>
      <c r="BB71" s="1192"/>
      <c r="BC71" s="1192"/>
      <c r="BD71" s="1192"/>
      <c r="BE71" s="1196"/>
      <c r="BM71" s="1189" t="s">
        <v>2392</v>
      </c>
    </row>
    <row r="72" spans="1:94" ht="15.75" customHeight="1">
      <c r="A72" s="1192"/>
      <c r="B72" s="2163" t="s">
        <v>2391</v>
      </c>
      <c r="C72" s="2164"/>
      <c r="D72" s="2164"/>
      <c r="E72" s="2164"/>
      <c r="F72" s="2164"/>
      <c r="G72" s="2164"/>
      <c r="H72" s="2164"/>
      <c r="I72" s="2164"/>
      <c r="J72" s="2164"/>
      <c r="K72" s="2164"/>
      <c r="L72" s="2164"/>
      <c r="M72" s="2164"/>
      <c r="N72" s="2164"/>
      <c r="O72" s="2034">
        <v>0</v>
      </c>
      <c r="P72" s="2034"/>
      <c r="Q72" s="2034"/>
      <c r="R72" s="2034"/>
      <c r="S72" s="2034"/>
      <c r="T72" s="2034"/>
      <c r="U72" s="2034"/>
      <c r="V72" s="2034"/>
      <c r="W72" s="2034"/>
      <c r="X72" s="2034"/>
      <c r="Y72" s="2034"/>
      <c r="Z72" s="2034"/>
      <c r="AA72" s="2165"/>
      <c r="AB72" s="1192"/>
      <c r="AC72" s="2166" t="s">
        <v>2390</v>
      </c>
      <c r="AD72" s="2167"/>
      <c r="AE72" s="2167"/>
      <c r="AF72" s="2167"/>
      <c r="AG72" s="2167"/>
      <c r="AH72" s="2167"/>
      <c r="AI72" s="2167"/>
      <c r="AJ72" s="2167"/>
      <c r="AK72" s="2167"/>
      <c r="AL72" s="2167"/>
      <c r="AM72" s="2167"/>
      <c r="AN72" s="2167"/>
      <c r="AO72" s="2167"/>
      <c r="AP72" s="2167"/>
      <c r="AQ72" s="2167"/>
      <c r="AR72" s="2167"/>
      <c r="AS72" s="2167"/>
      <c r="AT72" s="2167"/>
      <c r="AU72" s="2167"/>
      <c r="AV72" s="2028"/>
      <c r="AW72" s="2028"/>
      <c r="AX72" s="2028"/>
      <c r="AY72" s="2028"/>
      <c r="AZ72" s="2028"/>
      <c r="BA72" s="2028"/>
      <c r="BB72" s="2028"/>
      <c r="BC72" s="2029"/>
      <c r="BD72" s="1192"/>
      <c r="BE72" s="1196"/>
    </row>
    <row r="73" spans="1:94" ht="15.75" customHeight="1">
      <c r="A73" s="1192"/>
      <c r="B73" s="2168" t="s">
        <v>2389</v>
      </c>
      <c r="C73" s="2169"/>
      <c r="D73" s="2169"/>
      <c r="E73" s="2169"/>
      <c r="F73" s="2169"/>
      <c r="G73" s="2169"/>
      <c r="H73" s="2169"/>
      <c r="I73" s="2169"/>
      <c r="J73" s="2169"/>
      <c r="K73" s="2169"/>
      <c r="L73" s="2169"/>
      <c r="M73" s="2169"/>
      <c r="N73" s="2169"/>
      <c r="O73" s="2034">
        <v>0</v>
      </c>
      <c r="P73" s="2034"/>
      <c r="Q73" s="2034"/>
      <c r="R73" s="2034"/>
      <c r="S73" s="2034"/>
      <c r="T73" s="2034"/>
      <c r="U73" s="2034"/>
      <c r="V73" s="2034"/>
      <c r="W73" s="2034"/>
      <c r="X73" s="2034"/>
      <c r="Y73" s="2034"/>
      <c r="Z73" s="2034"/>
      <c r="AA73" s="2165"/>
      <c r="AB73" s="1192"/>
      <c r="AC73" s="2043" t="s">
        <v>2334</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2"/>
      <c r="BE73" s="1196"/>
      <c r="CK73" s="1190"/>
      <c r="CL73" s="1190"/>
      <c r="CM73" s="1190"/>
      <c r="CN73" s="1190"/>
      <c r="CO73" s="1190"/>
      <c r="CP73" s="1190"/>
    </row>
    <row r="74" spans="1:94" ht="15.75" customHeight="1">
      <c r="A74" s="1192"/>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5"/>
      <c r="AB74" s="1192"/>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2"/>
      <c r="BE74" s="1196"/>
      <c r="CK74" s="1190"/>
      <c r="CL74" s="1190"/>
      <c r="CM74" s="1190"/>
      <c r="CN74" s="1190"/>
      <c r="CO74" s="1190"/>
      <c r="CP74" s="1190"/>
    </row>
    <row r="75" spans="1:94" ht="15.75" customHeight="1" thickBot="1">
      <c r="A75" s="1192"/>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2"/>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8"/>
      <c r="G79" s="2149"/>
      <c r="H79" s="2149"/>
      <c r="I79" s="2149"/>
      <c r="J79" s="2149"/>
      <c r="K79" s="2149"/>
      <c r="L79" s="2149"/>
      <c r="M79" s="2149"/>
      <c r="N79" s="2149"/>
      <c r="O79" s="2149"/>
      <c r="P79" s="2149"/>
      <c r="Q79" s="2149"/>
      <c r="R79" s="2149"/>
      <c r="S79" s="2149"/>
      <c r="T79" s="215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1" t="s">
        <v>2387</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7" t="s">
        <v>2386</v>
      </c>
      <c r="C81" s="2158"/>
      <c r="D81" s="2158"/>
      <c r="E81" s="2158"/>
      <c r="F81" s="2158"/>
      <c r="G81" s="2158"/>
      <c r="H81" s="2158"/>
      <c r="I81" s="2158"/>
      <c r="J81" s="2158"/>
      <c r="K81" s="2158"/>
      <c r="L81" s="2158"/>
      <c r="M81" s="2158"/>
      <c r="N81" s="2158"/>
      <c r="O81" s="2158"/>
      <c r="P81" s="2158"/>
      <c r="Q81" s="2158"/>
      <c r="R81" s="2139" t="s">
        <v>2190</v>
      </c>
      <c r="S81" s="2140"/>
      <c r="T81" s="2141"/>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0" t="s">
        <v>2385</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2"/>
      <c r="AJ83" s="2124" t="s">
        <v>2384</v>
      </c>
      <c r="AK83" s="2125"/>
      <c r="AL83" s="2125"/>
      <c r="AM83" s="2125"/>
      <c r="AN83" s="2125"/>
      <c r="AO83" s="2125"/>
      <c r="AP83" s="2125"/>
      <c r="AQ83" s="2125"/>
      <c r="AR83" s="2125"/>
      <c r="AS83" s="2125"/>
      <c r="AT83" s="2125"/>
      <c r="AU83" s="2125"/>
      <c r="AV83" s="2125"/>
      <c r="AW83" s="2125"/>
      <c r="AX83" s="2125"/>
      <c r="AY83" s="2144" t="s">
        <v>545</v>
      </c>
      <c r="AZ83" s="2144"/>
      <c r="BA83" s="2144"/>
      <c r="BB83" s="2145"/>
      <c r="BC83" s="1192"/>
      <c r="BD83" s="1192"/>
      <c r="BE83" s="1196"/>
      <c r="CK83" s="1190"/>
      <c r="CL83" s="1190"/>
      <c r="CM83" s="1190"/>
      <c r="CN83" s="1190"/>
      <c r="CO83" s="1190"/>
      <c r="CP83" s="1190"/>
    </row>
    <row r="84" spans="1:94" ht="15.75" customHeight="1">
      <c r="A84" s="1192"/>
      <c r="B84" s="2138"/>
      <c r="C84" s="2103"/>
      <c r="D84" s="2103"/>
      <c r="E84" s="2103"/>
      <c r="F84" s="2103"/>
      <c r="G84" s="2103"/>
      <c r="H84" s="2103"/>
      <c r="I84" s="2103" t="s">
        <v>2374</v>
      </c>
      <c r="J84" s="2103"/>
      <c r="K84" s="2103"/>
      <c r="L84" s="2103"/>
      <c r="M84" s="2103"/>
      <c r="N84" s="2103"/>
      <c r="O84" s="2103" t="s">
        <v>2350</v>
      </c>
      <c r="P84" s="2103"/>
      <c r="Q84" s="2103"/>
      <c r="R84" s="2103"/>
      <c r="S84" s="2103"/>
      <c r="T84" s="2103"/>
      <c r="U84" s="2103"/>
      <c r="V84" s="2142" t="s">
        <v>2349</v>
      </c>
      <c r="W84" s="2142"/>
      <c r="X84" s="2142"/>
      <c r="Y84" s="2142"/>
      <c r="Z84" s="2142"/>
      <c r="AA84" s="2142"/>
      <c r="AB84" s="2073" t="s">
        <v>2373</v>
      </c>
      <c r="AC84" s="2073"/>
      <c r="AD84" s="2073"/>
      <c r="AE84" s="2073"/>
      <c r="AF84" s="2073"/>
      <c r="AG84" s="2073"/>
      <c r="AH84" s="2143"/>
      <c r="AI84" s="1192"/>
      <c r="AJ84" s="2127"/>
      <c r="AK84" s="2128"/>
      <c r="AL84" s="2128"/>
      <c r="AM84" s="2128"/>
      <c r="AN84" s="2128"/>
      <c r="AO84" s="2128"/>
      <c r="AP84" s="2128"/>
      <c r="AQ84" s="2128"/>
      <c r="AR84" s="2128"/>
      <c r="AS84" s="2128"/>
      <c r="AT84" s="2128"/>
      <c r="AU84" s="2128"/>
      <c r="AV84" s="2128"/>
      <c r="AW84" s="2128"/>
      <c r="AX84" s="2128"/>
      <c r="AY84" s="2146"/>
      <c r="AZ84" s="2146"/>
      <c r="BA84" s="2146"/>
      <c r="BB84" s="2147"/>
      <c r="BC84" s="1192"/>
      <c r="BD84" s="1192"/>
      <c r="BE84" s="1196"/>
      <c r="CK84" s="1190"/>
      <c r="CL84" s="1190"/>
      <c r="CM84" s="1190"/>
      <c r="CN84" s="1190"/>
      <c r="CO84" s="1190"/>
      <c r="CP84" s="1190"/>
    </row>
    <row r="85" spans="1:94" ht="15.75" customHeight="1">
      <c r="A85" s="1192"/>
      <c r="B85" s="2138"/>
      <c r="C85" s="2103"/>
      <c r="D85" s="2103"/>
      <c r="E85" s="2103"/>
      <c r="F85" s="2103"/>
      <c r="G85" s="2103"/>
      <c r="H85" s="2103"/>
      <c r="I85" s="2103"/>
      <c r="J85" s="2103"/>
      <c r="K85" s="2103"/>
      <c r="L85" s="2103"/>
      <c r="M85" s="2103"/>
      <c r="N85" s="2103"/>
      <c r="O85" s="2103"/>
      <c r="P85" s="2103"/>
      <c r="Q85" s="2103"/>
      <c r="R85" s="2103"/>
      <c r="S85" s="2103"/>
      <c r="T85" s="2103"/>
      <c r="U85" s="2103"/>
      <c r="V85" s="2142"/>
      <c r="W85" s="2142"/>
      <c r="X85" s="2142"/>
      <c r="Y85" s="2142"/>
      <c r="Z85" s="2142"/>
      <c r="AA85" s="2142"/>
      <c r="AB85" s="2073"/>
      <c r="AC85" s="2073"/>
      <c r="AD85" s="2073"/>
      <c r="AE85" s="2073"/>
      <c r="AF85" s="2073"/>
      <c r="AG85" s="2073"/>
      <c r="AH85" s="2143"/>
      <c r="AI85" s="1192"/>
      <c r="AJ85" s="2127"/>
      <c r="AK85" s="2128"/>
      <c r="AL85" s="2128"/>
      <c r="AM85" s="2128"/>
      <c r="AN85" s="2128"/>
      <c r="AO85" s="2128"/>
      <c r="AP85" s="2128"/>
      <c r="AQ85" s="2128"/>
      <c r="AR85" s="2128"/>
      <c r="AS85" s="2128"/>
      <c r="AT85" s="2128"/>
      <c r="AU85" s="2128"/>
      <c r="AV85" s="2128"/>
      <c r="AW85" s="2128"/>
      <c r="AX85" s="2128"/>
      <c r="AY85" s="2146"/>
      <c r="AZ85" s="2146"/>
      <c r="BA85" s="2146"/>
      <c r="BB85" s="2147"/>
      <c r="BC85" s="1192"/>
      <c r="BD85" s="1192"/>
      <c r="BE85" s="1196"/>
      <c r="CK85" s="1190"/>
      <c r="CL85" s="1190"/>
      <c r="CM85" s="1190"/>
      <c r="CN85" s="1190"/>
      <c r="CO85" s="1190"/>
      <c r="CP85" s="1190"/>
    </row>
    <row r="86" spans="1:94" ht="15.75" customHeight="1">
      <c r="A86" s="1192"/>
      <c r="B86" s="2138" t="s">
        <v>2372</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2"/>
      <c r="AJ86" s="2127"/>
      <c r="AK86" s="2128"/>
      <c r="AL86" s="2128"/>
      <c r="AM86" s="2128"/>
      <c r="AN86" s="2128"/>
      <c r="AO86" s="2128"/>
      <c r="AP86" s="2128"/>
      <c r="AQ86" s="2128"/>
      <c r="AR86" s="2128"/>
      <c r="AS86" s="2128"/>
      <c r="AT86" s="2128"/>
      <c r="AU86" s="2128"/>
      <c r="AV86" s="2128"/>
      <c r="AW86" s="2128"/>
      <c r="AX86" s="2128"/>
      <c r="AY86" s="2146"/>
      <c r="AZ86" s="2146"/>
      <c r="BA86" s="2146"/>
      <c r="BB86" s="2147"/>
      <c r="BC86" s="1192"/>
      <c r="BD86" s="1192"/>
      <c r="BE86" s="1196"/>
      <c r="CK86" s="1190"/>
      <c r="CL86" s="1190"/>
      <c r="CM86" s="1190"/>
      <c r="CN86" s="1190"/>
      <c r="CO86" s="1190"/>
      <c r="CP86" s="1190"/>
    </row>
    <row r="87" spans="1:94" ht="15.75" customHeight="1">
      <c r="A87" s="1192"/>
      <c r="B87" s="2138" t="s">
        <v>2371</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2"/>
      <c r="AJ87" s="2043" t="s">
        <v>2378</v>
      </c>
      <c r="AK87" s="2044"/>
      <c r="AL87" s="2044"/>
      <c r="AM87" s="2044"/>
      <c r="AN87" s="2044"/>
      <c r="AO87" s="2044"/>
      <c r="AP87" s="2044"/>
      <c r="AQ87" s="2044"/>
      <c r="AR87" s="2044"/>
      <c r="AS87" s="2044"/>
      <c r="AT87" s="2044"/>
      <c r="AU87" s="2044"/>
      <c r="AV87" s="2044"/>
      <c r="AW87" s="2044"/>
      <c r="AX87" s="2044"/>
      <c r="AY87" s="2044"/>
      <c r="AZ87" s="2044"/>
      <c r="BA87" s="2044"/>
      <c r="BB87" s="2045"/>
      <c r="BC87" s="1192"/>
      <c r="BD87" s="1192"/>
      <c r="BE87" s="1196"/>
      <c r="CK87" s="1190"/>
      <c r="CL87" s="1190"/>
      <c r="CM87" s="1190"/>
      <c r="CN87" s="1190"/>
      <c r="CO87" s="1190"/>
      <c r="CP87" s="1190"/>
    </row>
    <row r="88" spans="1:94" ht="15.75" customHeight="1" thickBot="1">
      <c r="A88" s="1192"/>
      <c r="B88" s="2133" t="s">
        <v>2370</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2"/>
      <c r="AJ88" s="2046"/>
      <c r="AK88" s="2047"/>
      <c r="AL88" s="2047"/>
      <c r="AM88" s="2047"/>
      <c r="AN88" s="2047"/>
      <c r="AO88" s="2047"/>
      <c r="AP88" s="2047"/>
      <c r="AQ88" s="2047"/>
      <c r="AR88" s="2047"/>
      <c r="AS88" s="2047"/>
      <c r="AT88" s="2047"/>
      <c r="AU88" s="2047"/>
      <c r="AV88" s="2047"/>
      <c r="AW88" s="2047"/>
      <c r="AX88" s="2047"/>
      <c r="AY88" s="2047"/>
      <c r="AZ88" s="2047"/>
      <c r="BA88" s="2047"/>
      <c r="BB88" s="2048"/>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8"/>
      <c r="G92" s="2149"/>
      <c r="H92" s="2149"/>
      <c r="I92" s="2149"/>
      <c r="J92" s="2149"/>
      <c r="K92" s="2149"/>
      <c r="L92" s="2149"/>
      <c r="M92" s="2149"/>
      <c r="N92" s="2149"/>
      <c r="O92" s="2149"/>
      <c r="P92" s="2149"/>
      <c r="Q92" s="2149"/>
      <c r="R92" s="2149"/>
      <c r="S92" s="2149"/>
      <c r="T92" s="215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1" t="s">
        <v>2382</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7" t="s">
        <v>2381</v>
      </c>
      <c r="C94" s="2158"/>
      <c r="D94" s="2158"/>
      <c r="E94" s="2158"/>
      <c r="F94" s="2158"/>
      <c r="G94" s="2158"/>
      <c r="H94" s="2158"/>
      <c r="I94" s="2158"/>
      <c r="J94" s="2158"/>
      <c r="K94" s="2158"/>
      <c r="L94" s="2158"/>
      <c r="M94" s="2158"/>
      <c r="N94" s="2158"/>
      <c r="O94" s="2158"/>
      <c r="P94" s="2158"/>
      <c r="Q94" s="2159"/>
      <c r="R94" s="2139" t="s">
        <v>2190</v>
      </c>
      <c r="S94" s="2140"/>
      <c r="T94" s="2141"/>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0" t="s">
        <v>2380</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2"/>
      <c r="AJ96" s="2124" t="s">
        <v>2379</v>
      </c>
      <c r="AK96" s="2125"/>
      <c r="AL96" s="2125"/>
      <c r="AM96" s="2125"/>
      <c r="AN96" s="2125"/>
      <c r="AO96" s="2125"/>
      <c r="AP96" s="2125"/>
      <c r="AQ96" s="2125"/>
      <c r="AR96" s="2125"/>
      <c r="AS96" s="2125"/>
      <c r="AT96" s="2125"/>
      <c r="AU96" s="2125"/>
      <c r="AV96" s="2125"/>
      <c r="AW96" s="2125"/>
      <c r="AX96" s="2125"/>
      <c r="AY96" s="2144" t="s">
        <v>545</v>
      </c>
      <c r="AZ96" s="2144"/>
      <c r="BA96" s="2144"/>
      <c r="BB96" s="2145"/>
      <c r="BC96" s="1192"/>
      <c r="BD96" s="1192"/>
      <c r="BE96" s="1196"/>
      <c r="BQ96" s="1189" t="str">
        <f>Application!M243&amp;IF(TRIM(Application!AA249)&lt;&gt;""," ("&amp;Application!AA249&amp;")","")</f>
        <v>Eden Magnolias, LLC (Eden Housing, Inc.)</v>
      </c>
      <c r="BR96" s="1218">
        <f>Application!AH246</f>
        <v>51</v>
      </c>
      <c r="CM96" s="1190"/>
      <c r="CN96" s="1190"/>
      <c r="CO96" s="1190"/>
      <c r="CP96" s="1190"/>
    </row>
    <row r="97" spans="1:94" ht="15.75" customHeight="1">
      <c r="A97" s="1192"/>
      <c r="B97" s="2138"/>
      <c r="C97" s="2103"/>
      <c r="D97" s="2103"/>
      <c r="E97" s="2103"/>
      <c r="F97" s="2103"/>
      <c r="G97" s="2103"/>
      <c r="H97" s="2103"/>
      <c r="I97" s="2103" t="s">
        <v>2374</v>
      </c>
      <c r="J97" s="2103"/>
      <c r="K97" s="2103"/>
      <c r="L97" s="2103"/>
      <c r="M97" s="2103"/>
      <c r="N97" s="2103"/>
      <c r="O97" s="2103" t="s">
        <v>2350</v>
      </c>
      <c r="P97" s="2103"/>
      <c r="Q97" s="2103"/>
      <c r="R97" s="2103"/>
      <c r="S97" s="2103"/>
      <c r="T97" s="2103"/>
      <c r="U97" s="2103"/>
      <c r="V97" s="2142" t="s">
        <v>2349</v>
      </c>
      <c r="W97" s="2142"/>
      <c r="X97" s="2142"/>
      <c r="Y97" s="2142"/>
      <c r="Z97" s="2142"/>
      <c r="AA97" s="2142"/>
      <c r="AB97" s="2073" t="s">
        <v>2373</v>
      </c>
      <c r="AC97" s="2073"/>
      <c r="AD97" s="2073"/>
      <c r="AE97" s="2073"/>
      <c r="AF97" s="2073"/>
      <c r="AG97" s="2073"/>
      <c r="AH97" s="2143"/>
      <c r="AI97" s="1192"/>
      <c r="AJ97" s="2127"/>
      <c r="AK97" s="2128"/>
      <c r="AL97" s="2128"/>
      <c r="AM97" s="2128"/>
      <c r="AN97" s="2128"/>
      <c r="AO97" s="2128"/>
      <c r="AP97" s="2128"/>
      <c r="AQ97" s="2128"/>
      <c r="AR97" s="2128"/>
      <c r="AS97" s="2128"/>
      <c r="AT97" s="2128"/>
      <c r="AU97" s="2128"/>
      <c r="AV97" s="2128"/>
      <c r="AW97" s="2128"/>
      <c r="AX97" s="2128"/>
      <c r="AY97" s="2146"/>
      <c r="AZ97" s="2146"/>
      <c r="BA97" s="2146"/>
      <c r="BB97" s="2147"/>
      <c r="BC97" s="1192"/>
      <c r="BD97" s="1192"/>
      <c r="BE97" s="1196"/>
      <c r="BQ97" s="1189" t="str">
        <f>Application!M251&amp;IF(TRIM(Application!AA257)&lt;&gt;""," ("&amp;Application!AA257&amp;")","")</f>
        <v>The Magnolias LLC (First Community Housing, Inc.)</v>
      </c>
      <c r="BR97" s="1218">
        <f>Application!AH254</f>
        <v>49</v>
      </c>
      <c r="CM97" s="1190"/>
      <c r="CN97" s="1190"/>
      <c r="CO97" s="1190"/>
      <c r="CP97" s="1190"/>
    </row>
    <row r="98" spans="1:94" ht="15.75" customHeight="1">
      <c r="A98" s="1192"/>
      <c r="B98" s="2138"/>
      <c r="C98" s="2103"/>
      <c r="D98" s="2103"/>
      <c r="E98" s="2103"/>
      <c r="F98" s="2103"/>
      <c r="G98" s="2103"/>
      <c r="H98" s="2103"/>
      <c r="I98" s="2103"/>
      <c r="J98" s="2103"/>
      <c r="K98" s="2103"/>
      <c r="L98" s="2103"/>
      <c r="M98" s="2103"/>
      <c r="N98" s="2103"/>
      <c r="O98" s="2103"/>
      <c r="P98" s="2103"/>
      <c r="Q98" s="2103"/>
      <c r="R98" s="2103"/>
      <c r="S98" s="2103"/>
      <c r="T98" s="2103"/>
      <c r="U98" s="2103"/>
      <c r="V98" s="2142"/>
      <c r="W98" s="2142"/>
      <c r="X98" s="2142"/>
      <c r="Y98" s="2142"/>
      <c r="Z98" s="2142"/>
      <c r="AA98" s="2142"/>
      <c r="AB98" s="2073"/>
      <c r="AC98" s="2073"/>
      <c r="AD98" s="2073"/>
      <c r="AE98" s="2073"/>
      <c r="AF98" s="2073"/>
      <c r="AG98" s="2073"/>
      <c r="AH98" s="2143"/>
      <c r="AI98" s="1192"/>
      <c r="AJ98" s="2127"/>
      <c r="AK98" s="2128"/>
      <c r="AL98" s="2128"/>
      <c r="AM98" s="2128"/>
      <c r="AN98" s="2128"/>
      <c r="AO98" s="2128"/>
      <c r="AP98" s="2128"/>
      <c r="AQ98" s="2128"/>
      <c r="AR98" s="2128"/>
      <c r="AS98" s="2128"/>
      <c r="AT98" s="2128"/>
      <c r="AU98" s="2128"/>
      <c r="AV98" s="2128"/>
      <c r="AW98" s="2128"/>
      <c r="AX98" s="2128"/>
      <c r="AY98" s="2146"/>
      <c r="AZ98" s="2146"/>
      <c r="BA98" s="2146"/>
      <c r="BB98" s="2147"/>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8" t="s">
        <v>2372</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2"/>
      <c r="AJ99" s="2127"/>
      <c r="AK99" s="2128"/>
      <c r="AL99" s="2128"/>
      <c r="AM99" s="2128"/>
      <c r="AN99" s="2128"/>
      <c r="AO99" s="2128"/>
      <c r="AP99" s="2128"/>
      <c r="AQ99" s="2128"/>
      <c r="AR99" s="2128"/>
      <c r="AS99" s="2128"/>
      <c r="AT99" s="2128"/>
      <c r="AU99" s="2128"/>
      <c r="AV99" s="2128"/>
      <c r="AW99" s="2128"/>
      <c r="AX99" s="2128"/>
      <c r="AY99" s="2146"/>
      <c r="AZ99" s="2146"/>
      <c r="BA99" s="2146"/>
      <c r="BB99" s="2147"/>
      <c r="BC99" s="1192"/>
      <c r="BD99" s="1192"/>
      <c r="BE99" s="1196"/>
      <c r="CM99" s="1190"/>
      <c r="CN99" s="1190"/>
      <c r="CO99" s="1190"/>
      <c r="CP99" s="1190"/>
    </row>
    <row r="100" spans="1:94" ht="15.75" customHeight="1">
      <c r="A100" s="1192"/>
      <c r="B100" s="2138" t="s">
        <v>2371</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2"/>
      <c r="AJ100" s="2043" t="s">
        <v>2378</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2"/>
      <c r="BD100" s="1192"/>
      <c r="BE100" s="1196"/>
      <c r="CM100" s="1190"/>
      <c r="CN100" s="1190"/>
      <c r="CO100" s="1190"/>
      <c r="CP100" s="1190"/>
    </row>
    <row r="101" spans="1:94" ht="15.75" customHeight="1" thickBot="1">
      <c r="A101" s="1192"/>
      <c r="B101" s="2133" t="s">
        <v>2370</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2"/>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7"/>
      <c r="G104" s="2098"/>
      <c r="H104" s="2098"/>
      <c r="I104" s="2098"/>
      <c r="J104" s="2098"/>
      <c r="K104" s="2098"/>
      <c r="L104" s="2098"/>
      <c r="M104" s="2098"/>
      <c r="N104" s="2098"/>
      <c r="O104" s="2098"/>
      <c r="P104" s="2098"/>
      <c r="Q104" s="2098"/>
      <c r="R104" s="2099"/>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9" t="str">
        <f>IFERROR(INDEX(BR96:BR98,MATCH(F104,$BQ$96:$BQ$98,0))/SUM($BR$96:$BR$98),"")</f>
        <v/>
      </c>
      <c r="P105" s="2140"/>
      <c r="Q105" s="2140"/>
      <c r="R105" s="2141"/>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6" t="s">
        <v>2375</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8"/>
      <c r="C108" s="2103"/>
      <c r="D108" s="2103"/>
      <c r="E108" s="2103"/>
      <c r="F108" s="2103"/>
      <c r="G108" s="2103"/>
      <c r="H108" s="2103"/>
      <c r="I108" s="2103" t="s">
        <v>2374</v>
      </c>
      <c r="J108" s="2103"/>
      <c r="K108" s="2103"/>
      <c r="L108" s="2103"/>
      <c r="M108" s="2103"/>
      <c r="N108" s="2103"/>
      <c r="O108" s="2103" t="s">
        <v>2350</v>
      </c>
      <c r="P108" s="2103"/>
      <c r="Q108" s="2103"/>
      <c r="R108" s="2103"/>
      <c r="S108" s="2103"/>
      <c r="T108" s="2103"/>
      <c r="U108" s="2103"/>
      <c r="V108" s="2142" t="s">
        <v>2349</v>
      </c>
      <c r="W108" s="2142"/>
      <c r="X108" s="2142"/>
      <c r="Y108" s="2142"/>
      <c r="Z108" s="2142"/>
      <c r="AA108" s="2142"/>
      <c r="AB108" s="2073" t="s">
        <v>2373</v>
      </c>
      <c r="AC108" s="2073"/>
      <c r="AD108" s="2073"/>
      <c r="AE108" s="2073"/>
      <c r="AF108" s="2073"/>
      <c r="AG108" s="2073"/>
      <c r="AH108" s="214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8"/>
      <c r="C109" s="2103"/>
      <c r="D109" s="2103"/>
      <c r="E109" s="2103"/>
      <c r="F109" s="2103"/>
      <c r="G109" s="2103"/>
      <c r="H109" s="2103"/>
      <c r="I109" s="2103"/>
      <c r="J109" s="2103"/>
      <c r="K109" s="2103"/>
      <c r="L109" s="2103"/>
      <c r="M109" s="2103"/>
      <c r="N109" s="2103"/>
      <c r="O109" s="2103"/>
      <c r="P109" s="2103"/>
      <c r="Q109" s="2103"/>
      <c r="R109" s="2103"/>
      <c r="S109" s="2103"/>
      <c r="T109" s="2103"/>
      <c r="U109" s="2103"/>
      <c r="V109" s="2142"/>
      <c r="W109" s="2142"/>
      <c r="X109" s="2142"/>
      <c r="Y109" s="2142"/>
      <c r="Z109" s="2142"/>
      <c r="AA109" s="2142"/>
      <c r="AB109" s="2073"/>
      <c r="AC109" s="2073"/>
      <c r="AD109" s="2073"/>
      <c r="AE109" s="2073"/>
      <c r="AF109" s="2073"/>
      <c r="AG109" s="2073"/>
      <c r="AH109" s="214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8" t="s">
        <v>2372</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8" t="s">
        <v>2371</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3" t="s">
        <v>2370</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5"/>
      <c r="G115" s="2136"/>
      <c r="H115" s="2136"/>
      <c r="I115" s="2136"/>
      <c r="J115" s="2136"/>
      <c r="K115" s="2136"/>
      <c r="L115" s="2136"/>
      <c r="M115" s="2136"/>
      <c r="N115" s="2136"/>
      <c r="O115" s="2136"/>
      <c r="P115" s="2136"/>
      <c r="Q115" s="2136"/>
      <c r="R115" s="2137"/>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8" t="s">
        <v>2368</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6" t="s">
        <v>2368</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4" t="s">
        <v>2366</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6"/>
    </row>
    <row r="126" spans="1:57" ht="15.75" customHeight="1">
      <c r="A126" s="1192"/>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2"/>
      <c r="W126" s="1192"/>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6"/>
    </row>
    <row r="127" spans="1:57" ht="15.75" customHeight="1">
      <c r="A127" s="1192"/>
      <c r="B127" s="2040"/>
      <c r="C127" s="2041"/>
      <c r="D127" s="2041"/>
      <c r="E127" s="2041"/>
      <c r="F127" s="2041"/>
      <c r="G127" s="2041"/>
      <c r="H127" s="2041"/>
      <c r="I127" s="2103" t="s">
        <v>2365</v>
      </c>
      <c r="J127" s="2103"/>
      <c r="K127" s="2103"/>
      <c r="L127" s="2103"/>
      <c r="M127" s="2103"/>
      <c r="N127" s="2103"/>
      <c r="O127" s="2104" t="s">
        <v>2364</v>
      </c>
      <c r="P127" s="2104"/>
      <c r="Q127" s="2104"/>
      <c r="R127" s="2104"/>
      <c r="S127" s="2104"/>
      <c r="T127" s="2104"/>
      <c r="U127" s="2105"/>
      <c r="V127" s="1192"/>
      <c r="W127" s="1192"/>
      <c r="X127" s="2043" t="s">
        <v>2334</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6"/>
    </row>
    <row r="128" spans="1:57" ht="15.75" customHeight="1">
      <c r="A128" s="1192"/>
      <c r="B128" s="2074" t="s">
        <v>2348</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2"/>
      <c r="W128" s="1192"/>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6"/>
    </row>
    <row r="129" spans="1:57" ht="15.75" customHeight="1" thickBot="1">
      <c r="A129" s="1192"/>
      <c r="B129" s="2068" t="s">
        <v>2347</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2"/>
      <c r="W129" s="1192"/>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6"/>
    </row>
    <row r="133" spans="1:57" ht="15.75" customHeight="1">
      <c r="A133" s="1192"/>
      <c r="B133" s="2100" t="s">
        <v>2362</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2"/>
      <c r="W133" s="1192"/>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6"/>
    </row>
    <row r="134" spans="1:57" ht="15.75" customHeight="1">
      <c r="A134" s="1192"/>
      <c r="B134" s="2040"/>
      <c r="C134" s="2041"/>
      <c r="D134" s="2041"/>
      <c r="E134" s="2041"/>
      <c r="F134" s="2041"/>
      <c r="G134" s="2041"/>
      <c r="H134" s="2041"/>
      <c r="I134" s="2078" t="s">
        <v>2350</v>
      </c>
      <c r="J134" s="2078"/>
      <c r="K134" s="2078"/>
      <c r="L134" s="2078"/>
      <c r="M134" s="2078"/>
      <c r="N134" s="2078"/>
      <c r="O134" s="2078"/>
      <c r="P134" s="2078" t="s">
        <v>2349</v>
      </c>
      <c r="Q134" s="2078"/>
      <c r="R134" s="2078"/>
      <c r="S134" s="2078"/>
      <c r="T134" s="2078"/>
      <c r="U134" s="2079"/>
      <c r="V134" s="1192"/>
      <c r="W134" s="1192"/>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6"/>
    </row>
    <row r="135" spans="1:57" ht="15.75" customHeight="1">
      <c r="A135" s="1192"/>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2"/>
      <c r="W135" s="1192"/>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6"/>
    </row>
    <row r="136" spans="1:57" ht="15.75" customHeight="1">
      <c r="A136" s="1192"/>
      <c r="B136" s="2074" t="s">
        <v>2348</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2"/>
      <c r="W136" s="1192"/>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6"/>
    </row>
    <row r="137" spans="1:57" ht="15.75" customHeight="1" thickBot="1">
      <c r="A137" s="1192"/>
      <c r="B137" s="2068" t="s">
        <v>2347</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2"/>
      <c r="W137" s="1192"/>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5" t="s">
        <v>2361</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2"/>
      <c r="AZ139" s="1192"/>
      <c r="BA139" s="1192"/>
      <c r="BB139" s="1192"/>
      <c r="BC139" s="1192"/>
      <c r="BD139" s="1192"/>
      <c r="BE139" s="1196"/>
    </row>
    <row r="140" spans="1:57" ht="15.75" customHeight="1" thickBot="1">
      <c r="A140" s="1192"/>
      <c r="B140" s="2080" t="s">
        <v>2360</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2"/>
      <c r="AZ140" s="1192"/>
      <c r="BA140" s="1192"/>
      <c r="BB140" s="1192"/>
      <c r="BC140" s="1192"/>
      <c r="BD140" s="1192"/>
      <c r="BE140" s="1196"/>
    </row>
    <row r="141" spans="1:57" ht="15.75" customHeight="1">
      <c r="A141" s="1192"/>
      <c r="B141" s="2080" t="s">
        <v>2359</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2"/>
      <c r="AZ141" s="1192"/>
      <c r="BA141" s="1192"/>
      <c r="BB141" s="1192"/>
      <c r="BC141" s="1192"/>
      <c r="BD141" s="1192"/>
      <c r="BE141" s="1196"/>
    </row>
    <row r="142" spans="1:57" ht="15.75" customHeight="1">
      <c r="A142" s="1192"/>
      <c r="B142" s="2085" t="s">
        <v>2358</v>
      </c>
      <c r="C142" s="2086"/>
      <c r="D142" s="2086"/>
      <c r="E142" s="2086"/>
      <c r="F142" s="2086"/>
      <c r="G142" s="2086"/>
      <c r="H142" s="2086"/>
      <c r="I142" s="2086"/>
      <c r="J142" s="2086"/>
      <c r="K142" s="2086"/>
      <c r="L142" s="2086"/>
      <c r="M142" s="2086"/>
      <c r="N142" s="2086"/>
      <c r="O142" s="2086"/>
      <c r="P142" s="2086"/>
      <c r="Q142" s="2086"/>
      <c r="R142" s="2087" t="s">
        <v>2357</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2"/>
      <c r="AZ142" s="1192"/>
      <c r="BA142" s="1192"/>
      <c r="BB142" s="1192"/>
      <c r="BC142" s="1192" t="s">
        <v>249</v>
      </c>
      <c r="BD142" s="1192"/>
      <c r="BE142" s="1196"/>
    </row>
    <row r="143" spans="1:57" ht="15.75" customHeight="1">
      <c r="A143" s="1192"/>
      <c r="B143" s="2089" t="s">
        <v>2356</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2"/>
      <c r="AZ143" s="1192"/>
      <c r="BA143" s="1192"/>
      <c r="BB143" s="1192"/>
      <c r="BC143" s="1192"/>
      <c r="BD143" s="1192"/>
      <c r="BE143" s="1196"/>
    </row>
    <row r="144" spans="1:57" ht="15.75" customHeight="1">
      <c r="A144" s="1192"/>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2"/>
      <c r="AZ144" s="1192"/>
      <c r="BA144" s="1192"/>
      <c r="BB144" s="1192"/>
      <c r="BC144" s="1192"/>
      <c r="BD144" s="1192"/>
      <c r="BE144" s="1196"/>
    </row>
    <row r="145" spans="1:57" ht="15.75" customHeight="1">
      <c r="A145" s="1192"/>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2"/>
      <c r="AZ145" s="1192"/>
      <c r="BA145" s="1192"/>
      <c r="BB145" s="1192"/>
      <c r="BC145" s="1192"/>
      <c r="BD145" s="1192"/>
      <c r="BE145" s="1196"/>
    </row>
    <row r="146" spans="1:57" ht="15.75" customHeight="1">
      <c r="A146" s="1192"/>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2"/>
      <c r="AZ146" s="1192"/>
      <c r="BA146" s="1192"/>
      <c r="BB146" s="1192"/>
      <c r="BC146" s="1192"/>
      <c r="BD146" s="1192"/>
      <c r="BE146" s="1196"/>
    </row>
    <row r="147" spans="1:57" ht="15.75" customHeight="1">
      <c r="A147" s="1192"/>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2"/>
      <c r="AZ147" s="1192"/>
      <c r="BA147" s="1192"/>
      <c r="BB147" s="1192"/>
      <c r="BC147" s="1192"/>
      <c r="BD147" s="1192"/>
      <c r="BE147" s="1196"/>
    </row>
    <row r="148" spans="1:57" ht="15.75" customHeight="1">
      <c r="A148" s="1192"/>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2"/>
      <c r="AZ148" s="1192"/>
      <c r="BA148" s="1192"/>
      <c r="BB148" s="1192"/>
      <c r="BC148" s="1192"/>
      <c r="BD148" s="1192"/>
      <c r="BE148" s="1196"/>
    </row>
    <row r="149" spans="1:57" ht="15.75" customHeight="1">
      <c r="A149" s="1192"/>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2"/>
      <c r="AZ149" s="1192"/>
      <c r="BA149" s="1192"/>
      <c r="BB149" s="1192"/>
      <c r="BC149" s="1192"/>
      <c r="BD149" s="1192"/>
      <c r="BE149" s="1196"/>
    </row>
    <row r="150" spans="1:57" ht="15.75" customHeight="1">
      <c r="A150" s="1192"/>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2"/>
      <c r="AZ150" s="1192"/>
      <c r="BA150" s="1192"/>
      <c r="BB150" s="1192"/>
      <c r="BC150" s="1192"/>
      <c r="BD150" s="1192"/>
      <c r="BE150" s="1196"/>
    </row>
    <row r="151" spans="1:57" ht="15.75" customHeight="1">
      <c r="A151" s="1192"/>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2"/>
      <c r="AZ151" s="1192"/>
      <c r="BA151" s="1192"/>
      <c r="BB151" s="1192"/>
      <c r="BC151" s="1192"/>
      <c r="BD151" s="1192"/>
      <c r="BE151" s="1196"/>
    </row>
    <row r="152" spans="1:57" ht="15.75" customHeight="1" thickBot="1">
      <c r="A152" s="1192"/>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2" t="s">
        <v>2353</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2"/>
      <c r="W156" s="1194"/>
      <c r="X156" s="2072" t="s">
        <v>2352</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0"/>
      <c r="C157" s="2041"/>
      <c r="D157" s="2041"/>
      <c r="E157" s="2041"/>
      <c r="F157" s="2041"/>
      <c r="G157" s="2041"/>
      <c r="H157" s="2041"/>
      <c r="I157" s="2078" t="s">
        <v>2350</v>
      </c>
      <c r="J157" s="2078"/>
      <c r="K157" s="2078"/>
      <c r="L157" s="2078"/>
      <c r="M157" s="2078"/>
      <c r="N157" s="2078"/>
      <c r="O157" s="2078"/>
      <c r="P157" s="2078" t="s">
        <v>2351</v>
      </c>
      <c r="Q157" s="2078"/>
      <c r="R157" s="2078"/>
      <c r="S157" s="2078"/>
      <c r="T157" s="2078"/>
      <c r="U157" s="2079"/>
      <c r="V157" s="1192"/>
      <c r="W157" s="1192"/>
      <c r="X157" s="2040"/>
      <c r="Y157" s="2041"/>
      <c r="Z157" s="2041"/>
      <c r="AA157" s="2041"/>
      <c r="AB157" s="2041"/>
      <c r="AC157" s="2041"/>
      <c r="AD157" s="2041"/>
      <c r="AE157" s="2078" t="s">
        <v>2350</v>
      </c>
      <c r="AF157" s="2078"/>
      <c r="AG157" s="2078"/>
      <c r="AH157" s="2078"/>
      <c r="AI157" s="2078"/>
      <c r="AJ157" s="2078"/>
      <c r="AK157" s="2078"/>
      <c r="AL157" s="2078" t="s">
        <v>2349</v>
      </c>
      <c r="AM157" s="2078"/>
      <c r="AN157" s="2078"/>
      <c r="AO157" s="2078"/>
      <c r="AP157" s="2078"/>
      <c r="AQ157" s="2079"/>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2"/>
      <c r="W158" s="1192"/>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4" t="s">
        <v>2348</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2"/>
      <c r="W159" s="1192"/>
      <c r="X159" s="2068" t="s">
        <v>2348</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8" t="s">
        <v>2347</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2" t="s">
        <v>2346</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0" t="s">
        <v>2331</v>
      </c>
      <c r="D163" s="2041"/>
      <c r="E163" s="2041"/>
      <c r="F163" s="2041"/>
      <c r="G163" s="2041"/>
      <c r="H163" s="2041"/>
      <c r="I163" s="2041"/>
      <c r="J163" s="2041"/>
      <c r="K163" s="2041"/>
      <c r="L163" s="2041"/>
      <c r="M163" s="2041"/>
      <c r="N163" s="2041"/>
      <c r="O163" s="2041"/>
      <c r="P163" s="2041"/>
      <c r="Q163" s="2041" t="s">
        <v>2345</v>
      </c>
      <c r="R163" s="2041"/>
      <c r="S163" s="2041"/>
      <c r="T163" s="2073" t="s">
        <v>2344</v>
      </c>
      <c r="U163" s="2073"/>
      <c r="V163" s="2073"/>
      <c r="W163" s="2073"/>
      <c r="X163" s="2073"/>
      <c r="Y163" s="2073"/>
      <c r="Z163" s="2073"/>
      <c r="AA163" s="2073"/>
      <c r="AB163" s="2041" t="s">
        <v>2343</v>
      </c>
      <c r="AC163" s="2041"/>
      <c r="AD163" s="2041"/>
      <c r="AE163" s="2041"/>
      <c r="AF163" s="2041"/>
      <c r="AG163" s="204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5" t="s">
        <v>2342</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5" t="s">
        <v>2341</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5" t="s">
        <v>2340</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5" t="s">
        <v>2339</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5" t="s">
        <v>169</v>
      </c>
      <c r="D168" s="2056"/>
      <c r="E168" s="2056"/>
      <c r="F168" s="2057" t="s">
        <v>2320</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5" t="s">
        <v>169</v>
      </c>
      <c r="D169" s="2056"/>
      <c r="E169" s="2056"/>
      <c r="F169" s="2057" t="s">
        <v>2320</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1" t="s">
        <v>169</v>
      </c>
      <c r="D170" s="2062"/>
      <c r="E170" s="2062"/>
      <c r="F170" s="2063" t="s">
        <v>2320</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6" t="s">
        <v>2338</v>
      </c>
      <c r="D172" s="2027"/>
      <c r="E172" s="2027"/>
      <c r="F172" s="2027"/>
      <c r="G172" s="2027"/>
      <c r="H172" s="2027"/>
      <c r="I172" s="2027"/>
      <c r="J172" s="2027"/>
      <c r="K172" s="2027"/>
      <c r="L172" s="2027"/>
      <c r="M172" s="2027"/>
      <c r="N172" s="2036"/>
      <c r="O172" s="1192"/>
      <c r="P172" s="2037" t="s">
        <v>2337</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0" t="s">
        <v>2336</v>
      </c>
      <c r="D173" s="2041"/>
      <c r="E173" s="2041"/>
      <c r="F173" s="2041"/>
      <c r="G173" s="2041"/>
      <c r="H173" s="2041"/>
      <c r="I173" s="2041" t="s">
        <v>2335</v>
      </c>
      <c r="J173" s="2041"/>
      <c r="K173" s="2041"/>
      <c r="L173" s="2041"/>
      <c r="M173" s="2041"/>
      <c r="N173" s="2042"/>
      <c r="O173" s="1192"/>
      <c r="P173" s="2043" t="s">
        <v>2334</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8"/>
      <c r="D174" s="1989"/>
      <c r="E174" s="1989"/>
      <c r="F174" s="1989"/>
      <c r="G174" s="1989"/>
      <c r="H174" s="1989"/>
      <c r="I174" s="2049"/>
      <c r="J174" s="2049"/>
      <c r="K174" s="2049"/>
      <c r="L174" s="2049"/>
      <c r="M174" s="2049"/>
      <c r="N174" s="2050"/>
      <c r="O174" s="1192"/>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8"/>
      <c r="D175" s="1989"/>
      <c r="E175" s="1989"/>
      <c r="F175" s="1989"/>
      <c r="G175" s="1989"/>
      <c r="H175" s="1989"/>
      <c r="I175" s="2049"/>
      <c r="J175" s="2049"/>
      <c r="K175" s="2049"/>
      <c r="L175" s="2049"/>
      <c r="M175" s="2049"/>
      <c r="N175" s="2050"/>
      <c r="O175" s="1192"/>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8"/>
      <c r="D176" s="1989"/>
      <c r="E176" s="1989"/>
      <c r="F176" s="1989"/>
      <c r="G176" s="1989"/>
      <c r="H176" s="1989"/>
      <c r="I176" s="2049"/>
      <c r="J176" s="2049"/>
      <c r="K176" s="2049"/>
      <c r="L176" s="2049"/>
      <c r="M176" s="2049"/>
      <c r="N176" s="2050"/>
      <c r="O176" s="1192"/>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8"/>
      <c r="D177" s="1989"/>
      <c r="E177" s="1989"/>
      <c r="F177" s="1989"/>
      <c r="G177" s="1989"/>
      <c r="H177" s="1989"/>
      <c r="I177" s="2049"/>
      <c r="J177" s="2049"/>
      <c r="K177" s="2049"/>
      <c r="L177" s="2049"/>
      <c r="M177" s="2049"/>
      <c r="N177" s="2050"/>
      <c r="O177" s="1192"/>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8"/>
      <c r="D178" s="1989"/>
      <c r="E178" s="1989"/>
      <c r="F178" s="1989"/>
      <c r="G178" s="1989"/>
      <c r="H178" s="1989"/>
      <c r="I178" s="2049"/>
      <c r="J178" s="2049"/>
      <c r="K178" s="2049"/>
      <c r="L178" s="2049"/>
      <c r="M178" s="2049"/>
      <c r="N178" s="2050"/>
      <c r="O178" s="1192"/>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8"/>
      <c r="D179" s="1989"/>
      <c r="E179" s="1989"/>
      <c r="F179" s="1989"/>
      <c r="G179" s="1989"/>
      <c r="H179" s="1989"/>
      <c r="I179" s="2049"/>
      <c r="J179" s="2049"/>
      <c r="K179" s="2049"/>
      <c r="L179" s="2049"/>
      <c r="M179" s="2049"/>
      <c r="N179" s="2050"/>
      <c r="O179" s="1192"/>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1"/>
      <c r="D180" s="2052"/>
      <c r="E180" s="2052"/>
      <c r="F180" s="2052"/>
      <c r="G180" s="2052"/>
      <c r="H180" s="2052"/>
      <c r="I180" s="2053"/>
      <c r="J180" s="2053"/>
      <c r="K180" s="2053"/>
      <c r="L180" s="2053"/>
      <c r="M180" s="2053"/>
      <c r="N180" s="2054"/>
      <c r="O180" s="1192"/>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7" t="s">
        <v>2333</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2"/>
      <c r="AG182" s="119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2"/>
      <c r="B183" s="1192"/>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2"/>
      <c r="AG183" s="119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2"/>
      <c r="B184" s="1192"/>
      <c r="C184" s="2026" t="s">
        <v>2331</v>
      </c>
      <c r="D184" s="2027"/>
      <c r="E184" s="2027"/>
      <c r="F184" s="2027"/>
      <c r="G184" s="2027"/>
      <c r="H184" s="2027"/>
      <c r="I184" s="2027"/>
      <c r="J184" s="2027"/>
      <c r="K184" s="2027"/>
      <c r="L184" s="2027"/>
      <c r="M184" s="2027"/>
      <c r="N184" s="2027" t="s">
        <v>2332</v>
      </c>
      <c r="O184" s="2027"/>
      <c r="P184" s="2027"/>
      <c r="Q184" s="2027"/>
      <c r="R184" s="2027"/>
      <c r="S184" s="2027"/>
      <c r="T184" s="2027"/>
      <c r="U184" s="2028" t="s">
        <v>2331</v>
      </c>
      <c r="V184" s="2028"/>
      <c r="W184" s="2028"/>
      <c r="X184" s="2028"/>
      <c r="Y184" s="2028"/>
      <c r="Z184" s="2028"/>
      <c r="AA184" s="2028"/>
      <c r="AB184" s="2028"/>
      <c r="AC184" s="2028"/>
      <c r="AD184" s="2028"/>
      <c r="AE184" s="2029"/>
      <c r="AF184" s="1192"/>
      <c r="AG184" s="119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2"/>
      <c r="B185" s="1192"/>
      <c r="C185" s="2005" t="s">
        <v>2330</v>
      </c>
      <c r="D185" s="2006"/>
      <c r="E185" s="2006"/>
      <c r="F185" s="2006"/>
      <c r="G185" s="2006"/>
      <c r="H185" s="2006"/>
      <c r="I185" s="2006"/>
      <c r="J185" s="2006"/>
      <c r="K185" s="2006"/>
      <c r="L185" s="2006"/>
      <c r="M185" s="2006"/>
      <c r="N185" s="2016">
        <f>'Sources and Uses Budget'!B105</f>
        <v>65448259</v>
      </c>
      <c r="O185" s="2016"/>
      <c r="P185" s="2016"/>
      <c r="Q185" s="2016"/>
      <c r="R185" s="2016"/>
      <c r="S185" s="2016"/>
      <c r="T185" s="2016"/>
      <c r="U185" s="2030"/>
      <c r="V185" s="2030"/>
      <c r="W185" s="2030"/>
      <c r="X185" s="2030"/>
      <c r="Y185" s="2030"/>
      <c r="Z185" s="2030"/>
      <c r="AA185" s="2030"/>
      <c r="AB185" s="2030"/>
      <c r="AC185" s="2030"/>
      <c r="AD185" s="2030"/>
      <c r="AE185" s="2031"/>
      <c r="AF185" s="1192"/>
      <c r="AG185" s="119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2"/>
      <c r="B186" s="1192"/>
      <c r="C186" s="2005" t="s">
        <v>2329</v>
      </c>
      <c r="D186" s="2006"/>
      <c r="E186" s="2006"/>
      <c r="F186" s="2006"/>
      <c r="G186" s="2006"/>
      <c r="H186" s="2006"/>
      <c r="I186" s="2006"/>
      <c r="J186" s="2006"/>
      <c r="K186" s="2006"/>
      <c r="L186" s="2006"/>
      <c r="M186" s="2006"/>
      <c r="N186" s="2016">
        <f>N185/J29</f>
        <v>991640.28787878784</v>
      </c>
      <c r="O186" s="2016"/>
      <c r="P186" s="2016"/>
      <c r="Q186" s="2016"/>
      <c r="R186" s="2016"/>
      <c r="S186" s="2016"/>
      <c r="T186" s="2016"/>
      <c r="U186" s="1232"/>
      <c r="V186" s="1232"/>
      <c r="W186" s="1232"/>
      <c r="X186" s="1232"/>
      <c r="Y186" s="1232"/>
      <c r="Z186" s="1232"/>
      <c r="AA186" s="1232"/>
      <c r="AB186" s="1232"/>
      <c r="AC186" s="1232"/>
      <c r="AD186" s="1232"/>
      <c r="AE186" s="1233"/>
      <c r="AF186" s="1192"/>
      <c r="AG186" s="119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2"/>
      <c r="B187" s="1192"/>
      <c r="C187" s="2032" t="s">
        <v>2328</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2"/>
      <c r="AG187" s="119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2"/>
      <c r="B188" s="1192"/>
      <c r="C188" s="2005" t="s">
        <v>2327</v>
      </c>
      <c r="D188" s="2006"/>
      <c r="E188" s="2006"/>
      <c r="F188" s="2006"/>
      <c r="G188" s="2006"/>
      <c r="H188" s="2006"/>
      <c r="I188" s="2006"/>
      <c r="J188" s="2006"/>
      <c r="K188" s="2006"/>
      <c r="L188" s="2006"/>
      <c r="M188" s="2006"/>
      <c r="N188" s="2035">
        <f>SUM('Sources and Uses Budget'!B85:B86)</f>
        <v>3438000</v>
      </c>
      <c r="O188" s="2035"/>
      <c r="P188" s="2035"/>
      <c r="Q188" s="2035"/>
      <c r="R188" s="2035"/>
      <c r="S188" s="2035"/>
      <c r="T188" s="2035"/>
      <c r="U188" s="1992"/>
      <c r="V188" s="1992"/>
      <c r="W188" s="1992"/>
      <c r="X188" s="1992"/>
      <c r="Y188" s="1992"/>
      <c r="Z188" s="1992"/>
      <c r="AA188" s="1992"/>
      <c r="AB188" s="1992"/>
      <c r="AC188" s="1992"/>
      <c r="AD188" s="1992"/>
      <c r="AE188" s="1993"/>
      <c r="AF188" s="1192"/>
      <c r="AG188" s="119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2"/>
      <c r="B189" s="1192"/>
      <c r="C189" s="2005" t="s">
        <v>2326</v>
      </c>
      <c r="D189" s="2006"/>
      <c r="E189" s="2006"/>
      <c r="F189" s="2006"/>
      <c r="G189" s="2006"/>
      <c r="H189" s="2006"/>
      <c r="I189" s="2006"/>
      <c r="J189" s="2006"/>
      <c r="K189" s="2006"/>
      <c r="L189" s="2006"/>
      <c r="M189" s="2006"/>
      <c r="N189" s="2035">
        <f>'Sources and Uses Budget'!B8</f>
        <v>811361</v>
      </c>
      <c r="O189" s="2035"/>
      <c r="P189" s="2035"/>
      <c r="Q189" s="2035"/>
      <c r="R189" s="2035"/>
      <c r="S189" s="2035"/>
      <c r="T189" s="2035"/>
      <c r="U189" s="1992"/>
      <c r="V189" s="1992"/>
      <c r="W189" s="1992"/>
      <c r="X189" s="1992"/>
      <c r="Y189" s="1992"/>
      <c r="Z189" s="1992"/>
      <c r="AA189" s="1992"/>
      <c r="AB189" s="1992"/>
      <c r="AC189" s="1992"/>
      <c r="AD189" s="1992"/>
      <c r="AE189" s="1993"/>
      <c r="AF189" s="1192"/>
      <c r="AG189" s="1192"/>
      <c r="AH189" s="2002" t="s">
        <v>2324</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2"/>
      <c r="B190" s="1192"/>
      <c r="C190" s="2005" t="s">
        <v>2325</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2"/>
      <c r="AG190" s="1192"/>
      <c r="AH190" s="2007" t="s">
        <v>2324</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2"/>
      <c r="B191" s="1192"/>
      <c r="C191" s="2005" t="s">
        <v>2323</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2"/>
      <c r="AG191" s="1192"/>
      <c r="AH191" s="2023" t="s">
        <v>2322</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2"/>
      <c r="B192" s="1192"/>
      <c r="C192" s="1997" t="s">
        <v>299</v>
      </c>
      <c r="D192" s="1998"/>
      <c r="E192" s="1990" t="s">
        <v>2320</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2"/>
      <c r="AG192" s="1192"/>
      <c r="AH192" s="1999" t="s">
        <v>2321</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2"/>
      <c r="B193" s="1192"/>
      <c r="C193" s="1988" t="s">
        <v>299</v>
      </c>
      <c r="D193" s="1989"/>
      <c r="E193" s="1990" t="s">
        <v>2320</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4"/>
      <c r="BD193" s="1995"/>
      <c r="BE193" s="1996"/>
    </row>
    <row r="194" spans="1:57" ht="15.75" customHeight="1" thickBot="1">
      <c r="A194" s="1192"/>
      <c r="B194" s="1192"/>
      <c r="C194" s="1976" t="s">
        <v>299</v>
      </c>
      <c r="D194" s="1977"/>
      <c r="E194" s="1978" t="s">
        <v>2320</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2"/>
      <c r="AG194" s="1192"/>
      <c r="AH194" s="1985" t="s">
        <v>2319</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3"/>
      <c r="BD194" s="1173"/>
      <c r="BE194" s="1236"/>
    </row>
    <row r="195" spans="1:57" ht="15.75" customHeight="1">
      <c r="A195" s="1192"/>
      <c r="B195" s="1192"/>
      <c r="C195" s="1959" t="s">
        <v>2318</v>
      </c>
      <c r="D195" s="1960"/>
      <c r="E195" s="1960"/>
      <c r="F195" s="1960"/>
      <c r="G195" s="1960"/>
      <c r="H195" s="1960"/>
      <c r="I195" s="1960"/>
      <c r="J195" s="1960"/>
      <c r="K195" s="1960"/>
      <c r="L195" s="1960"/>
      <c r="M195" s="1960"/>
      <c r="N195" s="1961">
        <f>SUM(N187:T194)</f>
        <v>4249361</v>
      </c>
      <c r="O195" s="1961"/>
      <c r="P195" s="1961"/>
      <c r="Q195" s="1961"/>
      <c r="R195" s="1961"/>
      <c r="S195" s="1961"/>
      <c r="T195" s="1962"/>
      <c r="U195" s="1192"/>
      <c r="V195" s="1192"/>
      <c r="W195" s="1192"/>
      <c r="X195" s="1192"/>
      <c r="Y195" s="1192"/>
      <c r="Z195" s="1192"/>
      <c r="AA195" s="1192"/>
      <c r="AB195" s="1192"/>
      <c r="AC195" s="1192"/>
      <c r="AD195" s="1192"/>
      <c r="AE195" s="1192"/>
      <c r="AF195" s="1192"/>
      <c r="AG195" s="1192"/>
      <c r="AH195" s="1963" t="s">
        <v>2317</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2"/>
      <c r="B196" s="1192"/>
      <c r="C196" s="1969" t="s">
        <v>2316</v>
      </c>
      <c r="D196" s="1970"/>
      <c r="E196" s="1970"/>
      <c r="F196" s="1970"/>
      <c r="G196" s="1970"/>
      <c r="H196" s="1970"/>
      <c r="I196" s="1970"/>
      <c r="J196" s="1970"/>
      <c r="K196" s="1970"/>
      <c r="L196" s="1970"/>
      <c r="M196" s="1970"/>
      <c r="N196" s="1971">
        <f>(N185-N195)/J29</f>
        <v>927256.03030303027</v>
      </c>
      <c r="O196" s="1972"/>
      <c r="P196" s="1972"/>
      <c r="Q196" s="1972"/>
      <c r="R196" s="1972"/>
      <c r="S196" s="1972"/>
      <c r="T196" s="1973"/>
      <c r="U196" s="1197"/>
      <c r="V196" s="1192"/>
      <c r="W196" s="1192"/>
      <c r="X196" s="1192"/>
      <c r="Y196" s="1192"/>
      <c r="Z196" s="1192"/>
      <c r="AA196" s="1192"/>
      <c r="AB196" s="1192"/>
      <c r="AC196" s="1192"/>
      <c r="AD196" s="1192"/>
      <c r="AE196" s="1192"/>
      <c r="AF196" s="1192"/>
      <c r="AG196" s="1192"/>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4" t="s">
        <v>2315</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7" t="s">
        <v>2314</v>
      </c>
      <c r="D200" s="1957"/>
      <c r="E200" s="1957"/>
      <c r="F200" s="1957"/>
      <c r="G200" s="1957"/>
      <c r="H200" s="1957"/>
      <c r="I200" s="1957"/>
      <c r="J200" s="1957"/>
      <c r="K200" s="1957"/>
      <c r="L200" s="1957"/>
      <c r="M200" s="1957"/>
      <c r="N200" s="1957"/>
      <c r="O200" s="1958" t="s">
        <v>2313</v>
      </c>
      <c r="P200" s="1958"/>
      <c r="Q200" s="1958"/>
      <c r="R200" s="1958"/>
      <c r="S200" s="1958"/>
      <c r="T200" s="1958"/>
      <c r="U200" s="1958"/>
      <c r="V200" s="1958"/>
      <c r="W200" s="1958"/>
      <c r="X200" s="1958" t="s">
        <v>2312</v>
      </c>
      <c r="Y200" s="1958"/>
      <c r="Z200" s="1958"/>
      <c r="AA200" s="1958"/>
      <c r="AB200" s="1958"/>
      <c r="AC200" s="1958"/>
      <c r="AD200" s="1958"/>
      <c r="AE200" s="19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9" t="s">
        <v>2311</v>
      </c>
      <c r="D201" s="1949"/>
      <c r="E201" s="1949"/>
      <c r="F201" s="1949"/>
      <c r="G201" s="1949"/>
      <c r="H201" s="1949"/>
      <c r="I201" s="1949"/>
      <c r="J201" s="1949"/>
      <c r="K201" s="1949"/>
      <c r="L201" s="1949"/>
      <c r="M201" s="1949"/>
      <c r="N201" s="1949"/>
      <c r="O201" s="1950" t="s">
        <v>2310</v>
      </c>
      <c r="P201" s="1950"/>
      <c r="Q201" s="1950"/>
      <c r="R201" s="1950"/>
      <c r="S201" s="1950"/>
      <c r="T201" s="1950"/>
      <c r="U201" s="1950"/>
      <c r="V201" s="1950"/>
      <c r="W201" s="1950"/>
      <c r="X201" s="1951">
        <v>0.03</v>
      </c>
      <c r="Y201" s="1951"/>
      <c r="Z201" s="1951"/>
      <c r="AA201" s="1951"/>
      <c r="AB201" s="1951"/>
      <c r="AC201" s="1951"/>
      <c r="AD201" s="1951"/>
      <c r="AE201" s="19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9" t="s">
        <v>854</v>
      </c>
      <c r="D202" s="1949"/>
      <c r="E202" s="1949"/>
      <c r="F202" s="1949"/>
      <c r="G202" s="1949"/>
      <c r="H202" s="1949"/>
      <c r="I202" s="1949"/>
      <c r="J202" s="1949"/>
      <c r="K202" s="1949"/>
      <c r="L202" s="1949"/>
      <c r="M202" s="1949"/>
      <c r="N202" s="1949"/>
      <c r="O202" s="1950" t="s">
        <v>2310</v>
      </c>
      <c r="P202" s="1950"/>
      <c r="Q202" s="1950"/>
      <c r="R202" s="1950"/>
      <c r="S202" s="1950"/>
      <c r="T202" s="1950"/>
      <c r="U202" s="1950"/>
      <c r="V202" s="1950"/>
      <c r="W202" s="1950"/>
      <c r="X202" s="1951">
        <v>0.03</v>
      </c>
      <c r="Y202" s="1951"/>
      <c r="Z202" s="1951"/>
      <c r="AA202" s="1951"/>
      <c r="AB202" s="1951"/>
      <c r="AC202" s="1951"/>
      <c r="AD202" s="1951"/>
      <c r="AE202" s="19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9" t="s">
        <v>2309</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2308</v>
      </c>
      <c r="Y203" s="1953"/>
      <c r="Z203" s="1953"/>
      <c r="AA203" s="1953"/>
      <c r="AB203" s="1953"/>
      <c r="AC203" s="1953"/>
      <c r="AD203" s="1953"/>
      <c r="AE203" s="19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3" t="s">
        <v>2307</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4" t="s">
        <v>2306</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7" t="s">
        <v>2305</v>
      </c>
      <c r="D207" s="1928"/>
      <c r="E207" s="1928"/>
      <c r="F207" s="1929"/>
      <c r="G207" s="1933" t="s">
        <v>2304</v>
      </c>
      <c r="H207" s="1928"/>
      <c r="I207" s="1928"/>
      <c r="J207" s="1928"/>
      <c r="K207" s="1928"/>
      <c r="L207" s="1928"/>
      <c r="M207" s="1928"/>
      <c r="N207" s="1928"/>
      <c r="O207" s="1929"/>
      <c r="P207" s="1935" t="s">
        <v>2303</v>
      </c>
      <c r="Q207" s="1936"/>
      <c r="R207" s="1936"/>
      <c r="S207" s="1936"/>
      <c r="T207" s="1937"/>
      <c r="U207" s="1941" t="s">
        <v>2302</v>
      </c>
      <c r="V207" s="1942"/>
      <c r="W207" s="1942"/>
      <c r="X207" s="1943"/>
      <c r="Y207" s="1941" t="s">
        <v>2301</v>
      </c>
      <c r="Z207" s="1942"/>
      <c r="AA207" s="1942"/>
      <c r="AB207" s="1943"/>
      <c r="AC207" s="1941" t="s">
        <v>2300</v>
      </c>
      <c r="AD207" s="1942"/>
      <c r="AE207" s="1942"/>
      <c r="AF207" s="1943"/>
      <c r="AG207" s="1933" t="s">
        <v>2299</v>
      </c>
      <c r="AH207" s="1928"/>
      <c r="AI207" s="1928"/>
      <c r="AJ207" s="1928"/>
      <c r="AK207" s="1947"/>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8" t="s">
        <v>2298</v>
      </c>
      <c r="D216" s="1909"/>
      <c r="E216" s="1909"/>
      <c r="F216" s="1909"/>
      <c r="G216" s="1909"/>
      <c r="H216" s="1909"/>
      <c r="I216" s="1909"/>
      <c r="J216" s="1909"/>
      <c r="K216" s="1909"/>
      <c r="L216" s="1909"/>
      <c r="M216" s="1909"/>
      <c r="N216" s="1909"/>
      <c r="O216" s="1909"/>
      <c r="P216" s="1910"/>
      <c r="Q216" s="1910"/>
      <c r="R216" s="1910"/>
      <c r="S216" s="1910"/>
      <c r="T216" s="1910"/>
      <c r="U216" s="1911">
        <v>0</v>
      </c>
      <c r="V216" s="1911"/>
      <c r="W216" s="1911"/>
      <c r="X216" s="1911"/>
      <c r="Y216" s="1911">
        <v>0</v>
      </c>
      <c r="Z216" s="1911"/>
      <c r="AA216" s="1911"/>
      <c r="AB216" s="1911"/>
      <c r="AC216" s="1912">
        <v>0</v>
      </c>
      <c r="AD216" s="1912"/>
      <c r="AE216" s="1912"/>
      <c r="AF216" s="1912"/>
      <c r="AG216" s="1913"/>
      <c r="AH216" s="1914"/>
      <c r="AI216" s="1914"/>
      <c r="AJ216" s="1914"/>
      <c r="AK216" s="19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2" t="s">
        <v>2296</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6"/>
    </row>
    <row r="222" spans="1:57" ht="15.75" customHeight="1">
      <c r="A222" s="1192"/>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6"/>
    </row>
    <row r="223" spans="1:57" ht="15.75" customHeight="1">
      <c r="A223" s="1192"/>
      <c r="B223" s="1898" t="s">
        <v>2295</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6"/>
    </row>
    <row r="224" spans="1:57" ht="15.75" customHeight="1">
      <c r="A224" s="1192"/>
      <c r="B224" s="1898" t="s">
        <v>2294</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1" t="s">
        <v>2293</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4" t="s">
        <v>2291</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7" t="s">
        <v>2290</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2"/>
      <c r="BB232" s="1192"/>
      <c r="BC232" s="1192"/>
      <c r="BD232" s="1196"/>
      <c r="BE232" s="1196"/>
    </row>
    <row r="233" spans="1:57" ht="15.75" customHeight="1">
      <c r="A233" s="1192"/>
      <c r="B233" s="1191"/>
      <c r="C233" s="1192"/>
      <c r="D233" s="1192"/>
      <c r="E233" s="1192"/>
      <c r="F233" s="1192"/>
      <c r="G233" s="1192"/>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2"/>
      <c r="BB233" s="1192"/>
      <c r="BC233" s="1192"/>
      <c r="BD233" s="1196"/>
      <c r="BE233" s="1196"/>
    </row>
    <row r="234" spans="1:57" ht="15.75" customHeight="1">
      <c r="A234" s="1192"/>
      <c r="B234" s="1191"/>
      <c r="C234" s="1192"/>
      <c r="D234" s="1192"/>
      <c r="E234" s="1192"/>
      <c r="F234" s="1192"/>
      <c r="G234" s="1192"/>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2"/>
      <c r="BB234" s="1192"/>
      <c r="BC234" s="1192"/>
      <c r="BD234" s="1196"/>
      <c r="BE234" s="1196"/>
    </row>
    <row r="235" spans="1:57" ht="15.75" customHeight="1">
      <c r="A235" s="1192"/>
      <c r="B235" s="1191"/>
      <c r="C235" s="1192"/>
      <c r="D235" s="1192"/>
      <c r="E235" s="1192"/>
      <c r="F235" s="1192"/>
      <c r="G235" s="1192"/>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8" t="s">
        <v>2289</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8" t="s">
        <v>2288</v>
      </c>
      <c r="I239" s="1878"/>
      <c r="J239" s="1878"/>
      <c r="K239" s="1878"/>
      <c r="L239" s="1243"/>
      <c r="M239" s="1243"/>
      <c r="N239" s="1243"/>
      <c r="O239" s="1243"/>
      <c r="P239" s="1243"/>
      <c r="Q239" s="1243"/>
      <c r="R239" s="1243"/>
      <c r="S239" s="1889"/>
      <c r="T239" s="1890"/>
      <c r="U239" s="1890"/>
      <c r="V239" s="1890"/>
      <c r="W239" s="1890"/>
      <c r="X239" s="1890"/>
      <c r="Y239" s="1890"/>
      <c r="Z239" s="1890"/>
      <c r="AA239" s="1890"/>
      <c r="AB239" s="1890"/>
      <c r="AC239" s="1890"/>
      <c r="AD239" s="1890"/>
      <c r="AE239" s="1890"/>
      <c r="AF239" s="1890"/>
      <c r="AG239" s="1890"/>
      <c r="AH239" s="1890"/>
      <c r="AI239" s="1890"/>
      <c r="AJ239" s="1891"/>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8" t="s">
        <v>2287</v>
      </c>
      <c r="I241" s="1878"/>
      <c r="J241" s="1878"/>
      <c r="K241" s="1245"/>
      <c r="L241" s="1243"/>
      <c r="M241" s="1243"/>
      <c r="N241" s="1243"/>
      <c r="O241" s="1243"/>
      <c r="P241" s="1243"/>
      <c r="Q241" s="1243"/>
      <c r="R241" s="1243"/>
      <c r="S241" s="1879"/>
      <c r="T241" s="1880"/>
      <c r="U241" s="1880"/>
      <c r="V241" s="1880"/>
      <c r="W241" s="1880"/>
      <c r="X241" s="1880"/>
      <c r="Y241" s="1880"/>
      <c r="Z241" s="1880"/>
      <c r="AA241" s="1880"/>
      <c r="AB241" s="1880"/>
      <c r="AC241" s="1880"/>
      <c r="AD241" s="1880"/>
      <c r="AE241" s="1880"/>
      <c r="AF241" s="1880"/>
      <c r="AG241" s="1880"/>
      <c r="AH241" s="1880"/>
      <c r="AI241" s="1880"/>
      <c r="AJ241" s="1881"/>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8" t="s">
        <v>441</v>
      </c>
      <c r="I243" s="1878"/>
      <c r="J243" s="1245"/>
      <c r="K243" s="1245"/>
      <c r="L243" s="1243"/>
      <c r="M243" s="1243"/>
      <c r="N243" s="1243"/>
      <c r="O243" s="1243"/>
      <c r="P243" s="1243"/>
      <c r="Q243" s="1243"/>
      <c r="R243" s="1243"/>
      <c r="S243" s="1879"/>
      <c r="T243" s="1880"/>
      <c r="U243" s="1880"/>
      <c r="V243" s="1880"/>
      <c r="W243" s="1880"/>
      <c r="X243" s="1880"/>
      <c r="Y243" s="1880"/>
      <c r="Z243" s="1880"/>
      <c r="AA243" s="1880"/>
      <c r="AB243" s="1880"/>
      <c r="AC243" s="1880"/>
      <c r="AD243" s="1880"/>
      <c r="AE243" s="1880"/>
      <c r="AF243" s="1880"/>
      <c r="AG243" s="1880"/>
      <c r="AH243" s="1880"/>
      <c r="AI243" s="1880"/>
      <c r="AJ243" s="1881"/>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2" t="s">
        <v>2286</v>
      </c>
      <c r="I245" s="1882"/>
      <c r="J245" s="1882"/>
      <c r="K245" s="1882"/>
      <c r="L245" s="1882"/>
      <c r="M245" s="1882"/>
      <c r="N245" s="1882"/>
      <c r="O245" s="1882"/>
      <c r="P245" s="1243"/>
      <c r="Q245" s="1243"/>
      <c r="R245" s="1243"/>
      <c r="S245" s="1879"/>
      <c r="T245" s="1880"/>
      <c r="U245" s="1880"/>
      <c r="V245" s="1880"/>
      <c r="W245" s="1880"/>
      <c r="X245" s="1880"/>
      <c r="Y245" s="1880"/>
      <c r="Z245" s="1880"/>
      <c r="AA245" s="1880"/>
      <c r="AB245" s="1880"/>
      <c r="AC245" s="1880"/>
      <c r="AD245" s="1880"/>
      <c r="AE245" s="1880"/>
      <c r="AF245" s="1880"/>
      <c r="AG245" s="1880"/>
      <c r="AH245" s="1880"/>
      <c r="AI245" s="1880"/>
      <c r="AJ245" s="1881"/>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3" t="s">
        <v>2285</v>
      </c>
      <c r="I247" s="1883"/>
      <c r="J247" s="1243"/>
      <c r="K247" s="1243"/>
      <c r="L247" s="1243"/>
      <c r="M247" s="1243"/>
      <c r="N247" s="1243"/>
      <c r="O247" s="1243"/>
      <c r="P247" s="1243"/>
      <c r="Q247" s="1243"/>
      <c r="R247" s="1243"/>
      <c r="S247" s="1884"/>
      <c r="T247" s="1885"/>
      <c r="U247" s="1885"/>
      <c r="V247" s="1885"/>
      <c r="W247" s="1885"/>
      <c r="X247" s="1885"/>
      <c r="Y247" s="1885"/>
      <c r="Z247" s="1885"/>
      <c r="AA247" s="1885"/>
      <c r="AB247" s="1885"/>
      <c r="AC247" s="1885"/>
      <c r="AD247" s="1885"/>
      <c r="AE247" s="1885"/>
      <c r="AF247" s="1885"/>
      <c r="AG247" s="1885"/>
      <c r="AH247" s="1885"/>
      <c r="AI247" s="1885"/>
      <c r="AJ247" s="1886"/>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120" zoomScaleNormal="120" workbookViewId="0">
      <selection activeCell="AB50" sqref="AB50:AF50"/>
    </sheetView>
  </sheetViews>
  <sheetFormatPr defaultColWidth="0" defaultRowHeight="12.95" customHeight="1"/>
  <cols>
    <col min="1" max="1" width="1.42578125" style="403" customWidth="1"/>
    <col min="2" max="2" width="0.85546875" style="403" customWidth="1"/>
    <col min="3" max="18" width="2.42578125" style="403" customWidth="1"/>
    <col min="19" max="19" width="6.28515625" style="403" customWidth="1"/>
    <col min="20" max="39" width="2.7109375" style="403" customWidth="1"/>
    <col min="40" max="40" width="1.42578125" style="403" customWidth="1"/>
    <col min="41" max="256" width="2.42578125" style="403" hidden="1"/>
    <col min="257" max="257" width="1.42578125" style="403" hidden="1" customWidth="1"/>
    <col min="258" max="258" width="0.85546875" style="403" hidden="1" customWidth="1"/>
    <col min="259" max="274" width="2.42578125" style="403" hidden="1" customWidth="1"/>
    <col min="275" max="275" width="4" style="403" hidden="1" customWidth="1"/>
    <col min="276" max="295" width="2.42578125" style="403" hidden="1" customWidth="1"/>
    <col min="296" max="296" width="1.42578125" style="403" hidden="1" customWidth="1"/>
    <col min="297" max="512" width="2.42578125" style="403" hidden="1"/>
    <col min="513" max="513" width="1.42578125" style="403" hidden="1" customWidth="1"/>
    <col min="514" max="514" width="0.85546875" style="403" hidden="1" customWidth="1"/>
    <col min="515" max="530" width="2.42578125" style="403" hidden="1" customWidth="1"/>
    <col min="531" max="531" width="4" style="403" hidden="1" customWidth="1"/>
    <col min="532" max="551" width="2.42578125" style="403" hidden="1" customWidth="1"/>
    <col min="552" max="552" width="1.42578125" style="403" hidden="1" customWidth="1"/>
    <col min="553" max="768" width="2.42578125" style="403" hidden="1"/>
    <col min="769" max="769" width="1.42578125" style="403" hidden="1" customWidth="1"/>
    <col min="770" max="770" width="0.85546875" style="403" hidden="1" customWidth="1"/>
    <col min="771" max="786" width="2.42578125" style="403" hidden="1" customWidth="1"/>
    <col min="787" max="787" width="4" style="403" hidden="1" customWidth="1"/>
    <col min="788" max="807" width="2.42578125" style="403" hidden="1" customWidth="1"/>
    <col min="808" max="808" width="1.42578125" style="403" hidden="1" customWidth="1"/>
    <col min="809" max="1024" width="2.42578125" style="403" hidden="1"/>
    <col min="1025" max="1025" width="1.42578125" style="403" hidden="1" customWidth="1"/>
    <col min="1026" max="1026" width="0.85546875" style="403" hidden="1" customWidth="1"/>
    <col min="1027" max="1042" width="2.42578125" style="403" hidden="1" customWidth="1"/>
    <col min="1043" max="1043" width="4" style="403" hidden="1" customWidth="1"/>
    <col min="1044" max="1063" width="2.42578125" style="403" hidden="1" customWidth="1"/>
    <col min="1064" max="1064" width="1.42578125" style="403" hidden="1" customWidth="1"/>
    <col min="1065" max="1280" width="2.42578125" style="403" hidden="1"/>
    <col min="1281" max="1281" width="1.42578125" style="403" hidden="1" customWidth="1"/>
    <col min="1282" max="1282" width="0.85546875" style="403" hidden="1" customWidth="1"/>
    <col min="1283" max="1298" width="2.42578125" style="403" hidden="1" customWidth="1"/>
    <col min="1299" max="1299" width="4" style="403" hidden="1" customWidth="1"/>
    <col min="1300" max="1319" width="2.42578125" style="403" hidden="1" customWidth="1"/>
    <col min="1320" max="1320" width="1.42578125" style="403" hidden="1" customWidth="1"/>
    <col min="1321" max="1536" width="2.42578125" style="403" hidden="1"/>
    <col min="1537" max="1537" width="1.42578125" style="403" hidden="1" customWidth="1"/>
    <col min="1538" max="1538" width="0.85546875" style="403" hidden="1" customWidth="1"/>
    <col min="1539" max="1554" width="2.42578125" style="403" hidden="1" customWidth="1"/>
    <col min="1555" max="1555" width="4" style="403" hidden="1" customWidth="1"/>
    <col min="1556" max="1575" width="2.42578125" style="403" hidden="1" customWidth="1"/>
    <col min="1576" max="1576" width="1.42578125" style="403" hidden="1" customWidth="1"/>
    <col min="1577" max="1792" width="2.42578125" style="403" hidden="1"/>
    <col min="1793" max="1793" width="1.42578125" style="403" hidden="1" customWidth="1"/>
    <col min="1794" max="1794" width="0.85546875" style="403" hidden="1" customWidth="1"/>
    <col min="1795" max="1810" width="2.42578125" style="403" hidden="1" customWidth="1"/>
    <col min="1811" max="1811" width="4" style="403" hidden="1" customWidth="1"/>
    <col min="1812" max="1831" width="2.42578125" style="403" hidden="1" customWidth="1"/>
    <col min="1832" max="1832" width="1.42578125" style="403" hidden="1" customWidth="1"/>
    <col min="1833" max="2048" width="2.42578125" style="403" hidden="1"/>
    <col min="2049" max="2049" width="1.42578125" style="403" hidden="1" customWidth="1"/>
    <col min="2050" max="2050" width="0.85546875" style="403" hidden="1" customWidth="1"/>
    <col min="2051" max="2066" width="2.42578125" style="403" hidden="1" customWidth="1"/>
    <col min="2067" max="2067" width="4" style="403" hidden="1" customWidth="1"/>
    <col min="2068" max="2087" width="2.42578125" style="403" hidden="1" customWidth="1"/>
    <col min="2088" max="2088" width="1.42578125" style="403" hidden="1" customWidth="1"/>
    <col min="2089" max="2304" width="2.42578125" style="403" hidden="1"/>
    <col min="2305" max="2305" width="1.42578125" style="403" hidden="1" customWidth="1"/>
    <col min="2306" max="2306" width="0.85546875" style="403" hidden="1" customWidth="1"/>
    <col min="2307" max="2322" width="2.42578125" style="403" hidden="1" customWidth="1"/>
    <col min="2323" max="2323" width="4" style="403" hidden="1" customWidth="1"/>
    <col min="2324" max="2343" width="2.42578125" style="403" hidden="1" customWidth="1"/>
    <col min="2344" max="2344" width="1.42578125" style="403" hidden="1" customWidth="1"/>
    <col min="2345" max="2560" width="2.42578125" style="403" hidden="1"/>
    <col min="2561" max="2561" width="1.42578125" style="403" hidden="1" customWidth="1"/>
    <col min="2562" max="2562" width="0.85546875" style="403" hidden="1" customWidth="1"/>
    <col min="2563" max="2578" width="2.42578125" style="403" hidden="1" customWidth="1"/>
    <col min="2579" max="2579" width="4" style="403" hidden="1" customWidth="1"/>
    <col min="2580" max="2599" width="2.42578125" style="403" hidden="1" customWidth="1"/>
    <col min="2600" max="2600" width="1.42578125" style="403" hidden="1" customWidth="1"/>
    <col min="2601" max="2816" width="2.42578125" style="403" hidden="1"/>
    <col min="2817" max="2817" width="1.42578125" style="403" hidden="1" customWidth="1"/>
    <col min="2818" max="2818" width="0.85546875" style="403" hidden="1" customWidth="1"/>
    <col min="2819" max="2834" width="2.42578125" style="403" hidden="1" customWidth="1"/>
    <col min="2835" max="2835" width="4" style="403" hidden="1" customWidth="1"/>
    <col min="2836" max="2855" width="2.42578125" style="403" hidden="1" customWidth="1"/>
    <col min="2856" max="2856" width="1.42578125" style="403" hidden="1" customWidth="1"/>
    <col min="2857" max="3072" width="2.42578125" style="403" hidden="1"/>
    <col min="3073" max="3073" width="1.42578125" style="403" hidden="1" customWidth="1"/>
    <col min="3074" max="3074" width="0.85546875" style="403" hidden="1" customWidth="1"/>
    <col min="3075" max="3090" width="2.42578125" style="403" hidden="1" customWidth="1"/>
    <col min="3091" max="3091" width="4" style="403" hidden="1" customWidth="1"/>
    <col min="3092" max="3111" width="2.42578125" style="403" hidden="1" customWidth="1"/>
    <col min="3112" max="3112" width="1.42578125" style="403" hidden="1" customWidth="1"/>
    <col min="3113" max="3328" width="2.42578125" style="403" hidden="1"/>
    <col min="3329" max="3329" width="1.42578125" style="403" hidden="1" customWidth="1"/>
    <col min="3330" max="3330" width="0.85546875" style="403" hidden="1" customWidth="1"/>
    <col min="3331" max="3346" width="2.42578125" style="403" hidden="1" customWidth="1"/>
    <col min="3347" max="3347" width="4" style="403" hidden="1" customWidth="1"/>
    <col min="3348" max="3367" width="2.42578125" style="403" hidden="1" customWidth="1"/>
    <col min="3368" max="3368" width="1.42578125" style="403" hidden="1" customWidth="1"/>
    <col min="3369" max="3584" width="2.42578125" style="403" hidden="1"/>
    <col min="3585" max="3585" width="1.42578125" style="403" hidden="1" customWidth="1"/>
    <col min="3586" max="3586" width="0.85546875" style="403" hidden="1" customWidth="1"/>
    <col min="3587" max="3602" width="2.42578125" style="403" hidden="1" customWidth="1"/>
    <col min="3603" max="3603" width="4" style="403" hidden="1" customWidth="1"/>
    <col min="3604" max="3623" width="2.42578125" style="403" hidden="1" customWidth="1"/>
    <col min="3624" max="3624" width="1.42578125" style="403" hidden="1" customWidth="1"/>
    <col min="3625" max="3840" width="2.42578125" style="403" hidden="1"/>
    <col min="3841" max="3841" width="1.42578125" style="403" hidden="1" customWidth="1"/>
    <col min="3842" max="3842" width="0.85546875" style="403" hidden="1" customWidth="1"/>
    <col min="3843" max="3858" width="2.42578125" style="403" hidden="1" customWidth="1"/>
    <col min="3859" max="3859" width="4" style="403" hidden="1" customWidth="1"/>
    <col min="3860" max="3879" width="2.42578125" style="403" hidden="1" customWidth="1"/>
    <col min="3880" max="3880" width="1.42578125" style="403" hidden="1" customWidth="1"/>
    <col min="3881" max="4096" width="2.42578125" style="403" hidden="1"/>
    <col min="4097" max="4097" width="1.42578125" style="403" hidden="1" customWidth="1"/>
    <col min="4098" max="4098" width="0.85546875" style="403" hidden="1" customWidth="1"/>
    <col min="4099" max="4114" width="2.42578125" style="403" hidden="1" customWidth="1"/>
    <col min="4115" max="4115" width="4" style="403" hidden="1" customWidth="1"/>
    <col min="4116" max="4135" width="2.42578125" style="403" hidden="1" customWidth="1"/>
    <col min="4136" max="4136" width="1.42578125" style="403" hidden="1" customWidth="1"/>
    <col min="4137" max="4352" width="2.42578125" style="403" hidden="1"/>
    <col min="4353" max="4353" width="1.42578125" style="403" hidden="1" customWidth="1"/>
    <col min="4354" max="4354" width="0.85546875" style="403" hidden="1" customWidth="1"/>
    <col min="4355" max="4370" width="2.42578125" style="403" hidden="1" customWidth="1"/>
    <col min="4371" max="4371" width="4" style="403" hidden="1" customWidth="1"/>
    <col min="4372" max="4391" width="2.42578125" style="403" hidden="1" customWidth="1"/>
    <col min="4392" max="4392" width="1.42578125" style="403" hidden="1" customWidth="1"/>
    <col min="4393" max="4608" width="2.42578125" style="403" hidden="1"/>
    <col min="4609" max="4609" width="1.42578125" style="403" hidden="1" customWidth="1"/>
    <col min="4610" max="4610" width="0.85546875" style="403" hidden="1" customWidth="1"/>
    <col min="4611" max="4626" width="2.42578125" style="403" hidden="1" customWidth="1"/>
    <col min="4627" max="4627" width="4" style="403" hidden="1" customWidth="1"/>
    <col min="4628" max="4647" width="2.42578125" style="403" hidden="1" customWidth="1"/>
    <col min="4648" max="4648" width="1.42578125" style="403" hidden="1" customWidth="1"/>
    <col min="4649" max="4864" width="2.42578125" style="403" hidden="1"/>
    <col min="4865" max="4865" width="1.42578125" style="403" hidden="1" customWidth="1"/>
    <col min="4866" max="4866" width="0.85546875" style="403" hidden="1" customWidth="1"/>
    <col min="4867" max="4882" width="2.42578125" style="403" hidden="1" customWidth="1"/>
    <col min="4883" max="4883" width="4" style="403" hidden="1" customWidth="1"/>
    <col min="4884" max="4903" width="2.42578125" style="403" hidden="1" customWidth="1"/>
    <col min="4904" max="4904" width="1.42578125" style="403" hidden="1" customWidth="1"/>
    <col min="4905" max="5120" width="2.42578125" style="403" hidden="1"/>
    <col min="5121" max="5121" width="1.42578125" style="403" hidden="1" customWidth="1"/>
    <col min="5122" max="5122" width="0.85546875" style="403" hidden="1" customWidth="1"/>
    <col min="5123" max="5138" width="2.42578125" style="403" hidden="1" customWidth="1"/>
    <col min="5139" max="5139" width="4" style="403" hidden="1" customWidth="1"/>
    <col min="5140" max="5159" width="2.42578125" style="403" hidden="1" customWidth="1"/>
    <col min="5160" max="5160" width="1.42578125" style="403" hidden="1" customWidth="1"/>
    <col min="5161" max="5376" width="2.42578125" style="403" hidden="1"/>
    <col min="5377" max="5377" width="1.42578125" style="403" hidden="1" customWidth="1"/>
    <col min="5378" max="5378" width="0.85546875" style="403" hidden="1" customWidth="1"/>
    <col min="5379" max="5394" width="2.42578125" style="403" hidden="1" customWidth="1"/>
    <col min="5395" max="5395" width="4" style="403" hidden="1" customWidth="1"/>
    <col min="5396" max="5415" width="2.42578125" style="403" hidden="1" customWidth="1"/>
    <col min="5416" max="5416" width="1.42578125" style="403" hidden="1" customWidth="1"/>
    <col min="5417" max="5632" width="2.42578125" style="403" hidden="1"/>
    <col min="5633" max="5633" width="1.42578125" style="403" hidden="1" customWidth="1"/>
    <col min="5634" max="5634" width="0.85546875" style="403" hidden="1" customWidth="1"/>
    <col min="5635" max="5650" width="2.42578125" style="403" hidden="1" customWidth="1"/>
    <col min="5651" max="5651" width="4" style="403" hidden="1" customWidth="1"/>
    <col min="5652" max="5671" width="2.42578125" style="403" hidden="1" customWidth="1"/>
    <col min="5672" max="5672" width="1.42578125" style="403" hidden="1" customWidth="1"/>
    <col min="5673" max="5888" width="2.42578125" style="403" hidden="1"/>
    <col min="5889" max="5889" width="1.42578125" style="403" hidden="1" customWidth="1"/>
    <col min="5890" max="5890" width="0.85546875" style="403" hidden="1" customWidth="1"/>
    <col min="5891" max="5906" width="2.42578125" style="403" hidden="1" customWidth="1"/>
    <col min="5907" max="5907" width="4" style="403" hidden="1" customWidth="1"/>
    <col min="5908" max="5927" width="2.42578125" style="403" hidden="1" customWidth="1"/>
    <col min="5928" max="5928" width="1.42578125" style="403" hidden="1" customWidth="1"/>
    <col min="5929" max="6144" width="2.42578125" style="403" hidden="1"/>
    <col min="6145" max="6145" width="1.42578125" style="403" hidden="1" customWidth="1"/>
    <col min="6146" max="6146" width="0.85546875" style="403" hidden="1" customWidth="1"/>
    <col min="6147" max="6162" width="2.42578125" style="403" hidden="1" customWidth="1"/>
    <col min="6163" max="6163" width="4" style="403" hidden="1" customWidth="1"/>
    <col min="6164" max="6183" width="2.42578125" style="403" hidden="1" customWidth="1"/>
    <col min="6184" max="6184" width="1.42578125" style="403" hidden="1" customWidth="1"/>
    <col min="6185" max="6400" width="2.42578125" style="403" hidden="1"/>
    <col min="6401" max="6401" width="1.42578125" style="403" hidden="1" customWidth="1"/>
    <col min="6402" max="6402" width="0.85546875" style="403" hidden="1" customWidth="1"/>
    <col min="6403" max="6418" width="2.42578125" style="403" hidden="1" customWidth="1"/>
    <col min="6419" max="6419" width="4" style="403" hidden="1" customWidth="1"/>
    <col min="6420" max="6439" width="2.42578125" style="403" hidden="1" customWidth="1"/>
    <col min="6440" max="6440" width="1.42578125" style="403" hidden="1" customWidth="1"/>
    <col min="6441" max="6656" width="2.42578125" style="403" hidden="1"/>
    <col min="6657" max="6657" width="1.42578125" style="403" hidden="1" customWidth="1"/>
    <col min="6658" max="6658" width="0.85546875" style="403" hidden="1" customWidth="1"/>
    <col min="6659" max="6674" width="2.42578125" style="403" hidden="1" customWidth="1"/>
    <col min="6675" max="6675" width="4" style="403" hidden="1" customWidth="1"/>
    <col min="6676" max="6695" width="2.42578125" style="403" hidden="1" customWidth="1"/>
    <col min="6696" max="6696" width="1.42578125" style="403" hidden="1" customWidth="1"/>
    <col min="6697" max="6912" width="2.42578125" style="403" hidden="1"/>
    <col min="6913" max="6913" width="1.42578125" style="403" hidden="1" customWidth="1"/>
    <col min="6914" max="6914" width="0.85546875" style="403" hidden="1" customWidth="1"/>
    <col min="6915" max="6930" width="2.42578125" style="403" hidden="1" customWidth="1"/>
    <col min="6931" max="6931" width="4" style="403" hidden="1" customWidth="1"/>
    <col min="6932" max="6951" width="2.42578125" style="403" hidden="1" customWidth="1"/>
    <col min="6952" max="6952" width="1.42578125" style="403" hidden="1" customWidth="1"/>
    <col min="6953" max="7168" width="2.42578125" style="403" hidden="1"/>
    <col min="7169" max="7169" width="1.42578125" style="403" hidden="1" customWidth="1"/>
    <col min="7170" max="7170" width="0.85546875" style="403" hidden="1" customWidth="1"/>
    <col min="7171" max="7186" width="2.42578125" style="403" hidden="1" customWidth="1"/>
    <col min="7187" max="7187" width="4" style="403" hidden="1" customWidth="1"/>
    <col min="7188" max="7207" width="2.42578125" style="403" hidden="1" customWidth="1"/>
    <col min="7208" max="7208" width="1.42578125" style="403" hidden="1" customWidth="1"/>
    <col min="7209" max="7424" width="2.42578125" style="403" hidden="1"/>
    <col min="7425" max="7425" width="1.42578125" style="403" hidden="1" customWidth="1"/>
    <col min="7426" max="7426" width="0.85546875" style="403" hidden="1" customWidth="1"/>
    <col min="7427" max="7442" width="2.42578125" style="403" hidden="1" customWidth="1"/>
    <col min="7443" max="7443" width="4" style="403" hidden="1" customWidth="1"/>
    <col min="7444" max="7463" width="2.42578125" style="403" hidden="1" customWidth="1"/>
    <col min="7464" max="7464" width="1.42578125" style="403" hidden="1" customWidth="1"/>
    <col min="7465" max="7680" width="2.42578125" style="403" hidden="1"/>
    <col min="7681" max="7681" width="1.42578125" style="403" hidden="1" customWidth="1"/>
    <col min="7682" max="7682" width="0.85546875" style="403" hidden="1" customWidth="1"/>
    <col min="7683" max="7698" width="2.42578125" style="403" hidden="1" customWidth="1"/>
    <col min="7699" max="7699" width="4" style="403" hidden="1" customWidth="1"/>
    <col min="7700" max="7719" width="2.42578125" style="403" hidden="1" customWidth="1"/>
    <col min="7720" max="7720" width="1.42578125" style="403" hidden="1" customWidth="1"/>
    <col min="7721" max="7936" width="2.42578125" style="403" hidden="1"/>
    <col min="7937" max="7937" width="1.42578125" style="403" hidden="1" customWidth="1"/>
    <col min="7938" max="7938" width="0.85546875" style="403" hidden="1" customWidth="1"/>
    <col min="7939" max="7954" width="2.42578125" style="403" hidden="1" customWidth="1"/>
    <col min="7955" max="7955" width="4" style="403" hidden="1" customWidth="1"/>
    <col min="7956" max="7975" width="2.42578125" style="403" hidden="1" customWidth="1"/>
    <col min="7976" max="7976" width="1.42578125" style="403" hidden="1" customWidth="1"/>
    <col min="7977" max="8192" width="2.42578125" style="403" hidden="1"/>
    <col min="8193" max="8193" width="1.42578125" style="403" hidden="1" customWidth="1"/>
    <col min="8194" max="8194" width="0.85546875" style="403" hidden="1" customWidth="1"/>
    <col min="8195" max="8210" width="2.42578125" style="403" hidden="1" customWidth="1"/>
    <col min="8211" max="8211" width="4" style="403" hidden="1" customWidth="1"/>
    <col min="8212" max="8231" width="2.42578125" style="403" hidden="1" customWidth="1"/>
    <col min="8232" max="8232" width="1.42578125" style="403" hidden="1" customWidth="1"/>
    <col min="8233" max="8448" width="2.42578125" style="403" hidden="1"/>
    <col min="8449" max="8449" width="1.42578125" style="403" hidden="1" customWidth="1"/>
    <col min="8450" max="8450" width="0.85546875" style="403" hidden="1" customWidth="1"/>
    <col min="8451" max="8466" width="2.42578125" style="403" hidden="1" customWidth="1"/>
    <col min="8467" max="8467" width="4" style="403" hidden="1" customWidth="1"/>
    <col min="8468" max="8487" width="2.42578125" style="403" hidden="1" customWidth="1"/>
    <col min="8488" max="8488" width="1.42578125" style="403" hidden="1" customWidth="1"/>
    <col min="8489" max="8704" width="2.42578125" style="403" hidden="1"/>
    <col min="8705" max="8705" width="1.42578125" style="403" hidden="1" customWidth="1"/>
    <col min="8706" max="8706" width="0.85546875" style="403" hidden="1" customWidth="1"/>
    <col min="8707" max="8722" width="2.42578125" style="403" hidden="1" customWidth="1"/>
    <col min="8723" max="8723" width="4" style="403" hidden="1" customWidth="1"/>
    <col min="8724" max="8743" width="2.42578125" style="403" hidden="1" customWidth="1"/>
    <col min="8744" max="8744" width="1.42578125" style="403" hidden="1" customWidth="1"/>
    <col min="8745" max="8960" width="2.42578125" style="403" hidden="1"/>
    <col min="8961" max="8961" width="1.42578125" style="403" hidden="1" customWidth="1"/>
    <col min="8962" max="8962" width="0.85546875" style="403" hidden="1" customWidth="1"/>
    <col min="8963" max="8978" width="2.42578125" style="403" hidden="1" customWidth="1"/>
    <col min="8979" max="8979" width="4" style="403" hidden="1" customWidth="1"/>
    <col min="8980" max="8999" width="2.42578125" style="403" hidden="1" customWidth="1"/>
    <col min="9000" max="9000" width="1.42578125" style="403" hidden="1" customWidth="1"/>
    <col min="9001" max="9216" width="2.42578125" style="403" hidden="1"/>
    <col min="9217" max="9217" width="1.42578125" style="403" hidden="1" customWidth="1"/>
    <col min="9218" max="9218" width="0.85546875" style="403" hidden="1" customWidth="1"/>
    <col min="9219" max="9234" width="2.42578125" style="403" hidden="1" customWidth="1"/>
    <col min="9235" max="9235" width="4" style="403" hidden="1" customWidth="1"/>
    <col min="9236" max="9255" width="2.42578125" style="403" hidden="1" customWidth="1"/>
    <col min="9256" max="9256" width="1.42578125" style="403" hidden="1" customWidth="1"/>
    <col min="9257" max="9472" width="2.42578125" style="403" hidden="1"/>
    <col min="9473" max="9473" width="1.42578125" style="403" hidden="1" customWidth="1"/>
    <col min="9474" max="9474" width="0.85546875" style="403" hidden="1" customWidth="1"/>
    <col min="9475" max="9490" width="2.42578125" style="403" hidden="1" customWidth="1"/>
    <col min="9491" max="9491" width="4" style="403" hidden="1" customWidth="1"/>
    <col min="9492" max="9511" width="2.42578125" style="403" hidden="1" customWidth="1"/>
    <col min="9512" max="9512" width="1.42578125" style="403" hidden="1" customWidth="1"/>
    <col min="9513" max="9728" width="2.42578125" style="403" hidden="1"/>
    <col min="9729" max="9729" width="1.42578125" style="403" hidden="1" customWidth="1"/>
    <col min="9730" max="9730" width="0.85546875" style="403" hidden="1" customWidth="1"/>
    <col min="9731" max="9746" width="2.42578125" style="403" hidden="1" customWidth="1"/>
    <col min="9747" max="9747" width="4" style="403" hidden="1" customWidth="1"/>
    <col min="9748" max="9767" width="2.42578125" style="403" hidden="1" customWidth="1"/>
    <col min="9768" max="9768" width="1.42578125" style="403" hidden="1" customWidth="1"/>
    <col min="9769" max="9984" width="2.42578125" style="403" hidden="1"/>
    <col min="9985" max="9985" width="1.42578125" style="403" hidden="1" customWidth="1"/>
    <col min="9986" max="9986" width="0.85546875" style="403" hidden="1" customWidth="1"/>
    <col min="9987" max="10002" width="2.42578125" style="403" hidden="1" customWidth="1"/>
    <col min="10003" max="10003" width="4" style="403" hidden="1" customWidth="1"/>
    <col min="10004" max="10023" width="2.42578125" style="403" hidden="1" customWidth="1"/>
    <col min="10024" max="10024" width="1.42578125" style="403" hidden="1" customWidth="1"/>
    <col min="10025" max="10240" width="2.42578125" style="403" hidden="1"/>
    <col min="10241" max="10241" width="1.42578125" style="403" hidden="1" customWidth="1"/>
    <col min="10242" max="10242" width="0.85546875" style="403" hidden="1" customWidth="1"/>
    <col min="10243" max="10258" width="2.42578125" style="403" hidden="1" customWidth="1"/>
    <col min="10259" max="10259" width="4" style="403" hidden="1" customWidth="1"/>
    <col min="10260" max="10279" width="2.42578125" style="403" hidden="1" customWidth="1"/>
    <col min="10280" max="10280" width="1.42578125" style="403" hidden="1" customWidth="1"/>
    <col min="10281" max="10496" width="2.42578125" style="403" hidden="1"/>
    <col min="10497" max="10497" width="1.42578125" style="403" hidden="1" customWidth="1"/>
    <col min="10498" max="10498" width="0.85546875" style="403" hidden="1" customWidth="1"/>
    <col min="10499" max="10514" width="2.42578125" style="403" hidden="1" customWidth="1"/>
    <col min="10515" max="10515" width="4" style="403" hidden="1" customWidth="1"/>
    <col min="10516" max="10535" width="2.42578125" style="403" hidden="1" customWidth="1"/>
    <col min="10536" max="10536" width="1.42578125" style="403" hidden="1" customWidth="1"/>
    <col min="10537" max="10752" width="2.42578125" style="403" hidden="1"/>
    <col min="10753" max="10753" width="1.42578125" style="403" hidden="1" customWidth="1"/>
    <col min="10754" max="10754" width="0.85546875" style="403" hidden="1" customWidth="1"/>
    <col min="10755" max="10770" width="2.42578125" style="403" hidden="1" customWidth="1"/>
    <col min="10771" max="10771" width="4" style="403" hidden="1" customWidth="1"/>
    <col min="10772" max="10791" width="2.42578125" style="403" hidden="1" customWidth="1"/>
    <col min="10792" max="10792" width="1.42578125" style="403" hidden="1" customWidth="1"/>
    <col min="10793" max="11008" width="2.42578125" style="403" hidden="1"/>
    <col min="11009" max="11009" width="1.42578125" style="403" hidden="1" customWidth="1"/>
    <col min="11010" max="11010" width="0.85546875" style="403" hidden="1" customWidth="1"/>
    <col min="11011" max="11026" width="2.42578125" style="403" hidden="1" customWidth="1"/>
    <col min="11027" max="11027" width="4" style="403" hidden="1" customWidth="1"/>
    <col min="11028" max="11047" width="2.42578125" style="403" hidden="1" customWidth="1"/>
    <col min="11048" max="11048" width="1.42578125" style="403" hidden="1" customWidth="1"/>
    <col min="11049" max="11264" width="2.42578125" style="403" hidden="1"/>
    <col min="11265" max="11265" width="1.42578125" style="403" hidden="1" customWidth="1"/>
    <col min="11266" max="11266" width="0.85546875" style="403" hidden="1" customWidth="1"/>
    <col min="11267" max="11282" width="2.42578125" style="403" hidden="1" customWidth="1"/>
    <col min="11283" max="11283" width="4" style="403" hidden="1" customWidth="1"/>
    <col min="11284" max="11303" width="2.42578125" style="403" hidden="1" customWidth="1"/>
    <col min="11304" max="11304" width="1.42578125" style="403" hidden="1" customWidth="1"/>
    <col min="11305" max="11520" width="2.42578125" style="403" hidden="1"/>
    <col min="11521" max="11521" width="1.42578125" style="403" hidden="1" customWidth="1"/>
    <col min="11522" max="11522" width="0.85546875" style="403" hidden="1" customWidth="1"/>
    <col min="11523" max="11538" width="2.42578125" style="403" hidden="1" customWidth="1"/>
    <col min="11539" max="11539" width="4" style="403" hidden="1" customWidth="1"/>
    <col min="11540" max="11559" width="2.42578125" style="403" hidden="1" customWidth="1"/>
    <col min="11560" max="11560" width="1.42578125" style="403" hidden="1" customWidth="1"/>
    <col min="11561" max="11776" width="2.42578125" style="403" hidden="1"/>
    <col min="11777" max="11777" width="1.42578125" style="403" hidden="1" customWidth="1"/>
    <col min="11778" max="11778" width="0.85546875" style="403" hidden="1" customWidth="1"/>
    <col min="11779" max="11794" width="2.42578125" style="403" hidden="1" customWidth="1"/>
    <col min="11795" max="11795" width="4" style="403" hidden="1" customWidth="1"/>
    <col min="11796" max="11815" width="2.42578125" style="403" hidden="1" customWidth="1"/>
    <col min="11816" max="11816" width="1.42578125" style="403" hidden="1" customWidth="1"/>
    <col min="11817" max="12032" width="2.42578125" style="403" hidden="1"/>
    <col min="12033" max="12033" width="1.42578125" style="403" hidden="1" customWidth="1"/>
    <col min="12034" max="12034" width="0.85546875" style="403" hidden="1" customWidth="1"/>
    <col min="12035" max="12050" width="2.42578125" style="403" hidden="1" customWidth="1"/>
    <col min="12051" max="12051" width="4" style="403" hidden="1" customWidth="1"/>
    <col min="12052" max="12071" width="2.42578125" style="403" hidden="1" customWidth="1"/>
    <col min="12072" max="12072" width="1.42578125" style="403" hidden="1" customWidth="1"/>
    <col min="12073" max="12288" width="2.42578125" style="403" hidden="1"/>
    <col min="12289" max="12289" width="1.42578125" style="403" hidden="1" customWidth="1"/>
    <col min="12290" max="12290" width="0.85546875" style="403" hidden="1" customWidth="1"/>
    <col min="12291" max="12306" width="2.42578125" style="403" hidden="1" customWidth="1"/>
    <col min="12307" max="12307" width="4" style="403" hidden="1" customWidth="1"/>
    <col min="12308" max="12327" width="2.42578125" style="403" hidden="1" customWidth="1"/>
    <col min="12328" max="12328" width="1.42578125" style="403" hidden="1" customWidth="1"/>
    <col min="12329" max="12544" width="2.42578125" style="403" hidden="1"/>
    <col min="12545" max="12545" width="1.42578125" style="403" hidden="1" customWidth="1"/>
    <col min="12546" max="12546" width="0.85546875" style="403" hidden="1" customWidth="1"/>
    <col min="12547" max="12562" width="2.42578125" style="403" hidden="1" customWidth="1"/>
    <col min="12563" max="12563" width="4" style="403" hidden="1" customWidth="1"/>
    <col min="12564" max="12583" width="2.42578125" style="403" hidden="1" customWidth="1"/>
    <col min="12584" max="12584" width="1.42578125" style="403" hidden="1" customWidth="1"/>
    <col min="12585" max="12800" width="2.42578125" style="403" hidden="1"/>
    <col min="12801" max="12801" width="1.42578125" style="403" hidden="1" customWidth="1"/>
    <col min="12802" max="12802" width="0.85546875" style="403" hidden="1" customWidth="1"/>
    <col min="12803" max="12818" width="2.42578125" style="403" hidden="1" customWidth="1"/>
    <col min="12819" max="12819" width="4" style="403" hidden="1" customWidth="1"/>
    <col min="12820" max="12839" width="2.42578125" style="403" hidden="1" customWidth="1"/>
    <col min="12840" max="12840" width="1.42578125" style="403" hidden="1" customWidth="1"/>
    <col min="12841" max="13056" width="2.42578125" style="403" hidden="1"/>
    <col min="13057" max="13057" width="1.42578125" style="403" hidden="1" customWidth="1"/>
    <col min="13058" max="13058" width="0.85546875" style="403" hidden="1" customWidth="1"/>
    <col min="13059" max="13074" width="2.42578125" style="403" hidden="1" customWidth="1"/>
    <col min="13075" max="13075" width="4" style="403" hidden="1" customWidth="1"/>
    <col min="13076" max="13095" width="2.42578125" style="403" hidden="1" customWidth="1"/>
    <col min="13096" max="13096" width="1.42578125" style="403" hidden="1" customWidth="1"/>
    <col min="13097" max="13312" width="2.42578125" style="403" hidden="1"/>
    <col min="13313" max="13313" width="1.42578125" style="403" hidden="1" customWidth="1"/>
    <col min="13314" max="13314" width="0.85546875" style="403" hidden="1" customWidth="1"/>
    <col min="13315" max="13330" width="2.42578125" style="403" hidden="1" customWidth="1"/>
    <col min="13331" max="13331" width="4" style="403" hidden="1" customWidth="1"/>
    <col min="13332" max="13351" width="2.42578125" style="403" hidden="1" customWidth="1"/>
    <col min="13352" max="13352" width="1.42578125" style="403" hidden="1" customWidth="1"/>
    <col min="13353" max="13568" width="2.42578125" style="403" hidden="1"/>
    <col min="13569" max="13569" width="1.42578125" style="403" hidden="1" customWidth="1"/>
    <col min="13570" max="13570" width="0.85546875" style="403" hidden="1" customWidth="1"/>
    <col min="13571" max="13586" width="2.42578125" style="403" hidden="1" customWidth="1"/>
    <col min="13587" max="13587" width="4" style="403" hidden="1" customWidth="1"/>
    <col min="13588" max="13607" width="2.42578125" style="403" hidden="1" customWidth="1"/>
    <col min="13608" max="13608" width="1.42578125" style="403" hidden="1" customWidth="1"/>
    <col min="13609" max="13824" width="2.42578125" style="403" hidden="1"/>
    <col min="13825" max="13825" width="1.42578125" style="403" hidden="1" customWidth="1"/>
    <col min="13826" max="13826" width="0.85546875" style="403" hidden="1" customWidth="1"/>
    <col min="13827" max="13842" width="2.42578125" style="403" hidden="1" customWidth="1"/>
    <col min="13843" max="13843" width="4" style="403" hidden="1" customWidth="1"/>
    <col min="13844" max="13863" width="2.42578125" style="403" hidden="1" customWidth="1"/>
    <col min="13864" max="13864" width="1.42578125" style="403" hidden="1" customWidth="1"/>
    <col min="13865" max="14080" width="2.42578125" style="403" hidden="1"/>
    <col min="14081" max="14081" width="1.42578125" style="403" hidden="1" customWidth="1"/>
    <col min="14082" max="14082" width="0.85546875" style="403" hidden="1" customWidth="1"/>
    <col min="14083" max="14098" width="2.42578125" style="403" hidden="1" customWidth="1"/>
    <col min="14099" max="14099" width="4" style="403" hidden="1" customWidth="1"/>
    <col min="14100" max="14119" width="2.42578125" style="403" hidden="1" customWidth="1"/>
    <col min="14120" max="14120" width="1.42578125" style="403" hidden="1" customWidth="1"/>
    <col min="14121" max="14336" width="2.42578125" style="403" hidden="1"/>
    <col min="14337" max="14337" width="1.42578125" style="403" hidden="1" customWidth="1"/>
    <col min="14338" max="14338" width="0.85546875" style="403" hidden="1" customWidth="1"/>
    <col min="14339" max="14354" width="2.42578125" style="403" hidden="1" customWidth="1"/>
    <col min="14355" max="14355" width="4" style="403" hidden="1" customWidth="1"/>
    <col min="14356" max="14375" width="2.42578125" style="403" hidden="1" customWidth="1"/>
    <col min="14376" max="14376" width="1.42578125" style="403" hidden="1" customWidth="1"/>
    <col min="14377" max="14592" width="2.42578125" style="403" hidden="1"/>
    <col min="14593" max="14593" width="1.42578125" style="403" hidden="1" customWidth="1"/>
    <col min="14594" max="14594" width="0.85546875" style="403" hidden="1" customWidth="1"/>
    <col min="14595" max="14610" width="2.42578125" style="403" hidden="1" customWidth="1"/>
    <col min="14611" max="14611" width="4" style="403" hidden="1" customWidth="1"/>
    <col min="14612" max="14631" width="2.42578125" style="403" hidden="1" customWidth="1"/>
    <col min="14632" max="14632" width="1.42578125" style="403" hidden="1" customWidth="1"/>
    <col min="14633" max="14848" width="2.42578125" style="403" hidden="1"/>
    <col min="14849" max="14849" width="1.42578125" style="403" hidden="1" customWidth="1"/>
    <col min="14850" max="14850" width="0.85546875" style="403" hidden="1" customWidth="1"/>
    <col min="14851" max="14866" width="2.42578125" style="403" hidden="1" customWidth="1"/>
    <col min="14867" max="14867" width="4" style="403" hidden="1" customWidth="1"/>
    <col min="14868" max="14887" width="2.42578125" style="403" hidden="1" customWidth="1"/>
    <col min="14888" max="14888" width="1.42578125" style="403" hidden="1" customWidth="1"/>
    <col min="14889" max="15104" width="2.42578125" style="403" hidden="1"/>
    <col min="15105" max="15105" width="1.42578125" style="403" hidden="1" customWidth="1"/>
    <col min="15106" max="15106" width="0.85546875" style="403" hidden="1" customWidth="1"/>
    <col min="15107" max="15122" width="2.42578125" style="403" hidden="1" customWidth="1"/>
    <col min="15123" max="15123" width="4" style="403" hidden="1" customWidth="1"/>
    <col min="15124" max="15143" width="2.42578125" style="403" hidden="1" customWidth="1"/>
    <col min="15144" max="15144" width="1.42578125" style="403" hidden="1" customWidth="1"/>
    <col min="15145" max="15360" width="2.42578125" style="403" hidden="1"/>
    <col min="15361" max="15361" width="1.42578125" style="403" hidden="1" customWidth="1"/>
    <col min="15362" max="15362" width="0.85546875" style="403" hidden="1" customWidth="1"/>
    <col min="15363" max="15378" width="2.42578125" style="403" hidden="1" customWidth="1"/>
    <col min="15379" max="15379" width="4" style="403" hidden="1" customWidth="1"/>
    <col min="15380" max="15399" width="2.42578125" style="403" hidden="1" customWidth="1"/>
    <col min="15400" max="15400" width="1.42578125" style="403" hidden="1" customWidth="1"/>
    <col min="15401" max="15616" width="2.42578125" style="403" hidden="1"/>
    <col min="15617" max="15617" width="1.42578125" style="403" hidden="1" customWidth="1"/>
    <col min="15618" max="15618" width="0.85546875" style="403" hidden="1" customWidth="1"/>
    <col min="15619" max="15634" width="2.42578125" style="403" hidden="1" customWidth="1"/>
    <col min="15635" max="15635" width="4" style="403" hidden="1" customWidth="1"/>
    <col min="15636" max="15655" width="2.42578125" style="403" hidden="1" customWidth="1"/>
    <col min="15656" max="15656" width="1.42578125" style="403" hidden="1" customWidth="1"/>
    <col min="15657" max="15872" width="2.42578125" style="403" hidden="1"/>
    <col min="15873" max="15873" width="1.42578125" style="403" hidden="1" customWidth="1"/>
    <col min="15874" max="15874" width="0.85546875" style="403" hidden="1" customWidth="1"/>
    <col min="15875" max="15890" width="2.42578125" style="403" hidden="1" customWidth="1"/>
    <col min="15891" max="15891" width="4" style="403" hidden="1" customWidth="1"/>
    <col min="15892" max="15911" width="2.42578125" style="403" hidden="1" customWidth="1"/>
    <col min="15912" max="15912" width="1.42578125" style="403" hidden="1" customWidth="1"/>
    <col min="15913" max="16128" width="2.42578125" style="403" hidden="1"/>
    <col min="16129" max="16129" width="1.42578125" style="403" hidden="1" customWidth="1"/>
    <col min="16130" max="16130" width="0.85546875" style="403" hidden="1" customWidth="1"/>
    <col min="16131" max="16146" width="2.42578125" style="403" hidden="1" customWidth="1"/>
    <col min="16147" max="16147" width="4" style="403" hidden="1" customWidth="1"/>
    <col min="16148" max="16167" width="2.42578125" style="403" hidden="1" customWidth="1"/>
    <col min="16168" max="16168" width="1.42578125" style="403" hidden="1" customWidth="1"/>
    <col min="16169" max="16384" width="2.42578125" style="403" hidden="1"/>
  </cols>
  <sheetData>
    <row r="1" spans="1:40" ht="12.95" customHeight="1">
      <c r="A1" s="2379" t="s">
        <v>1280</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8"/>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8"/>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9"/>
      <c r="C10" s="410"/>
      <c r="D10" s="410"/>
      <c r="E10" s="410"/>
      <c r="F10" s="410"/>
      <c r="G10" s="410"/>
      <c r="H10" s="410"/>
      <c r="I10" s="410"/>
      <c r="J10" s="410"/>
      <c r="K10" s="410"/>
      <c r="L10" s="410"/>
      <c r="M10" s="410"/>
      <c r="N10" s="410"/>
      <c r="O10" s="410"/>
      <c r="P10" s="410"/>
      <c r="Q10" s="410"/>
      <c r="R10" s="410"/>
      <c r="S10" s="410"/>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45" t="s">
        <v>374</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60079581</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2.95" customHeight="1">
      <c r="B12" s="2383" t="s">
        <v>497</v>
      </c>
      <c r="C12" s="1310"/>
      <c r="D12" s="1310"/>
      <c r="E12" s="1310"/>
      <c r="F12" s="1310"/>
      <c r="G12" s="1310"/>
      <c r="H12" s="1310"/>
      <c r="I12" s="1310"/>
      <c r="J12" s="1310"/>
      <c r="K12" s="1310"/>
      <c r="L12" s="1310"/>
      <c r="M12" s="1310"/>
      <c r="N12" s="1310"/>
      <c r="O12" s="1310"/>
      <c r="P12" s="1310"/>
      <c r="Q12" s="1310"/>
      <c r="R12" s="1310"/>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2.95" customHeight="1">
      <c r="B13" s="436"/>
      <c r="C13" s="2385" t="s">
        <v>498</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2.95" customHeight="1">
      <c r="B14" s="436"/>
      <c r="C14" s="2385" t="s">
        <v>499</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2.95" customHeight="1">
      <c r="B15" s="436"/>
      <c r="C15" s="2385" t="s">
        <v>500</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2.95" customHeight="1">
      <c r="B16" s="436"/>
      <c r="C16" s="2385" t="s">
        <v>805</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2.95" customHeight="1">
      <c r="B17" s="436"/>
      <c r="C17" s="2385" t="s">
        <v>501</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2.95" customHeight="1">
      <c r="A18"/>
      <c r="B18" s="1152"/>
      <c r="C18" s="1559" t="s">
        <v>960</v>
      </c>
      <c r="D18" s="1559"/>
      <c r="E18" s="1559"/>
      <c r="F18" s="1559"/>
      <c r="G18" s="1559"/>
      <c r="H18" s="1559"/>
      <c r="I18" s="1559"/>
      <c r="J18" s="1559"/>
      <c r="K18" s="1559"/>
      <c r="L18" s="1559"/>
      <c r="M18" s="1559"/>
      <c r="N18" s="1559"/>
      <c r="O18" s="1559"/>
      <c r="P18" s="1559"/>
      <c r="Q18" s="1559"/>
      <c r="R18" s="1559"/>
      <c r="S18" s="1560"/>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2.95" customHeight="1">
      <c r="B19" s="1152"/>
      <c r="C19" s="1559" t="s">
        <v>960</v>
      </c>
      <c r="D19" s="1559"/>
      <c r="E19" s="1559"/>
      <c r="F19" s="1559"/>
      <c r="G19" s="1559"/>
      <c r="H19" s="1559"/>
      <c r="I19" s="1559"/>
      <c r="J19" s="1559"/>
      <c r="K19" s="1559"/>
      <c r="L19" s="1559"/>
      <c r="M19" s="1559"/>
      <c r="N19" s="1559"/>
      <c r="O19" s="1559"/>
      <c r="P19" s="1559"/>
      <c r="Q19" s="1559"/>
      <c r="R19" s="1559"/>
      <c r="S19" s="1560"/>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2.95" customHeight="1">
      <c r="B20" s="2345" t="s">
        <v>502</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2.95" customHeight="1">
      <c r="B21" s="2345" t="s">
        <v>1263</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2.95" customHeight="1">
      <c r="B22" s="2345" t="s">
        <v>503</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45" t="s">
        <v>504</v>
      </c>
      <c r="C23" s="2346"/>
      <c r="D23" s="2346"/>
      <c r="E23" s="2346"/>
      <c r="F23" s="2346"/>
      <c r="G23" s="2346"/>
      <c r="H23" s="2346"/>
      <c r="I23" s="2346"/>
      <c r="J23" s="2346"/>
      <c r="K23" s="2346"/>
      <c r="L23" s="2346"/>
      <c r="M23" s="2346"/>
      <c r="N23" s="2346"/>
      <c r="O23" s="2346"/>
      <c r="P23" s="2346"/>
      <c r="Q23" s="2346"/>
      <c r="R23" s="2346"/>
      <c r="S23" s="2347"/>
      <c r="T23" s="2358">
        <f>T11+T22</f>
        <v>60079581</v>
      </c>
      <c r="U23" s="2339"/>
      <c r="V23" s="2339"/>
      <c r="W23" s="2339"/>
      <c r="X23" s="2339"/>
      <c r="Y23" s="2358">
        <f>Y11+Y22</f>
        <v>0</v>
      </c>
      <c r="Z23" s="2339"/>
      <c r="AA23" s="2339"/>
      <c r="AB23" s="2339"/>
      <c r="AC23" s="2339"/>
      <c r="AD23" s="2358">
        <f>AD11+AD22</f>
        <v>0</v>
      </c>
      <c r="AE23" s="2339"/>
      <c r="AF23" s="2339"/>
      <c r="AG23" s="2339"/>
      <c r="AH23" s="2339"/>
      <c r="AI23" s="2358">
        <f>AI11+AI22</f>
        <v>0</v>
      </c>
      <c r="AJ23" s="2339"/>
      <c r="AK23" s="2339"/>
      <c r="AL23" s="2339"/>
      <c r="AM23" s="2339"/>
    </row>
    <row r="24" spans="1:40" ht="12.95" customHeight="1">
      <c r="B24" s="2345" t="s">
        <v>961</v>
      </c>
      <c r="C24" s="2346"/>
      <c r="D24" s="2346"/>
      <c r="E24" s="2346"/>
      <c r="F24" s="2346"/>
      <c r="G24" s="2346"/>
      <c r="H24" s="2346"/>
      <c r="I24" s="2346"/>
      <c r="J24" s="2346"/>
      <c r="K24" s="2346"/>
      <c r="L24" s="2346"/>
      <c r="M24" s="2346"/>
      <c r="N24" s="2346"/>
      <c r="O24" s="2346"/>
      <c r="P24" s="2346"/>
      <c r="Q24" s="2346"/>
      <c r="R24" s="2346"/>
      <c r="S24" s="2347"/>
      <c r="T24" s="2349">
        <f>Application!AJ1053</f>
        <v>131843890.8</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2.95" customHeight="1">
      <c r="B25" s="2389" t="s">
        <v>1264</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5" t="s">
        <v>505</v>
      </c>
      <c r="C26" s="2346"/>
      <c r="D26" s="2346"/>
      <c r="E26" s="2346"/>
      <c r="F26" s="2346"/>
      <c r="G26" s="2346"/>
      <c r="H26" s="2346"/>
      <c r="I26" s="2346"/>
      <c r="J26" s="2346"/>
      <c r="K26" s="2346"/>
      <c r="L26" s="2346"/>
      <c r="M26" s="2346"/>
      <c r="N26" s="2346"/>
      <c r="O26" s="2346"/>
      <c r="P26" s="2346"/>
      <c r="Q26" s="2346"/>
      <c r="R26" s="2346"/>
      <c r="S26" s="2347"/>
      <c r="T26" s="2358">
        <f>T23*T25</f>
        <v>78103455.299999997</v>
      </c>
      <c r="U26" s="2339"/>
      <c r="V26" s="2339"/>
      <c r="W26" s="2339"/>
      <c r="X26" s="2339"/>
      <c r="Y26" s="2358">
        <f>Y23*Y25</f>
        <v>0</v>
      </c>
      <c r="Z26" s="2339"/>
      <c r="AA26" s="2339"/>
      <c r="AB26" s="2339"/>
      <c r="AC26" s="2339"/>
      <c r="AD26" s="2358">
        <f>AD23*AD25</f>
        <v>0</v>
      </c>
      <c r="AE26" s="2339"/>
      <c r="AF26" s="2339"/>
      <c r="AG26" s="2339"/>
      <c r="AH26" s="2339"/>
      <c r="AI26" s="2358">
        <f>AI23*AI25</f>
        <v>0</v>
      </c>
      <c r="AJ26" s="2339"/>
      <c r="AK26" s="2339"/>
      <c r="AL26" s="2339"/>
      <c r="AM26" s="2339"/>
    </row>
    <row r="27" spans="1:40" ht="12.95" customHeight="1">
      <c r="A27" s="411"/>
      <c r="B27" s="2392" t="s">
        <v>425</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2.95" customHeight="1">
      <c r="A28" s="405"/>
      <c r="B28" s="2345" t="s">
        <v>506</v>
      </c>
      <c r="C28" s="2346"/>
      <c r="D28" s="2346"/>
      <c r="E28" s="2346"/>
      <c r="F28" s="2346"/>
      <c r="G28" s="2346"/>
      <c r="H28" s="2346"/>
      <c r="I28" s="2346"/>
      <c r="J28" s="2346"/>
      <c r="K28" s="2346"/>
      <c r="L28" s="2346"/>
      <c r="M28" s="2346"/>
      <c r="N28" s="2346"/>
      <c r="O28" s="2346"/>
      <c r="P28" s="2346"/>
      <c r="Q28" s="2346"/>
      <c r="R28" s="2346"/>
      <c r="S28" s="2347"/>
      <c r="T28" s="2358">
        <f>IF(ISERROR((T26*T27)),0,(T26*T27))</f>
        <v>78103455.299999997</v>
      </c>
      <c r="U28" s="2339"/>
      <c r="V28" s="2339"/>
      <c r="W28" s="2339"/>
      <c r="X28" s="2339"/>
      <c r="Y28" s="2358">
        <f>IF(ISERROR((Y26*Y27)),0,(Y26*Y27))</f>
        <v>0</v>
      </c>
      <c r="Z28" s="2339"/>
      <c r="AA28" s="2339"/>
      <c r="AB28" s="2339"/>
      <c r="AC28" s="2339"/>
      <c r="AD28" s="2358">
        <f>IF(ISERROR((AD26*AD27)),0,(AD26*AD27))</f>
        <v>0</v>
      </c>
      <c r="AE28" s="2339"/>
      <c r="AF28" s="2339"/>
      <c r="AG28" s="2339"/>
      <c r="AH28" s="2339"/>
      <c r="AI28" s="2358">
        <f>IF(ISERROR((AI26*AI27)),0,(AI26*AI27))</f>
        <v>0</v>
      </c>
      <c r="AJ28" s="2339"/>
      <c r="AK28" s="2339"/>
      <c r="AL28" s="2339"/>
      <c r="AM28" s="2339"/>
    </row>
    <row r="29" spans="1:40" ht="12.95" customHeight="1">
      <c r="B29" s="2345" t="s">
        <v>523</v>
      </c>
      <c r="C29" s="2346"/>
      <c r="D29" s="2346"/>
      <c r="E29" s="2346"/>
      <c r="F29" s="2346"/>
      <c r="G29" s="2346"/>
      <c r="H29" s="2346"/>
      <c r="I29" s="2346"/>
      <c r="J29" s="2346"/>
      <c r="K29" s="2346"/>
      <c r="L29" s="2346"/>
      <c r="M29" s="2346"/>
      <c r="N29" s="2346"/>
      <c r="O29" s="2346"/>
      <c r="P29" s="2346"/>
      <c r="Q29" s="2346"/>
      <c r="R29" s="2346"/>
      <c r="S29" s="2347"/>
      <c r="T29" s="2349">
        <f>T28+Y28+AD28+AI28</f>
        <v>78103455.299999997</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2.95" customHeight="1">
      <c r="B30" s="2362" t="s">
        <v>1266</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2.95" customHeight="1">
      <c r="B31" s="2362" t="s">
        <v>1265</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9" t="s">
        <v>1154</v>
      </c>
      <c r="Z35" s="2359"/>
      <c r="AA35" s="2359"/>
      <c r="AB35" s="2359"/>
      <c r="AC35" s="2359"/>
      <c r="AD35" s="2360" t="s">
        <v>368</v>
      </c>
      <c r="AE35" s="2360"/>
      <c r="AF35" s="2360"/>
      <c r="AG35" s="2360"/>
      <c r="AH35" s="2360"/>
    </row>
    <row r="36" spans="1:76" ht="12.95" customHeight="1">
      <c r="B36" s="408"/>
      <c r="X36" s="413"/>
      <c r="Y36" s="2359"/>
      <c r="Z36" s="2359"/>
      <c r="AA36" s="2359"/>
      <c r="AB36" s="2359"/>
      <c r="AC36" s="2359"/>
      <c r="AD36" s="2360"/>
      <c r="AE36" s="2360"/>
      <c r="AF36" s="2360"/>
      <c r="AG36" s="2360"/>
      <c r="AH36" s="2360"/>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9"/>
      <c r="Z37" s="2359"/>
      <c r="AA37" s="2359"/>
      <c r="AB37" s="2359"/>
      <c r="AC37" s="2359"/>
      <c r="AD37" s="2360"/>
      <c r="AE37" s="2360"/>
      <c r="AF37" s="2360"/>
      <c r="AG37" s="2360"/>
      <c r="AH37" s="2360"/>
    </row>
    <row r="38" spans="1:76" ht="12.95" customHeight="1">
      <c r="A38" s="405"/>
      <c r="B38" s="2345" t="s">
        <v>506</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78103455.299999997</v>
      </c>
      <c r="Z38" s="2339"/>
      <c r="AA38" s="2339"/>
      <c r="AB38" s="2339"/>
      <c r="AC38" s="2339"/>
      <c r="AD38" s="2339">
        <f>IF(T24&gt;=(T23+Y23+AD23+AI23),AD28+AI28,0)</f>
        <v>0</v>
      </c>
      <c r="AE38" s="2339"/>
      <c r="AF38" s="2339"/>
      <c r="AG38" s="2339"/>
      <c r="AH38" s="2339"/>
    </row>
    <row r="39" spans="1:76" ht="12.95" customHeight="1">
      <c r="B39" s="2345" t="s">
        <v>1691</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2.95" customHeight="1">
      <c r="A40" s="405"/>
      <c r="B40" s="2345" t="s">
        <v>642</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3124138</v>
      </c>
      <c r="Z40" s="2339"/>
      <c r="AA40" s="2339"/>
      <c r="AB40" s="2339"/>
      <c r="AC40" s="2339"/>
      <c r="AD40" s="2358">
        <f>ROUND(AD38*AD39,0)</f>
        <v>0</v>
      </c>
      <c r="AE40" s="2339"/>
      <c r="AF40" s="2339"/>
      <c r="AG40" s="2339"/>
      <c r="AH40" s="2339"/>
    </row>
    <row r="41" spans="1:76" ht="12.95" customHeight="1">
      <c r="B41" s="2345" t="s">
        <v>643</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3124138</v>
      </c>
      <c r="Z41" s="2357"/>
      <c r="AA41" s="2357"/>
      <c r="AB41" s="2357"/>
      <c r="AC41" s="2357"/>
      <c r="AD41" s="2357"/>
      <c r="AE41" s="2357"/>
      <c r="AF41" s="2357"/>
      <c r="AG41" s="2357"/>
      <c r="AH41" s="2358"/>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56" t="s">
        <v>1276</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5" customFormat="1" ht="12.95" customHeight="1" thickTop="1"/>
    <row r="46" spans="1:76" ht="12.95" customHeight="1">
      <c r="A46" s="405" t="s">
        <v>586</v>
      </c>
      <c r="C46" s="405" t="s">
        <v>281</v>
      </c>
    </row>
    <row r="47" spans="1:76" ht="12.95" customHeight="1">
      <c r="D47" s="405" t="s">
        <v>282</v>
      </c>
      <c r="AB47" s="2353">
        <f>'Sources and Uses Budget'!B105-MAX(IF('Sources and Uses Budget'!B15="",0,'Sources and Uses Budget'!B15),IF(Application!AG394="",0,Application!AG394))</f>
        <v>65448259</v>
      </c>
      <c r="AC47" s="2354"/>
      <c r="AD47" s="2354"/>
      <c r="AE47" s="2354"/>
      <c r="AF47" s="2355"/>
    </row>
    <row r="48" spans="1:76" ht="12.95" customHeight="1">
      <c r="D48" s="405" t="s">
        <v>21</v>
      </c>
      <c r="AB48" s="2353">
        <f>Application!AO639-MAX(IF('Sources and Uses Budget'!B15="",0,'Sources and Uses Budget'!B15),IF(Application!AG394="",0,Application!AG394))</f>
        <v>36910061</v>
      </c>
      <c r="AC48" s="2354"/>
      <c r="AD48" s="2354"/>
      <c r="AE48" s="2354"/>
      <c r="AF48" s="2355"/>
    </row>
    <row r="49" spans="1:76" ht="12.95" customHeight="1">
      <c r="D49" s="405" t="s">
        <v>91</v>
      </c>
      <c r="AB49" s="2353">
        <f>AB47-AB48</f>
        <v>28538198</v>
      </c>
      <c r="AC49" s="2354"/>
      <c r="AD49" s="2354"/>
      <c r="AE49" s="2354"/>
      <c r="AF49" s="2355"/>
    </row>
    <row r="50" spans="1:76" ht="12.95" customHeight="1">
      <c r="D50" s="405" t="s">
        <v>681</v>
      </c>
      <c r="AA50" s="416"/>
      <c r="AB50" s="2341">
        <f>AB49/10/Y41</f>
        <v>0.91347430875332647</v>
      </c>
      <c r="AC50" s="2342"/>
      <c r="AD50" s="2342"/>
      <c r="AE50" s="2342"/>
      <c r="AF50" s="2343"/>
    </row>
    <row r="51" spans="1:76" s="418" customFormat="1" ht="12.95" customHeight="1">
      <c r="A51" s="403"/>
      <c r="B51" s="403"/>
      <c r="C51" s="403"/>
      <c r="D51" s="403"/>
      <c r="E51" s="2352" t="s">
        <v>1850</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353">
        <f>ROUND(IF(ISERROR((AB49/AB50)),0,(AB49/AB50)),0)</f>
        <v>31241380</v>
      </c>
      <c r="AC54" s="2354"/>
      <c r="AD54" s="2354"/>
      <c r="AE54" s="2354"/>
      <c r="AF54" s="2355"/>
    </row>
    <row r="55" spans="1:76" ht="12.95" customHeight="1">
      <c r="D55" s="405" t="s">
        <v>332</v>
      </c>
      <c r="AB55" s="2353">
        <f>(AB54/10)</f>
        <v>3124138</v>
      </c>
      <c r="AC55" s="2354"/>
      <c r="AD55" s="2354"/>
      <c r="AE55" s="2354"/>
      <c r="AF55" s="2355"/>
    </row>
    <row r="56" spans="1:76" ht="12.95" customHeight="1">
      <c r="D56" s="405" t="s">
        <v>756</v>
      </c>
      <c r="AB56" s="2353">
        <f>ROUND((IF((Y41&lt;AB55),Y41,AB55)),0)</f>
        <v>3124138</v>
      </c>
      <c r="AC56" s="2354"/>
      <c r="AD56" s="2354"/>
      <c r="AE56" s="2354"/>
      <c r="AF56" s="2355"/>
    </row>
    <row r="57" spans="1:76" ht="12.95" customHeight="1">
      <c r="D57" s="405" t="s">
        <v>755</v>
      </c>
      <c r="AB57" s="2353">
        <f>ROUND((10*AB56*AB50),0)</f>
        <v>28538198</v>
      </c>
      <c r="AC57" s="2354"/>
      <c r="AD57" s="2354"/>
      <c r="AE57" s="2354"/>
      <c r="AF57" s="2355"/>
    </row>
    <row r="58" spans="1:76" ht="12.95" customHeight="1">
      <c r="D58" s="405"/>
      <c r="AB58" s="424"/>
      <c r="AC58" s="424"/>
      <c r="AD58" s="424"/>
      <c r="AE58" s="424"/>
      <c r="AF58" s="424"/>
    </row>
    <row r="59" spans="1:76" ht="12.95" customHeight="1">
      <c r="D59" s="405" t="s">
        <v>754</v>
      </c>
      <c r="AB59" s="2337">
        <f>AB49-AB57</f>
        <v>0</v>
      </c>
      <c r="AC59" s="2337"/>
      <c r="AD59" s="2337"/>
      <c r="AE59" s="2337"/>
      <c r="AF59" s="2337"/>
    </row>
    <row r="60" spans="1:76" ht="12.95" customHeight="1">
      <c r="D60" s="405"/>
      <c r="AB60" s="424"/>
      <c r="AC60" s="424"/>
      <c r="AD60" s="424"/>
      <c r="AE60" s="424"/>
      <c r="AF60" s="424"/>
    </row>
    <row r="61" spans="1:76" s="205" customFormat="1" ht="12.95"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5" customFormat="1" ht="12.95" customHeight="1" thickTop="1"/>
    <row r="63" spans="1:76" ht="12.95" customHeight="1">
      <c r="A63" s="405" t="s">
        <v>589</v>
      </c>
      <c r="C63" s="206" t="s">
        <v>1248</v>
      </c>
      <c r="Y63" s="2348" t="s">
        <v>984</v>
      </c>
      <c r="Z63" s="2348"/>
      <c r="AA63" s="2348"/>
      <c r="AB63" s="2348"/>
      <c r="AC63" s="2348"/>
      <c r="AD63" s="2348" t="s">
        <v>368</v>
      </c>
      <c r="AE63" s="2348"/>
      <c r="AF63" s="2348"/>
      <c r="AG63" s="2348"/>
      <c r="AH63" s="2348"/>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49">
        <f>IF(Application!$Z$205="(select)",0,((T23*T27)+Y28))</f>
        <v>0</v>
      </c>
      <c r="Z64" s="2350"/>
      <c r="AA64" s="2350"/>
      <c r="AB64" s="2350"/>
      <c r="AC64" s="2351"/>
      <c r="AD64" s="2349">
        <f>IF(AND(OR(Application!D211="At-Risk",Application!D211="At-Risk and Special Needs"),Application!M358="yes"),AD28+AI28,0)</f>
        <v>0</v>
      </c>
      <c r="AE64" s="2350"/>
      <c r="AF64" s="2350"/>
      <c r="AG64" s="2350"/>
      <c r="AH64" s="2351"/>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38" cm="1">
        <f t="array" ref="Y67">_xlfn.IFS(OR(Application!Z205="State Farmworker Credit",Application!Z205="$500M (Farmworker Housing)"),0.75,Application!Z205="15% set-aside",0.13,Application!Z205="15% set-aside with qualifying low value rehab",0.95,Application!Z205="$500M",0.3,TRUE,0)</f>
        <v>0</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2.95" customHeight="1">
      <c r="C68" s="405"/>
      <c r="D68" s="206" t="s">
        <v>2228</v>
      </c>
      <c r="Y68" s="2339">
        <f>ROUND(Y64*Y67,0)</f>
        <v>0</v>
      </c>
      <c r="Z68" s="2340"/>
      <c r="AA68" s="2340"/>
      <c r="AB68" s="2340"/>
      <c r="AC68" s="2340"/>
      <c r="AD68" s="2339">
        <f>ROUND(AD64*AD67,0)</f>
        <v>0</v>
      </c>
      <c r="AE68" s="2340"/>
      <c r="AF68" s="2340"/>
      <c r="AG68" s="2340"/>
      <c r="AH68" s="2340"/>
    </row>
    <row r="69" spans="1:36" ht="12.95" customHeight="1">
      <c r="C69" s="405"/>
      <c r="D69" s="206" t="s">
        <v>2229</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2.95" customHeight="1">
      <c r="C70" s="405"/>
      <c r="E70" s="405"/>
      <c r="AB70" s="423"/>
      <c r="AC70" s="423"/>
      <c r="AD70" s="423"/>
      <c r="AE70" s="423"/>
      <c r="AF70" s="423"/>
    </row>
    <row r="71" spans="1:36" ht="12.95" customHeight="1">
      <c r="A71" s="405" t="s">
        <v>590</v>
      </c>
      <c r="C71" s="206" t="s">
        <v>283</v>
      </c>
    </row>
    <row r="72" spans="1:36" ht="12.95" customHeight="1">
      <c r="A72" s="405"/>
      <c r="C72" s="405"/>
      <c r="D72" s="206" t="s">
        <v>1250</v>
      </c>
      <c r="AB72" s="2341"/>
      <c r="AC72" s="2342"/>
      <c r="AD72" s="2342"/>
      <c r="AE72" s="2342"/>
      <c r="AF72" s="2343"/>
    </row>
    <row r="73" spans="1:36" ht="12.95" customHeight="1">
      <c r="A73" s="405"/>
      <c r="C73" s="405"/>
      <c r="D73" s="405"/>
      <c r="E73" s="2344" t="s">
        <v>1251</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9"/>
      <c r="AC73" s="439"/>
    </row>
    <row r="74" spans="1:36" ht="12.95" customHeight="1">
      <c r="A74" s="405"/>
      <c r="C74" s="405"/>
      <c r="D74" s="405"/>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9"/>
      <c r="AC74" s="439"/>
    </row>
    <row r="75" spans="1:36" ht="12.95" customHeight="1">
      <c r="A75" s="405"/>
      <c r="C75" s="405"/>
      <c r="D75" s="405"/>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332">
        <f>ROUND(IF(ISERROR((AB59/AB72)),0,(AB59/AB72)),0)</f>
        <v>0</v>
      </c>
      <c r="AC77" s="2332"/>
      <c r="AD77" s="2332"/>
      <c r="AE77" s="2332"/>
      <c r="AF77" s="2332"/>
    </row>
    <row r="78" spans="1:36" ht="12.95" customHeight="1">
      <c r="C78" s="405"/>
      <c r="D78" s="206" t="s">
        <v>1253</v>
      </c>
      <c r="AB78" s="2333">
        <f>ROUNDUP(MIN(Y69,AB77),0)</f>
        <v>0</v>
      </c>
      <c r="AC78" s="2334"/>
      <c r="AD78" s="2334"/>
      <c r="AE78" s="2334"/>
      <c r="AF78" s="2335"/>
    </row>
    <row r="79" spans="1:36" ht="12.95" customHeight="1">
      <c r="C79" s="405"/>
      <c r="D79" s="206" t="s">
        <v>1254</v>
      </c>
      <c r="AB79" s="2336">
        <f>AB78*AB72</f>
        <v>0</v>
      </c>
      <c r="AC79" s="2336"/>
      <c r="AD79" s="2336"/>
      <c r="AE79" s="2336"/>
      <c r="AF79" s="2336"/>
    </row>
    <row r="80" spans="1:36" ht="12.95" customHeight="1">
      <c r="C80" s="405"/>
      <c r="D80" s="405"/>
      <c r="AB80" s="426"/>
      <c r="AC80" s="426"/>
      <c r="AD80" s="426"/>
      <c r="AE80" s="426"/>
      <c r="AF80" s="426"/>
    </row>
    <row r="81" spans="1:78" ht="12.95" customHeight="1">
      <c r="D81" s="405" t="s">
        <v>754</v>
      </c>
      <c r="AB81" s="2337">
        <f>AB49-(AB57+AB79)</f>
        <v>0</v>
      </c>
      <c r="AC81" s="2337"/>
      <c r="AD81" s="2337"/>
      <c r="AE81" s="2337"/>
      <c r="AF81" s="2337"/>
    </row>
    <row r="82" spans="1:78" ht="12.95" customHeight="1">
      <c r="F82" s="523"/>
      <c r="J82" s="523" t="str">
        <f>IF(AB81&gt;0,"FUNDING GAP MUST NOT EXCEED ZERO","")</f>
        <v/>
      </c>
    </row>
    <row r="83" spans="1:78" ht="12.95" customHeight="1">
      <c r="D83" s="524"/>
    </row>
    <row r="84" spans="1:78" ht="12.95"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2.95" customHeight="1" thickTop="1"/>
    <row r="86" spans="1:78" ht="12.95" customHeight="1">
      <c r="A86" s="405"/>
      <c r="C86" s="206"/>
    </row>
    <row r="87" spans="1:78" ht="12.95" customHeight="1">
      <c r="D87" s="206"/>
      <c r="AB87" s="2388"/>
      <c r="AC87" s="2388"/>
      <c r="AD87" s="2388"/>
      <c r="AE87" s="2388"/>
      <c r="AF87" s="2388"/>
    </row>
    <row r="88" spans="1:78" ht="12.95" customHeight="1" thickBot="1">
      <c r="D88" s="206"/>
      <c r="AB88" s="2387"/>
      <c r="AC88" s="2387"/>
      <c r="AD88" s="2387"/>
      <c r="AE88" s="2387"/>
      <c r="AF88" s="2387"/>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110" zoomScaleNormal="110"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5" customWidth="1"/>
    <col min="41" max="41" width="5.42578125" style="30" hidden="1"/>
    <col min="42" max="45" width="5.42578125" style="14" hidden="1"/>
    <col min="46" max="46" width="10.85546875" style="14" hidden="1"/>
    <col min="47" max="48" width="5.42578125" style="14" hidden="1"/>
    <col min="49" max="49" width="8.7109375" style="14" hidden="1"/>
    <col min="50" max="50" width="7.42578125" style="14" hidden="1"/>
    <col min="51" max="55" width="5.42578125" style="14" hidden="1"/>
    <col min="56" max="60" width="5.42578125" style="32" hidden="1"/>
    <col min="61" max="81" width="5.42578125" style="14" hidden="1"/>
    <col min="82" max="16384" width="9.140625" style="14" hidden="1"/>
  </cols>
  <sheetData>
    <row r="1" spans="1:42" ht="15.75" customHeight="1">
      <c r="A1" s="2430" t="s">
        <v>1300</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7"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1" t="s">
        <v>1305</v>
      </c>
      <c r="AF7" s="2411"/>
      <c r="AG7" s="2411"/>
      <c r="AH7" s="2411"/>
      <c r="AI7" s="2411"/>
      <c r="AJ7" s="2411"/>
      <c r="AK7" s="2411"/>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01" t="s">
        <v>591</v>
      </c>
      <c r="C13" s="2401"/>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2"/>
      <c r="AH13" s="2432"/>
      <c r="AI13" s="2432"/>
      <c r="AJ13" s="243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01" t="s">
        <v>591</v>
      </c>
      <c r="C16" s="2401"/>
      <c r="D16" s="548"/>
      <c r="E16" s="2412" t="s">
        <v>1307</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1"/>
      <c r="AL16" s="541"/>
      <c r="AM16" s="541"/>
      <c r="AN16" s="536"/>
      <c r="AO16" s="551">
        <f>IF($B25="yes",20,0)</f>
        <v>0</v>
      </c>
      <c r="AP16" s="14"/>
    </row>
    <row r="17" spans="1:42" s="537" customFormat="1" ht="12.75" customHeight="1">
      <c r="A17" s="541"/>
      <c r="B17" s="541"/>
      <c r="C17" s="541"/>
      <c r="D17" s="552"/>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1"/>
      <c r="AL17" s="541"/>
      <c r="AM17" s="541"/>
      <c r="AN17" s="536"/>
      <c r="AO17" s="551">
        <f>IF($B28="yes",20,0)</f>
        <v>0</v>
      </c>
    </row>
    <row r="18" spans="1:42" s="537" customFormat="1" ht="12.75" customHeight="1">
      <c r="A18" s="541"/>
      <c r="B18" s="541"/>
      <c r="C18" s="541"/>
      <c r="D18" s="552"/>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01" t="s">
        <v>591</v>
      </c>
      <c r="C22" s="2401"/>
      <c r="D22" s="548"/>
      <c r="E22" s="2437" t="s">
        <v>1310</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1"/>
      <c r="AL22" s="541"/>
      <c r="AM22" s="541"/>
      <c r="AN22" s="536"/>
      <c r="AO22" s="551">
        <f>IF($B40="yes",14,0)</f>
        <v>0</v>
      </c>
    </row>
    <row r="23" spans="1:42" s="537" customFormat="1" ht="12.75" customHeight="1">
      <c r="A23" s="541"/>
      <c r="B23" s="541"/>
      <c r="C23" s="541"/>
      <c r="D23" s="551"/>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01" t="s">
        <v>591</v>
      </c>
      <c r="C25" s="2401"/>
      <c r="D25" s="548"/>
      <c r="E25" s="2402" t="s">
        <v>2035</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1"/>
      <c r="AL25" s="541"/>
      <c r="AM25" s="541"/>
      <c r="AN25" s="536"/>
      <c r="AO25" s="551">
        <f>IF($B45="yes",6,0)</f>
        <v>0</v>
      </c>
    </row>
    <row r="26" spans="1:42" s="537" customFormat="1" ht="12.75" customHeight="1">
      <c r="A26" s="541"/>
      <c r="B26" s="541"/>
      <c r="C26" s="541"/>
      <c r="D26" s="551"/>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01" t="s">
        <v>591</v>
      </c>
      <c r="C28" s="2401"/>
      <c r="D28" s="548"/>
      <c r="E28" s="2425" t="s">
        <v>2252</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401" t="s">
        <v>591</v>
      </c>
      <c r="C33" s="2401"/>
      <c r="D33" s="548"/>
      <c r="E33" s="2437" t="s">
        <v>2254</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1"/>
      <c r="AL33" s="541"/>
      <c r="AM33" s="541"/>
      <c r="AN33" s="536"/>
      <c r="AO33" s="551"/>
    </row>
    <row r="34" spans="1:41" s="537" customFormat="1" ht="12.75" customHeight="1">
      <c r="A34" s="541"/>
      <c r="B34" s="541"/>
      <c r="C34" s="541"/>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01" t="s">
        <v>591</v>
      </c>
      <c r="C36" s="2401"/>
      <c r="D36" s="548"/>
      <c r="E36" s="2402" t="s">
        <v>2255</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1"/>
      <c r="AL36" s="541"/>
      <c r="AM36" s="541"/>
      <c r="AN36" s="536"/>
    </row>
    <row r="37" spans="1:41" s="537" customFormat="1" ht="12.75" customHeight="1">
      <c r="A37" s="541"/>
      <c r="B37" s="541"/>
      <c r="C37" s="541"/>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1"/>
      <c r="AL37" s="541"/>
      <c r="AM37" s="541"/>
      <c r="AN37" s="536"/>
    </row>
    <row r="38" spans="1:41" s="537" customFormat="1" ht="12.75" customHeight="1">
      <c r="A38" s="541"/>
      <c r="B38" s="541"/>
      <c r="C38" s="541"/>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01" t="s">
        <v>591</v>
      </c>
      <c r="C40" s="2401"/>
      <c r="D40" s="548"/>
      <c r="E40" s="2402" t="s">
        <v>2253</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1"/>
      <c r="AL40" s="541"/>
      <c r="AM40" s="541"/>
      <c r="AN40" s="536"/>
    </row>
    <row r="41" spans="1:41" s="537" customFormat="1" ht="12.75" customHeight="1">
      <c r="A41" s="541"/>
      <c r="B41" s="541"/>
      <c r="C41" s="541"/>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01" t="s">
        <v>591</v>
      </c>
      <c r="C45" s="2401"/>
      <c r="D45" s="1144"/>
      <c r="E45" s="2402" t="s">
        <v>2010</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4"/>
      <c r="AL45" s="541"/>
      <c r="AM45" s="541"/>
      <c r="AN45" s="536"/>
    </row>
    <row r="46" spans="1:41" s="537" customFormat="1" ht="12.75" customHeight="1">
      <c r="A46" s="541"/>
      <c r="B46" s="541"/>
      <c r="C46" s="541"/>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1"/>
      <c r="AL46" s="541"/>
      <c r="AM46" s="541"/>
      <c r="AN46" s="536"/>
    </row>
    <row r="47" spans="1:41" s="537" customFormat="1" ht="12.75" customHeight="1">
      <c r="A47" s="541"/>
      <c r="D47" s="548"/>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01" t="s">
        <v>591</v>
      </c>
      <c r="C52" s="2401"/>
      <c r="D52" s="541"/>
      <c r="E52" s="2402" t="s">
        <v>2015</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1"/>
      <c r="AL52" s="541"/>
      <c r="AM52" s="541"/>
      <c r="AN52" s="536"/>
      <c r="AO52" s="560"/>
    </row>
    <row r="53" spans="1:50" s="537" customFormat="1" ht="12.75" customHeight="1">
      <c r="A53" s="541"/>
      <c r="D53" s="548"/>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1"/>
      <c r="AL53" s="541"/>
      <c r="AM53" s="541"/>
      <c r="AN53" s="536"/>
      <c r="AO53" s="560"/>
    </row>
    <row r="54" spans="1:50" s="537" customFormat="1" ht="12.75" customHeight="1">
      <c r="A54" s="541"/>
      <c r="D54" s="541"/>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01" t="s">
        <v>591</v>
      </c>
      <c r="C56" s="2401"/>
      <c r="D56" s="541"/>
      <c r="E56" s="2422" t="s">
        <v>2016</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01" t="s">
        <v>591</v>
      </c>
      <c r="C58" s="2401"/>
      <c r="D58" s="541"/>
      <c r="E58" s="2402" t="s">
        <v>2017</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1"/>
      <c r="AL58" s="541"/>
      <c r="AM58" s="541"/>
      <c r="AN58" s="536"/>
    </row>
    <row r="59" spans="1:50" s="537" customFormat="1" ht="12.75" customHeight="1">
      <c r="A59" s="541"/>
      <c r="B59" s="548"/>
      <c r="C59" s="548"/>
      <c r="D59" s="548"/>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34">
        <f>AO39</f>
        <v>0</v>
      </c>
      <c r="AL62" s="2435"/>
      <c r="AM62" s="2436"/>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1" t="s">
        <v>1314</v>
      </c>
      <c r="AF65" s="2411"/>
      <c r="AG65" s="2411"/>
      <c r="AH65" s="2411"/>
      <c r="AI65" s="2411"/>
      <c r="AJ65" s="2411"/>
      <c r="AK65" s="2411"/>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01" t="s">
        <v>545</v>
      </c>
      <c r="C68" s="2401"/>
      <c r="D68" s="548" t="s">
        <v>1315</v>
      </c>
      <c r="E68" s="2412" t="s">
        <v>2018</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4"/>
      <c r="AL68" s="541"/>
      <c r="AM68" s="541"/>
      <c r="AN68" s="536"/>
      <c r="AO68" s="551">
        <f>IF($B68="yes",10,0)</f>
        <v>10</v>
      </c>
    </row>
    <row r="69" spans="1:42" s="537" customFormat="1" ht="12.75" customHeight="1">
      <c r="A69" s="539"/>
      <c r="B69" s="541"/>
      <c r="C69" s="541"/>
      <c r="D69" s="552"/>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4"/>
      <c r="AL69" s="541"/>
      <c r="AM69" s="541"/>
      <c r="AN69" s="536"/>
      <c r="AO69" s="551">
        <f>IF($B74="yes",10,0)</f>
        <v>0</v>
      </c>
    </row>
    <row r="70" spans="1:42" s="537" customFormat="1" ht="12.75" customHeight="1">
      <c r="A70" s="539"/>
      <c r="B70" s="541"/>
      <c r="C70" s="541"/>
      <c r="D70" s="552"/>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4"/>
      <c r="AL70" s="541"/>
      <c r="AM70" s="541"/>
      <c r="AN70" s="536"/>
      <c r="AO70" s="551">
        <f>IF($B81="yes",10,0)</f>
        <v>0</v>
      </c>
    </row>
    <row r="71" spans="1:42" s="537" customFormat="1" ht="12.75" customHeight="1">
      <c r="A71" s="539"/>
      <c r="B71" s="541"/>
      <c r="C71" s="541"/>
      <c r="D71" s="552"/>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4"/>
      <c r="AL71" s="541"/>
      <c r="AM71" s="541"/>
      <c r="AN71" s="536"/>
      <c r="AO71" s="537">
        <f>IF(SUM(AO68:AO70)&gt;10,10,(SUM(AO68:AO70)))</f>
        <v>10</v>
      </c>
      <c r="AP71" s="575" t="s">
        <v>1316</v>
      </c>
    </row>
    <row r="72" spans="1:42" s="537" customFormat="1" ht="12.75" customHeight="1">
      <c r="A72" s="539"/>
      <c r="B72" s="541"/>
      <c r="C72" s="541"/>
      <c r="D72" s="552"/>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01" t="s">
        <v>591</v>
      </c>
      <c r="C74" s="2401"/>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21" t="s">
        <v>591</v>
      </c>
      <c r="F75" s="2401"/>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9" t="s">
        <v>591</v>
      </c>
      <c r="F76" s="2400"/>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9" t="s">
        <v>591</v>
      </c>
      <c r="F77" s="2400"/>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21" t="s">
        <v>591</v>
      </c>
      <c r="F79" s="2401"/>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01" t="s">
        <v>591</v>
      </c>
      <c r="C81" s="2401"/>
      <c r="D81" s="548" t="s">
        <v>1320</v>
      </c>
      <c r="E81" s="2402" t="s">
        <v>1740</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4"/>
      <c r="AL81" s="541"/>
      <c r="AM81" s="541"/>
      <c r="AN81" s="536"/>
    </row>
    <row r="82" spans="1:43" s="537" customFormat="1" ht="12.75" customHeight="1">
      <c r="A82" s="539"/>
      <c r="B82" s="541"/>
      <c r="C82" s="541"/>
      <c r="D82" s="551"/>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34">
        <f>IF(AK62&gt;0,0,AO71)</f>
        <v>10</v>
      </c>
      <c r="AL84" s="2435"/>
      <c r="AM84" s="2436"/>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1" t="s">
        <v>1305</v>
      </c>
      <c r="AF87" s="2411"/>
      <c r="AG87" s="2411"/>
      <c r="AH87" s="2411"/>
      <c r="AI87" s="2411"/>
      <c r="AJ87" s="2411"/>
      <c r="AK87" s="2411"/>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01" t="s">
        <v>545</v>
      </c>
      <c r="C90" s="2401"/>
      <c r="D90" s="548" t="s">
        <v>1315</v>
      </c>
      <c r="E90" s="2412" t="s">
        <v>1325</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4"/>
      <c r="AL90" s="541"/>
      <c r="AM90" s="541"/>
      <c r="AN90" s="536"/>
    </row>
    <row r="91" spans="1:43" s="537" customFormat="1" ht="12.75" customHeight="1">
      <c r="A91" s="539"/>
      <c r="B91" s="540"/>
      <c r="C91" s="540"/>
      <c r="D91" s="540"/>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5">
        <f>Application!AC753</f>
        <v>0.40153846153846151</v>
      </c>
      <c r="F93" s="2396"/>
      <c r="G93" s="2396"/>
      <c r="H93" s="2396"/>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7">
        <f>0.6-ROUNDUP(E93,2)</f>
        <v>0.18999999999999995</v>
      </c>
      <c r="F94" s="2398"/>
      <c r="G94" s="2398"/>
      <c r="H94" s="2398"/>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8">
        <f>IF(E94*200&gt;20,20,E94*200)</f>
        <v>20</v>
      </c>
      <c r="F95" s="2429"/>
      <c r="G95" s="2429"/>
      <c r="H95" s="2429"/>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01" t="s">
        <v>591</v>
      </c>
      <c r="C98" s="2401"/>
      <c r="D98" s="548" t="s">
        <v>1317</v>
      </c>
      <c r="E98" s="2412" t="s">
        <v>1725</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4"/>
      <c r="AL98" s="541"/>
      <c r="AM98" s="541"/>
      <c r="AN98" s="536"/>
    </row>
    <row r="99" spans="1:47" s="537" customFormat="1" ht="12.75" customHeight="1">
      <c r="A99" s="539"/>
      <c r="B99" s="540"/>
      <c r="C99" s="540"/>
      <c r="D99" s="540"/>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4"/>
      <c r="AL99" s="541"/>
      <c r="AM99" s="541"/>
      <c r="AN99" s="536"/>
    </row>
    <row r="100" spans="1:47" s="537" customFormat="1" ht="12.75" customHeight="1">
      <c r="A100" s="539"/>
      <c r="B100" s="540"/>
      <c r="C100" s="540"/>
      <c r="D100" s="540"/>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4"/>
      <c r="AL100" s="541"/>
      <c r="AM100" s="541"/>
      <c r="AN100" s="536"/>
    </row>
    <row r="101" spans="1:47" s="537" customFormat="1" ht="12.75" customHeight="1">
      <c r="A101" s="539"/>
      <c r="B101" s="540"/>
      <c r="C101" s="540"/>
      <c r="D101" s="540"/>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5">
        <f>Application!AC753</f>
        <v>0.40153846153846151</v>
      </c>
      <c r="F103" s="2396"/>
      <c r="G103" s="2396"/>
      <c r="H103" s="2396"/>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5">
        <f ca="1">SUMIF(Application!AC718:AG752,0.2,Application!G718:J752)/Application!G753+SUMIF(Application!AC718:AG752,0.25,Application!G718:J752)/Application!G753+SUMIF(Application!AC718:AG752,0.3,Application!G718:J752)/Application!G753</f>
        <v>0.49230769230769234</v>
      </c>
      <c r="F104" s="2396"/>
      <c r="G104" s="2396"/>
      <c r="H104" s="2396"/>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5">
        <f ca="1">SUMIF(Application!AC718:AG752,0.35,Application!G718:J752)/Application!G753+SUMIF(Application!AC718:AG752,0.4,Application!G718:J752)/Application!G753+SUMIF(Application!AC718:AG752,0.45,Application!G718:J752)/Application!G753+SUMIF(Application!AC718:AG752,0.5,Application!G718:J752)/Application!G753</f>
        <v>0.50769230769230766</v>
      </c>
      <c r="F105" s="2396"/>
      <c r="G105" s="2396"/>
      <c r="H105" s="2396"/>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3">
        <f ca="1">IF(AND(E103&lt;=0.6,OR(AND(E104&gt;=0.1,E105&gt;=0.1),AND(E104&gt;0.1,(E104+E105)&gt;=0.2))),20,0)</f>
        <v>20</v>
      </c>
      <c r="F106" s="2454"/>
      <c r="G106" s="2454"/>
      <c r="H106" s="2454"/>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34">
        <f>MAX(AP95,AP106)</f>
        <v>20</v>
      </c>
      <c r="AL109" s="2435"/>
      <c r="AM109" s="2436"/>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1" t="s">
        <v>1314</v>
      </c>
      <c r="AF112" s="2411"/>
      <c r="AG112" s="2411"/>
      <c r="AH112" s="2411"/>
      <c r="AI112" s="2411"/>
      <c r="AJ112" s="2411"/>
      <c r="AK112" s="2411"/>
      <c r="AL112" s="541"/>
      <c r="AM112" s="541"/>
      <c r="AN112" s="536"/>
      <c r="AO112" s="537" t="str">
        <f>Application!B718</f>
        <v>SRO/Studio</v>
      </c>
      <c r="AQ112" s="537">
        <f>Application!O718</f>
        <v>918</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918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1563</v>
      </c>
    </row>
    <row r="115" spans="1:52" s="537" customFormat="1" ht="12.75" customHeight="1">
      <c r="A115" s="541"/>
      <c r="B115" s="2401" t="s">
        <v>545</v>
      </c>
      <c r="C115" s="2401"/>
      <c r="D115" s="548" t="s">
        <v>1315</v>
      </c>
      <c r="E115" s="2412" t="s">
        <v>1858</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1"/>
      <c r="AL115" s="541"/>
      <c r="AM115" s="541"/>
      <c r="AN115" s="536"/>
      <c r="AO115" s="537" t="str">
        <f>Application!B721</f>
        <v>1 Bedroom</v>
      </c>
      <c r="AQ115" s="537">
        <f>Application!O721</f>
        <v>978</v>
      </c>
      <c r="AU115" s="537" t="s">
        <v>1840</v>
      </c>
      <c r="AV115" s="596" t="s">
        <v>1841</v>
      </c>
      <c r="AW115" s="537" t="s">
        <v>1842</v>
      </c>
    </row>
    <row r="116" spans="1:52" s="537" customFormat="1" ht="12.75" customHeight="1">
      <c r="A116" s="541"/>
      <c r="B116" s="540"/>
      <c r="C116" s="540"/>
      <c r="D116" s="540"/>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1"/>
      <c r="AL116" s="541"/>
      <c r="AM116" s="541"/>
      <c r="AN116" s="536"/>
      <c r="AO116" s="537" t="str">
        <f>Application!B722</f>
        <v>1 Bedroom</v>
      </c>
      <c r="AQ116" s="537">
        <f>Application!O722</f>
        <v>1669</v>
      </c>
      <c r="AU116" s="857" t="str">
        <f>E124</f>
        <v>Studio/SRO</v>
      </c>
      <c r="AV116" s="537">
        <f t="array" ref="AV116">SUM(IF(Application!B718:F752="SRO/Studio",Application!G718:J752))</f>
        <v>15</v>
      </c>
      <c r="AW116" s="1012">
        <f>AV116/AV122</f>
        <v>0.23076923076923078</v>
      </c>
    </row>
    <row r="117" spans="1:52" s="537" customFormat="1" ht="12.75" customHeight="1">
      <c r="A117" s="541"/>
      <c r="B117" s="540"/>
      <c r="C117" s="540"/>
      <c r="D117" s="540"/>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1"/>
      <c r="AL117" s="541"/>
      <c r="AM117" s="541"/>
      <c r="AN117" s="536"/>
      <c r="AO117" s="537" t="str">
        <f>Application!B723</f>
        <v>1 Bedroom</v>
      </c>
      <c r="AQ117" s="537">
        <f>Application!O723</f>
        <v>1669</v>
      </c>
      <c r="AU117" s="857" t="str">
        <f>J124</f>
        <v>1-bedroom</v>
      </c>
      <c r="AV117" s="537">
        <f t="array" ref="AV117">SUM(IF(Application!B718:F752="1 Bedroom",Application!G718:J752))</f>
        <v>16</v>
      </c>
      <c r="AW117" s="1012">
        <f>AV117/AV122</f>
        <v>0.24615384615384617</v>
      </c>
    </row>
    <row r="118" spans="1:52" s="537" customFormat="1" ht="12.75" customHeight="1">
      <c r="A118" s="541"/>
      <c r="B118" s="540"/>
      <c r="C118" s="540"/>
      <c r="D118" s="540"/>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1"/>
      <c r="AL118" s="541"/>
      <c r="AM118" s="541"/>
      <c r="AN118" s="536"/>
      <c r="AO118" s="537" t="str">
        <f>Application!B724</f>
        <v>2 Bedrooms</v>
      </c>
      <c r="AQ118" s="537">
        <f>Application!O724</f>
        <v>1164</v>
      </c>
      <c r="AU118" s="857" t="str">
        <f>O124</f>
        <v>2-bedroom</v>
      </c>
      <c r="AV118" s="537">
        <f t="array" ref="AV118">SUM(IF(Application!B718:F752="2 Bedrooms",Application!G718:J752))</f>
        <v>17</v>
      </c>
      <c r="AW118" s="1012">
        <f>AV118/AV122</f>
        <v>0.26153846153846155</v>
      </c>
    </row>
    <row r="119" spans="1:52" s="537" customFormat="1" ht="12.75" customHeight="1">
      <c r="A119" s="541"/>
      <c r="B119" s="540"/>
      <c r="C119" s="540"/>
      <c r="D119" s="540"/>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1"/>
      <c r="AL119" s="541"/>
      <c r="AM119" s="541"/>
      <c r="AN119" s="536"/>
      <c r="AO119" s="537" t="str">
        <f>Application!B725</f>
        <v>2 Bedrooms</v>
      </c>
      <c r="AQ119" s="537">
        <f>Application!O725</f>
        <v>1164</v>
      </c>
      <c r="AU119" s="857" t="str">
        <f>T124</f>
        <v>3-bedroom</v>
      </c>
      <c r="AV119" s="537">
        <f t="array" ref="AV119">SUM(IF(Application!B718:F752="3 Bedrooms",Application!G718:J752))</f>
        <v>17</v>
      </c>
      <c r="AW119" s="1012">
        <f>AV119/AV122</f>
        <v>0.26153846153846155</v>
      </c>
    </row>
    <row r="120" spans="1:52" s="537" customFormat="1" ht="12.75" customHeight="1">
      <c r="A120" s="541"/>
      <c r="B120" s="540"/>
      <c r="C120" s="540"/>
      <c r="D120" s="540"/>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1"/>
      <c r="AL120" s="541"/>
      <c r="AM120" s="541"/>
      <c r="AN120" s="536"/>
      <c r="AO120" s="537" t="str">
        <f>Application!B726</f>
        <v>2 Bedrooms</v>
      </c>
      <c r="AQ120" s="537">
        <f>Application!O726</f>
        <v>1993</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1"/>
      <c r="AL121" s="541"/>
      <c r="AM121" s="541"/>
      <c r="AN121" s="536"/>
      <c r="AO121" s="537" t="str">
        <f>Application!B727</f>
        <v>3 Bedrooms</v>
      </c>
      <c r="AQ121" s="537">
        <f>Application!O727</f>
        <v>1335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1"/>
      <c r="AL122" s="541"/>
      <c r="AM122" s="541"/>
      <c r="AN122" s="536"/>
      <c r="AO122" s="537" t="str">
        <f>Application!B728</f>
        <v>3 Bedrooms</v>
      </c>
      <c r="AQ122" s="537">
        <f>Application!O728</f>
        <v>2293</v>
      </c>
      <c r="AV122" s="537">
        <f>SUM(AV116:AV121)</f>
        <v>65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5" t="s">
        <v>1588</v>
      </c>
      <c r="F124" s="2396"/>
      <c r="G124" s="2396"/>
      <c r="H124" s="2396"/>
      <c r="I124" s="578"/>
      <c r="J124" s="2396" t="s">
        <v>1631</v>
      </c>
      <c r="K124" s="2396"/>
      <c r="L124" s="2396"/>
      <c r="M124" s="2396"/>
      <c r="N124" s="578"/>
      <c r="O124" s="2396" t="s">
        <v>1632</v>
      </c>
      <c r="P124" s="2396"/>
      <c r="Q124" s="2396"/>
      <c r="R124" s="2396"/>
      <c r="S124" s="578"/>
      <c r="T124" s="2396" t="s">
        <v>1334</v>
      </c>
      <c r="U124" s="2396"/>
      <c r="V124" s="2396"/>
      <c r="W124" s="2396"/>
      <c r="X124" s="578"/>
      <c r="Y124" s="2396" t="s">
        <v>1633</v>
      </c>
      <c r="Z124" s="2396"/>
      <c r="AA124" s="2396"/>
      <c r="AB124" s="2396"/>
      <c r="AC124" s="578"/>
      <c r="AD124" s="2396" t="s">
        <v>1634</v>
      </c>
      <c r="AE124" s="2396"/>
      <c r="AF124" s="2396"/>
      <c r="AG124" s="2396"/>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5">
        <v>2256</v>
      </c>
      <c r="F127" s="2456"/>
      <c r="G127" s="2456"/>
      <c r="H127" s="2456"/>
      <c r="I127" s="865"/>
      <c r="J127" s="2456">
        <v>2185</v>
      </c>
      <c r="K127" s="2456"/>
      <c r="L127" s="2456"/>
      <c r="M127" s="2456"/>
      <c r="N127" s="865"/>
      <c r="O127" s="2456">
        <v>3067</v>
      </c>
      <c r="P127" s="2456"/>
      <c r="Q127" s="2456"/>
      <c r="R127" s="2456"/>
      <c r="S127" s="865"/>
      <c r="T127" s="2456">
        <v>4550</v>
      </c>
      <c r="U127" s="2456"/>
      <c r="V127" s="2456"/>
      <c r="W127" s="2456"/>
      <c r="X127" s="865"/>
      <c r="Y127" s="2456"/>
      <c r="Z127" s="2456"/>
      <c r="AA127" s="2456"/>
      <c r="AB127" s="2456"/>
      <c r="AC127" s="865"/>
      <c r="AD127" s="2456"/>
      <c r="AE127" s="2456"/>
      <c r="AF127" s="2456"/>
      <c r="AG127" s="2456"/>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8">
        <f>Application!DX670</f>
        <v>1090</v>
      </c>
      <c r="F130" s="2449"/>
      <c r="G130" s="2449"/>
      <c r="H130" s="2449"/>
      <c r="I130" s="865"/>
      <c r="J130" s="2449">
        <f>Application!EC670</f>
        <v>1625.8125</v>
      </c>
      <c r="K130" s="2449"/>
      <c r="L130" s="2449"/>
      <c r="M130" s="2449"/>
      <c r="N130" s="865"/>
      <c r="O130" s="2449">
        <f>Application!EH670</f>
        <v>1407.8235294117649</v>
      </c>
      <c r="P130" s="2449"/>
      <c r="Q130" s="2449"/>
      <c r="R130" s="2449"/>
      <c r="S130" s="869"/>
      <c r="T130" s="2449">
        <f>Application!EM670</f>
        <v>1842.1764705882354</v>
      </c>
      <c r="U130" s="2449"/>
      <c r="V130" s="2449"/>
      <c r="W130" s="2449"/>
      <c r="X130" s="869"/>
      <c r="Y130" s="2449">
        <f>Application!ER670</f>
        <v>0</v>
      </c>
      <c r="Z130" s="2449"/>
      <c r="AA130" s="2449"/>
      <c r="AB130" s="2449"/>
      <c r="AC130" s="869"/>
      <c r="AD130" s="2449">
        <f>Application!EW670</f>
        <v>0</v>
      </c>
      <c r="AE130" s="2449"/>
      <c r="AF130" s="2449"/>
      <c r="AG130" s="2449"/>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7">
        <f>(E127-E130)/E127</f>
        <v>0.51684397163120566</v>
      </c>
      <c r="F133" s="2398"/>
      <c r="G133" s="2398"/>
      <c r="H133" s="2648"/>
      <c r="I133" s="578"/>
      <c r="J133" s="2647">
        <f>(J127-J130)/J127</f>
        <v>0.25592105263157894</v>
      </c>
      <c r="K133" s="2398"/>
      <c r="L133" s="2398"/>
      <c r="M133" s="2648"/>
      <c r="N133" s="578"/>
      <c r="O133" s="2647">
        <f>(O127-O130)/O127</f>
        <v>0.54097700377836166</v>
      </c>
      <c r="P133" s="2398"/>
      <c r="Q133" s="2398"/>
      <c r="R133" s="2648"/>
      <c r="S133" s="578"/>
      <c r="T133" s="2647">
        <f>(T127-T130)/T127</f>
        <v>0.59512605042016808</v>
      </c>
      <c r="U133" s="2398"/>
      <c r="V133" s="2398"/>
      <c r="W133" s="2648"/>
      <c r="X133" s="578"/>
      <c r="Y133" s="2647" t="e">
        <f>(Y127-Y130)/Y127</f>
        <v>#DIV/0!</v>
      </c>
      <c r="Z133" s="2398"/>
      <c r="AA133" s="2398"/>
      <c r="AB133" s="2648"/>
      <c r="AC133" s="578"/>
      <c r="AD133" s="2647" t="e">
        <f>(AD127-AD130)/AD127</f>
        <v>#DIV/0!</v>
      </c>
      <c r="AE133" s="2398"/>
      <c r="AF133" s="2398"/>
      <c r="AG133" s="264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50">
        <f>IF(((E133-0.1)*AW116)&gt;0,((E133-0.1)*AW116),0)</f>
        <v>9.6194762684124399E-2</v>
      </c>
      <c r="F136" s="2451"/>
      <c r="G136" s="2451"/>
      <c r="H136" s="2452"/>
      <c r="I136" s="578"/>
      <c r="J136" s="2450">
        <f>IF(((J133-0.1)*AW117)&gt;0,((J133-0.1)*AW117),0)</f>
        <v>3.8380566801619428E-2</v>
      </c>
      <c r="K136" s="2451"/>
      <c r="L136" s="2451"/>
      <c r="M136" s="2452"/>
      <c r="N136" s="578"/>
      <c r="O136" s="2450">
        <f>IF(((O133-0.1)*AW118)&gt;0,((O133-0.1)*AW118),0)</f>
        <v>0.11533244714203306</v>
      </c>
      <c r="P136" s="2451"/>
      <c r="Q136" s="2451"/>
      <c r="R136" s="2452"/>
      <c r="S136" s="578"/>
      <c r="T136" s="2450">
        <f>IF(((T133-0.1)*AW119)&gt;0,((T133-0.1)*AW119),0)</f>
        <v>0.1294945054945055</v>
      </c>
      <c r="U136" s="2451"/>
      <c r="V136" s="2451"/>
      <c r="W136" s="2452"/>
      <c r="X136" s="578"/>
      <c r="Y136" s="2450" t="e">
        <f>IF(((Y133-0.1)*AW120)&gt;0,((Y133-0.1)*AW120),0)</f>
        <v>#DIV/0!</v>
      </c>
      <c r="Z136" s="2451"/>
      <c r="AA136" s="2451"/>
      <c r="AB136" s="2452"/>
      <c r="AC136" s="578"/>
      <c r="AD136" s="2450" t="e">
        <f>IF(((AD133-0.1)*AW121)&gt;0,((AD133-0.1)*AW121),0)</f>
        <v>#DIV/0!</v>
      </c>
      <c r="AE136" s="2451"/>
      <c r="AF136" s="2451"/>
      <c r="AG136" s="2452"/>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7">
        <f>ROUNDDOWN(SUMIF(E136:AG136,"&gt;0"),2)</f>
        <v>0.37</v>
      </c>
      <c r="F138" s="2398"/>
      <c r="G138" s="2398"/>
      <c r="H138" s="2648"/>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4">
        <f>IF((E138*100)&gt;10,10,E138*100)</f>
        <v>10</v>
      </c>
      <c r="F139" s="2435"/>
      <c r="G139" s="2435"/>
      <c r="H139" s="2436"/>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34">
        <f>E139</f>
        <v>10</v>
      </c>
      <c r="AL143" s="2435"/>
      <c r="AM143" s="2436"/>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11" t="s">
        <v>1314</v>
      </c>
      <c r="AF146" s="2411"/>
      <c r="AG146" s="2411"/>
      <c r="AH146" s="2411"/>
      <c r="AI146" s="2411"/>
      <c r="AJ146" s="2411"/>
      <c r="AK146" s="2411"/>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6" t="s">
        <v>1338</v>
      </c>
      <c r="AG148" s="2446"/>
      <c r="AH148" s="2446"/>
      <c r="AI148" s="2446"/>
      <c r="AJ148" s="2446"/>
      <c r="AK148" s="2446"/>
      <c r="AL148" s="2446"/>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7" t="s">
        <v>2623</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73" t="s">
        <v>1341</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74" t="s">
        <v>545</v>
      </c>
      <c r="AC155" s="2474"/>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73" t="s">
        <v>1346</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4" t="s">
        <v>2479</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82"/>
      <c r="AM161" s="540"/>
      <c r="AN161" s="536"/>
      <c r="AO161" s="477"/>
      <c r="AP161" s="490"/>
    </row>
    <row r="162" spans="1:42" s="537"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82"/>
      <c r="AM162" s="540"/>
      <c r="AN162" s="536"/>
      <c r="AO162" s="477"/>
      <c r="AP162" s="490"/>
    </row>
    <row r="163" spans="1:42" s="537" customFormat="1" ht="12.75" customHeight="1">
      <c r="C163" s="2537" t="s">
        <v>2480</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82"/>
      <c r="AM163" s="540"/>
      <c r="AN163" s="536"/>
      <c r="AO163" s="477"/>
      <c r="AP163" s="490"/>
    </row>
    <row r="164" spans="1:42" s="537" customFormat="1" ht="12.75" customHeight="1">
      <c r="B164" s="1182"/>
      <c r="C164" s="2472" t="s">
        <v>2478</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72"/>
      <c r="AB164" s="1172"/>
      <c r="AC164" s="1172"/>
      <c r="AD164" s="1172"/>
      <c r="AE164" s="1172"/>
      <c r="AF164" s="1172"/>
      <c r="AG164" s="1172"/>
      <c r="AH164" s="1172"/>
      <c r="AJ164" s="2474" t="s">
        <v>591</v>
      </c>
      <c r="AK164" s="2474"/>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7">
        <f>IF($AB$155="N/A",VLOOKUP($B$153,$AO$151:$AP$154,2,FALSE),VLOOKUP($B$158,$AO$156:$AP$158,2,FALSE))</f>
        <v>7</v>
      </c>
      <c r="AK166" s="2477"/>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6" t="s">
        <v>1352</v>
      </c>
      <c r="AG168" s="2446"/>
      <c r="AH168" s="2446"/>
      <c r="AI168" s="2446"/>
      <c r="AJ168" s="2446"/>
      <c r="AK168" s="2446"/>
      <c r="AL168" s="2446"/>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3" t="s">
        <v>1350</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4" t="s">
        <v>545</v>
      </c>
      <c r="AG172" s="2474"/>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73" t="s">
        <v>1356</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75" t="str">
        <f>Application!AA335</f>
        <v>Eden Housing Management, Inc.</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6">
        <f>IF($AF$172="N/A",VLOOKUP($C$170,$AO$170:$AP$173,2,FALSE),VLOOKUP($C$174,$AO$177:$AP$179,2,FALSE))</f>
        <v>3</v>
      </c>
      <c r="AK180" s="2476"/>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34">
        <f>$AJ$166+$AJ$180</f>
        <v>10</v>
      </c>
      <c r="AL183" s="2435"/>
      <c r="AM183" s="2436"/>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1" t="s">
        <v>1314</v>
      </c>
      <c r="AF186" s="2411"/>
      <c r="AG186" s="2411"/>
      <c r="AH186" s="2411"/>
      <c r="AI186" s="2411"/>
      <c r="AJ186" s="2411"/>
      <c r="AK186" s="2411"/>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71" t="s">
        <v>1043</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7"/>
      <c r="AE188" s="537"/>
      <c r="AF188" s="2446" t="s">
        <v>1363</v>
      </c>
      <c r="AG188" s="2446"/>
      <c r="AH188" s="2446"/>
      <c r="AI188" s="2446"/>
      <c r="AJ188" s="2446"/>
      <c r="AK188" s="2446"/>
      <c r="AL188" s="2446"/>
      <c r="AN188" s="598"/>
      <c r="AP188" s="551" t="s">
        <v>1043</v>
      </c>
      <c r="AQ188" s="551">
        <v>10</v>
      </c>
    </row>
    <row r="189" spans="1:73" s="551" customFormat="1" ht="12.75" customHeight="1">
      <c r="A189" s="537"/>
      <c r="B189" s="2472" t="s">
        <v>1726</v>
      </c>
      <c r="C189" s="2472"/>
      <c r="D189" s="2472"/>
      <c r="E189" s="2472"/>
      <c r="F189" s="2472"/>
      <c r="G189" s="2472"/>
      <c r="H189" s="2472"/>
      <c r="I189" s="2472"/>
      <c r="J189" s="2472"/>
      <c r="K189" s="2472"/>
      <c r="L189" s="2472"/>
      <c r="M189" s="2472"/>
      <c r="N189" s="2472"/>
      <c r="O189" s="2472"/>
      <c r="P189" s="2472"/>
      <c r="Q189" s="2472"/>
      <c r="R189" s="2472"/>
      <c r="S189" s="2472"/>
      <c r="T189" s="2447" t="s">
        <v>591</v>
      </c>
      <c r="U189" s="2447"/>
      <c r="V189" s="2447"/>
      <c r="W189" s="2447"/>
      <c r="X189" s="2447"/>
      <c r="Y189" s="2447"/>
      <c r="Z189" s="2447"/>
      <c r="AA189" s="2447"/>
      <c r="AB189" s="2447"/>
      <c r="AC189" s="2447"/>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81">
        <f>IF(AK84&gt;0,VLOOKUP($B$188,AP185:AQ191,2,FALSE),0)</f>
        <v>10</v>
      </c>
      <c r="AL191" s="2482"/>
      <c r="AM191" s="2483"/>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1" t="s">
        <v>1372</v>
      </c>
      <c r="AF194" s="2411"/>
      <c r="AG194" s="2411"/>
      <c r="AH194" s="2411"/>
      <c r="AI194" s="2411"/>
      <c r="AJ194" s="2411"/>
      <c r="AK194" s="2411"/>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8" t="s">
        <v>2686</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7"/>
      <c r="AD199" s="2459">
        <v>22250000</v>
      </c>
      <c r="AE199" s="2459"/>
      <c r="AF199" s="2459"/>
      <c r="AG199" s="2459"/>
      <c r="AH199" s="2459"/>
      <c r="AI199" s="2459"/>
      <c r="AJ199" s="2459"/>
      <c r="AK199" s="611"/>
    </row>
    <row r="200" spans="1:40">
      <c r="A200" s="606"/>
      <c r="B200" s="2458" t="s">
        <v>2697</v>
      </c>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7"/>
      <c r="AD200" s="2459">
        <v>600000</v>
      </c>
      <c r="AE200" s="2459"/>
      <c r="AF200" s="2459"/>
      <c r="AG200" s="2459"/>
      <c r="AH200" s="2459"/>
      <c r="AI200" s="2459"/>
      <c r="AJ200" s="2459"/>
      <c r="AK200" s="611"/>
    </row>
    <row r="201" spans="1:40">
      <c r="A201" s="606"/>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7"/>
      <c r="AD201" s="2459"/>
      <c r="AE201" s="2459"/>
      <c r="AF201" s="2459"/>
      <c r="AG201" s="2459"/>
      <c r="AH201" s="2459"/>
      <c r="AI201" s="2459"/>
      <c r="AJ201" s="2459"/>
      <c r="AK201" s="611"/>
    </row>
    <row r="202" spans="1:40">
      <c r="A202" s="606"/>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7"/>
      <c r="AD202" s="2459"/>
      <c r="AE202" s="2459"/>
      <c r="AF202" s="2459"/>
      <c r="AG202" s="2459"/>
      <c r="AH202" s="2459"/>
      <c r="AI202" s="2459"/>
      <c r="AJ202" s="2459"/>
      <c r="AK202" s="611"/>
    </row>
    <row r="203" spans="1:40">
      <c r="A203" s="606"/>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7"/>
      <c r="AD203" s="2459"/>
      <c r="AE203" s="2459"/>
      <c r="AF203" s="2459"/>
      <c r="AG203" s="2459"/>
      <c r="AH203" s="2459"/>
      <c r="AI203" s="2459"/>
      <c r="AJ203" s="2459"/>
      <c r="AK203" s="611"/>
    </row>
    <row r="204" spans="1:40">
      <c r="A204" s="606"/>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7"/>
      <c r="AD204" s="2459"/>
      <c r="AE204" s="2459"/>
      <c r="AF204" s="2459"/>
      <c r="AG204" s="2459"/>
      <c r="AH204" s="2459"/>
      <c r="AI204" s="2459"/>
      <c r="AJ204" s="2459"/>
      <c r="AK204" s="611"/>
    </row>
    <row r="205" spans="1:40">
      <c r="A205" s="606"/>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7"/>
      <c r="AD205" s="2459"/>
      <c r="AE205" s="2459"/>
      <c r="AF205" s="2459"/>
      <c r="AG205" s="2459"/>
      <c r="AH205" s="2459"/>
      <c r="AI205" s="2459"/>
      <c r="AJ205" s="2459"/>
      <c r="AK205" s="611"/>
    </row>
    <row r="206" spans="1:40">
      <c r="A206" s="606"/>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7"/>
      <c r="AD206" s="2459"/>
      <c r="AE206" s="2459"/>
      <c r="AF206" s="2459"/>
      <c r="AG206" s="2459"/>
      <c r="AH206" s="2459"/>
      <c r="AI206" s="2459"/>
      <c r="AJ206" s="2459"/>
      <c r="AK206" s="611"/>
    </row>
    <row r="207" spans="1:40">
      <c r="A207" s="606"/>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7"/>
      <c r="AD207" s="2459"/>
      <c r="AE207" s="2459"/>
      <c r="AF207" s="2459"/>
      <c r="AG207" s="2459"/>
      <c r="AH207" s="2459"/>
      <c r="AI207" s="2459"/>
      <c r="AJ207" s="2459"/>
      <c r="AK207" s="611"/>
    </row>
    <row r="208" spans="1:40">
      <c r="A208" s="606"/>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7"/>
      <c r="AD208" s="2459"/>
      <c r="AE208" s="2459"/>
      <c r="AF208" s="2459"/>
      <c r="AG208" s="2459"/>
      <c r="AH208" s="2459"/>
      <c r="AI208" s="2459"/>
      <c r="AJ208" s="2459"/>
      <c r="AK208" s="611"/>
    </row>
    <row r="209" spans="1:37">
      <c r="A209" s="606"/>
      <c r="B209" s="2469" t="s">
        <v>1627</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7"/>
      <c r="AD209" s="2488">
        <f>AB260</f>
        <v>0</v>
      </c>
      <c r="AE209" s="2488"/>
      <c r="AF209" s="2488"/>
      <c r="AG209" s="2488"/>
      <c r="AH209" s="2488"/>
      <c r="AI209" s="2488"/>
      <c r="AJ209" s="2488"/>
      <c r="AK209" s="611"/>
    </row>
    <row r="210" spans="1:37">
      <c r="A210" s="606"/>
      <c r="B210" s="2615" t="s">
        <v>1590</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7"/>
      <c r="AD210" s="2489">
        <f>'Sources and Uses Budget'!B15</f>
        <v>0</v>
      </c>
      <c r="AE210" s="2489"/>
      <c r="AF210" s="2489"/>
      <c r="AG210" s="2489"/>
      <c r="AH210" s="2489"/>
      <c r="AI210" s="2489"/>
      <c r="AJ210" s="2489"/>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93">
        <f>SUM(AD199:AJ209)-AD210</f>
        <v>22850000</v>
      </c>
      <c r="AE211" s="2493"/>
      <c r="AF211" s="2493"/>
      <c r="AG211" s="2493"/>
      <c r="AH211" s="2493"/>
      <c r="AI211" s="2493"/>
      <c r="AJ211" s="2493"/>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2" t="s">
        <v>1607</v>
      </c>
      <c r="J222" s="2462"/>
      <c r="K222" s="2462"/>
      <c r="L222" s="537"/>
      <c r="M222" s="537"/>
      <c r="N222" s="537"/>
      <c r="O222" s="537"/>
      <c r="P222" s="537"/>
      <c r="Q222" s="537"/>
      <c r="R222" s="537"/>
      <c r="S222" s="537"/>
      <c r="T222" s="2650" t="s">
        <v>1601</v>
      </c>
      <c r="U222" s="2650"/>
      <c r="V222" s="2650"/>
      <c r="W222" s="2650"/>
      <c r="X222" s="2650"/>
      <c r="Y222" s="2650"/>
      <c r="Z222" s="850"/>
      <c r="AA222" s="490"/>
      <c r="AB222" s="2457" t="s">
        <v>1602</v>
      </c>
      <c r="AC222" s="2457"/>
      <c r="AD222" s="2457"/>
      <c r="AE222" s="2457"/>
      <c r="AF222" s="2457"/>
      <c r="AG222" s="2457"/>
      <c r="AH222" s="828"/>
      <c r="AI222" s="828"/>
      <c r="AJ222" s="828"/>
      <c r="AK222" s="611"/>
    </row>
    <row r="223" spans="1:37">
      <c r="A223" s="606"/>
      <c r="B223" s="2460" t="s">
        <v>1587</v>
      </c>
      <c r="C223" s="2460"/>
      <c r="D223" s="2460"/>
      <c r="E223" s="2460"/>
      <c r="F223" s="2460"/>
      <c r="G223" s="2460"/>
      <c r="I223" s="2461" t="s">
        <v>1608</v>
      </c>
      <c r="J223" s="2461"/>
      <c r="K223" s="2461"/>
      <c r="L223" s="1009"/>
      <c r="N223" s="2467" t="s">
        <v>1603</v>
      </c>
      <c r="O223" s="2467"/>
      <c r="P223" s="2467"/>
      <c r="Q223" s="2467"/>
      <c r="R223" s="2467"/>
      <c r="T223" s="2467" t="s">
        <v>1604</v>
      </c>
      <c r="U223" s="2467"/>
      <c r="V223" s="2467"/>
      <c r="W223" s="2467"/>
      <c r="X223" s="2467"/>
      <c r="Y223" s="2467"/>
      <c r="Z223" s="851"/>
      <c r="AA223" s="490"/>
      <c r="AB223" s="2604" t="s">
        <v>1605</v>
      </c>
      <c r="AC223" s="2604"/>
      <c r="AD223" s="2604"/>
      <c r="AE223" s="2604"/>
      <c r="AF223" s="2604"/>
      <c r="AG223" s="2604"/>
      <c r="AH223" s="828"/>
      <c r="AI223" s="828"/>
      <c r="AJ223" s="828"/>
      <c r="AK223" s="611"/>
    </row>
    <row r="224" spans="1:37">
      <c r="A224" s="606"/>
      <c r="B224" s="2464" t="s">
        <v>1184</v>
      </c>
      <c r="C224" s="2464"/>
      <c r="D224" s="2464"/>
      <c r="E224" s="2464"/>
      <c r="F224" s="2464"/>
      <c r="G224" s="2464"/>
      <c r="H224" s="853"/>
      <c r="I224" s="2463"/>
      <c r="J224" s="2463"/>
      <c r="K224" s="2463"/>
      <c r="L224" s="1009"/>
      <c r="N224" s="2468"/>
      <c r="O224" s="2468"/>
      <c r="P224" s="2468"/>
      <c r="Q224" s="2468"/>
      <c r="R224" s="2468"/>
      <c r="T224" s="2616"/>
      <c r="U224" s="2616"/>
      <c r="V224" s="2616"/>
      <c r="W224" s="2616"/>
      <c r="X224" s="2616"/>
      <c r="Y224" s="2616"/>
      <c r="Z224" s="852"/>
      <c r="AA224" s="852"/>
      <c r="AB224" s="2465">
        <f t="shared" ref="AB224:AB233" si="0">MAX(($T224-$N224)*$I224*12,0)</f>
        <v>0</v>
      </c>
      <c r="AC224" s="2465"/>
      <c r="AD224" s="2465"/>
      <c r="AE224" s="2465"/>
      <c r="AF224" s="2465"/>
      <c r="AG224" s="2465"/>
      <c r="AH224" s="828"/>
      <c r="AI224" s="828"/>
      <c r="AJ224" s="828"/>
      <c r="AK224" s="611"/>
    </row>
    <row r="225" spans="1:37">
      <c r="A225" s="606"/>
      <c r="B225" s="2464" t="s">
        <v>1184</v>
      </c>
      <c r="C225" s="2464"/>
      <c r="D225" s="2464"/>
      <c r="E225" s="2464"/>
      <c r="F225" s="2464"/>
      <c r="G225" s="2464"/>
      <c r="I225" s="2463"/>
      <c r="J225" s="2463"/>
      <c r="K225" s="2463"/>
      <c r="L225" s="1009"/>
      <c r="N225" s="2468"/>
      <c r="O225" s="2468"/>
      <c r="P225" s="2468"/>
      <c r="Q225" s="2468"/>
      <c r="R225" s="2468"/>
      <c r="T225" s="2616"/>
      <c r="U225" s="2616"/>
      <c r="V225" s="2616"/>
      <c r="W225" s="2616"/>
      <c r="X225" s="2616"/>
      <c r="Y225" s="2616"/>
      <c r="Z225" s="852"/>
      <c r="AA225" s="852"/>
      <c r="AB225" s="2465">
        <f t="shared" si="0"/>
        <v>0</v>
      </c>
      <c r="AC225" s="2465"/>
      <c r="AD225" s="2465"/>
      <c r="AE225" s="2465"/>
      <c r="AF225" s="2465"/>
      <c r="AG225" s="2465"/>
      <c r="AH225" s="828"/>
      <c r="AI225" s="828"/>
      <c r="AJ225" s="828"/>
      <c r="AK225" s="611"/>
    </row>
    <row r="226" spans="1:37">
      <c r="A226" s="606"/>
      <c r="B226" s="2464" t="s">
        <v>1184</v>
      </c>
      <c r="C226" s="2464"/>
      <c r="D226" s="2464"/>
      <c r="E226" s="2464"/>
      <c r="F226" s="2464"/>
      <c r="G226" s="2464"/>
      <c r="I226" s="2463"/>
      <c r="J226" s="2463"/>
      <c r="K226" s="2463"/>
      <c r="L226" s="1009"/>
      <c r="N226" s="2468"/>
      <c r="O226" s="2468"/>
      <c r="P226" s="2468"/>
      <c r="Q226" s="2468"/>
      <c r="R226" s="2468"/>
      <c r="T226" s="2616"/>
      <c r="U226" s="2616"/>
      <c r="V226" s="2616"/>
      <c r="W226" s="2616"/>
      <c r="X226" s="2616"/>
      <c r="Y226" s="2616"/>
      <c r="Z226" s="852"/>
      <c r="AA226" s="852"/>
      <c r="AB226" s="2465">
        <f t="shared" si="0"/>
        <v>0</v>
      </c>
      <c r="AC226" s="2465"/>
      <c r="AD226" s="2465"/>
      <c r="AE226" s="2465"/>
      <c r="AF226" s="2465"/>
      <c r="AG226" s="2465"/>
      <c r="AH226" s="828"/>
      <c r="AI226" s="828"/>
      <c r="AJ226" s="828"/>
      <c r="AK226" s="611"/>
    </row>
    <row r="227" spans="1:37">
      <c r="A227" s="606"/>
      <c r="B227" s="2464" t="s">
        <v>1184</v>
      </c>
      <c r="C227" s="2464"/>
      <c r="D227" s="2464"/>
      <c r="E227" s="2464"/>
      <c r="F227" s="2464"/>
      <c r="G227" s="2464"/>
      <c r="I227" s="2463"/>
      <c r="J227" s="2463"/>
      <c r="K227" s="2463"/>
      <c r="L227" s="1009"/>
      <c r="N227" s="2468"/>
      <c r="O227" s="2468"/>
      <c r="P227" s="2468"/>
      <c r="Q227" s="2468"/>
      <c r="R227" s="2468"/>
      <c r="T227" s="2616"/>
      <c r="U227" s="2616"/>
      <c r="V227" s="2616"/>
      <c r="W227" s="2616"/>
      <c r="X227" s="2616"/>
      <c r="Y227" s="2616"/>
      <c r="Z227" s="852"/>
      <c r="AA227" s="852"/>
      <c r="AB227" s="2465">
        <f t="shared" si="0"/>
        <v>0</v>
      </c>
      <c r="AC227" s="2465"/>
      <c r="AD227" s="2465"/>
      <c r="AE227" s="2465"/>
      <c r="AF227" s="2465"/>
      <c r="AG227" s="2465"/>
      <c r="AH227" s="828"/>
      <c r="AI227" s="828"/>
      <c r="AJ227" s="828"/>
      <c r="AK227" s="611"/>
    </row>
    <row r="228" spans="1:37">
      <c r="A228" s="606"/>
      <c r="B228" s="2464" t="s">
        <v>1184</v>
      </c>
      <c r="C228" s="2464"/>
      <c r="D228" s="2464"/>
      <c r="E228" s="2464"/>
      <c r="F228" s="2464"/>
      <c r="G228" s="2464"/>
      <c r="I228" s="2463"/>
      <c r="J228" s="2463"/>
      <c r="K228" s="2463"/>
      <c r="L228" s="1016"/>
      <c r="N228" s="2468"/>
      <c r="O228" s="2468"/>
      <c r="P228" s="2468"/>
      <c r="Q228" s="2468"/>
      <c r="R228" s="2468"/>
      <c r="T228" s="2616"/>
      <c r="U228" s="2616"/>
      <c r="V228" s="2616"/>
      <c r="W228" s="2616"/>
      <c r="X228" s="2616"/>
      <c r="Y228" s="2616"/>
      <c r="Z228" s="852"/>
      <c r="AA228" s="852"/>
      <c r="AB228" s="2465">
        <f t="shared" si="0"/>
        <v>0</v>
      </c>
      <c r="AC228" s="2465"/>
      <c r="AD228" s="2465"/>
      <c r="AE228" s="2465"/>
      <c r="AF228" s="2465"/>
      <c r="AG228" s="2465"/>
      <c r="AH228" s="828"/>
      <c r="AI228" s="828"/>
      <c r="AJ228" s="828"/>
      <c r="AK228" s="611"/>
    </row>
    <row r="229" spans="1:37">
      <c r="A229" s="606"/>
      <c r="B229" s="2464" t="s">
        <v>1184</v>
      </c>
      <c r="C229" s="2464"/>
      <c r="D229" s="2464"/>
      <c r="E229" s="2464"/>
      <c r="F229" s="2464"/>
      <c r="G229" s="2464"/>
      <c r="I229" s="2463"/>
      <c r="J229" s="2463"/>
      <c r="K229" s="2463"/>
      <c r="L229" s="1016"/>
      <c r="N229" s="2468"/>
      <c r="O229" s="2468"/>
      <c r="P229" s="2468"/>
      <c r="Q229" s="2468"/>
      <c r="R229" s="2468"/>
      <c r="T229" s="2616"/>
      <c r="U229" s="2616"/>
      <c r="V229" s="2616"/>
      <c r="W229" s="2616"/>
      <c r="X229" s="2616"/>
      <c r="Y229" s="2616"/>
      <c r="Z229" s="852"/>
      <c r="AA229" s="852"/>
      <c r="AB229" s="2465">
        <f t="shared" si="0"/>
        <v>0</v>
      </c>
      <c r="AC229" s="2465"/>
      <c r="AD229" s="2465"/>
      <c r="AE229" s="2465"/>
      <c r="AF229" s="2465"/>
      <c r="AG229" s="2465"/>
      <c r="AH229" s="828"/>
      <c r="AI229" s="828"/>
      <c r="AJ229" s="828"/>
      <c r="AK229" s="611"/>
    </row>
    <row r="230" spans="1:37">
      <c r="A230" s="606"/>
      <c r="B230" s="2464" t="s">
        <v>1184</v>
      </c>
      <c r="C230" s="2464"/>
      <c r="D230" s="2464"/>
      <c r="E230" s="2464"/>
      <c r="F230" s="2464"/>
      <c r="G230" s="2464"/>
      <c r="I230" s="2463"/>
      <c r="J230" s="2463"/>
      <c r="K230" s="2463"/>
      <c r="L230" s="1016"/>
      <c r="N230" s="2468"/>
      <c r="O230" s="2468"/>
      <c r="P230" s="2468"/>
      <c r="Q230" s="2468"/>
      <c r="R230" s="2468"/>
      <c r="T230" s="2616"/>
      <c r="U230" s="2616"/>
      <c r="V230" s="2616"/>
      <c r="W230" s="2616"/>
      <c r="X230" s="2616"/>
      <c r="Y230" s="2616"/>
      <c r="Z230" s="852"/>
      <c r="AA230" s="852"/>
      <c r="AB230" s="2465">
        <f t="shared" si="0"/>
        <v>0</v>
      </c>
      <c r="AC230" s="2465"/>
      <c r="AD230" s="2465"/>
      <c r="AE230" s="2465"/>
      <c r="AF230" s="2465"/>
      <c r="AG230" s="2465"/>
      <c r="AH230" s="828"/>
      <c r="AI230" s="828"/>
      <c r="AJ230" s="828"/>
      <c r="AK230" s="611"/>
    </row>
    <row r="231" spans="1:37">
      <c r="A231" s="606"/>
      <c r="B231" s="2464" t="s">
        <v>1184</v>
      </c>
      <c r="C231" s="2464"/>
      <c r="D231" s="2464"/>
      <c r="E231" s="2464"/>
      <c r="F231" s="2464"/>
      <c r="G231" s="2464"/>
      <c r="I231" s="2463"/>
      <c r="J231" s="2463"/>
      <c r="K231" s="2463"/>
      <c r="L231" s="1016"/>
      <c r="N231" s="2468"/>
      <c r="O231" s="2468"/>
      <c r="P231" s="2468"/>
      <c r="Q231" s="2468"/>
      <c r="R231" s="2468"/>
      <c r="T231" s="2616"/>
      <c r="U231" s="2616"/>
      <c r="V231" s="2616"/>
      <c r="W231" s="2616"/>
      <c r="X231" s="2616"/>
      <c r="Y231" s="2616"/>
      <c r="Z231" s="852"/>
      <c r="AA231" s="852"/>
      <c r="AB231" s="2465">
        <f t="shared" si="0"/>
        <v>0</v>
      </c>
      <c r="AC231" s="2465"/>
      <c r="AD231" s="2465"/>
      <c r="AE231" s="2465"/>
      <c r="AF231" s="2465"/>
      <c r="AG231" s="2465"/>
      <c r="AH231" s="828"/>
      <c r="AI231" s="828"/>
      <c r="AJ231" s="828"/>
      <c r="AK231" s="611"/>
    </row>
    <row r="232" spans="1:37">
      <c r="A232" s="606"/>
      <c r="B232" s="2464" t="s">
        <v>1184</v>
      </c>
      <c r="C232" s="2464"/>
      <c r="D232" s="2464"/>
      <c r="E232" s="2464"/>
      <c r="F232" s="2464"/>
      <c r="G232" s="2464"/>
      <c r="I232" s="2463"/>
      <c r="J232" s="2463"/>
      <c r="K232" s="2463"/>
      <c r="L232" s="1016"/>
      <c r="N232" s="2468"/>
      <c r="O232" s="2468"/>
      <c r="P232" s="2468"/>
      <c r="Q232" s="2468"/>
      <c r="R232" s="2468"/>
      <c r="T232" s="2616"/>
      <c r="U232" s="2616"/>
      <c r="V232" s="2616"/>
      <c r="W232" s="2616"/>
      <c r="X232" s="2616"/>
      <c r="Y232" s="2616"/>
      <c r="Z232" s="852"/>
      <c r="AA232" s="852"/>
      <c r="AB232" s="2465">
        <f t="shared" si="0"/>
        <v>0</v>
      </c>
      <c r="AC232" s="2465"/>
      <c r="AD232" s="2465"/>
      <c r="AE232" s="2465"/>
      <c r="AF232" s="2465"/>
      <c r="AG232" s="2465"/>
      <c r="AH232" s="828"/>
      <c r="AI232" s="828"/>
      <c r="AJ232" s="828"/>
      <c r="AK232" s="611"/>
    </row>
    <row r="233" spans="1:37">
      <c r="A233" s="606"/>
      <c r="B233" s="2464" t="s">
        <v>1184</v>
      </c>
      <c r="C233" s="2464"/>
      <c r="D233" s="2464"/>
      <c r="E233" s="2464"/>
      <c r="F233" s="2464"/>
      <c r="G233" s="2464"/>
      <c r="I233" s="2466"/>
      <c r="J233" s="2466"/>
      <c r="K233" s="2466"/>
      <c r="L233" s="1016"/>
      <c r="N233" s="2468"/>
      <c r="O233" s="2468"/>
      <c r="P233" s="2468"/>
      <c r="Q233" s="2468"/>
      <c r="R233" s="2468"/>
      <c r="T233" s="2616"/>
      <c r="U233" s="2616"/>
      <c r="V233" s="2616"/>
      <c r="W233" s="2616"/>
      <c r="X233" s="2616"/>
      <c r="Y233" s="2616"/>
      <c r="Z233" s="852"/>
      <c r="AA233" s="852"/>
      <c r="AB233" s="2614">
        <f t="shared" si="0"/>
        <v>0</v>
      </c>
      <c r="AC233" s="2614"/>
      <c r="AD233" s="2614"/>
      <c r="AE233" s="2614"/>
      <c r="AF233" s="2614"/>
      <c r="AG233" s="2614"/>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65">
        <f>SUM(AB224:AB233)</f>
        <v>0</v>
      </c>
      <c r="AC234" s="2465"/>
      <c r="AD234" s="2465"/>
      <c r="AE234" s="2465"/>
      <c r="AF234" s="2465"/>
      <c r="AG234" s="2465"/>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7"/>
      <c r="AC240" s="2617"/>
      <c r="AD240" s="2617"/>
      <c r="AE240" s="2617"/>
      <c r="AF240" s="2617"/>
      <c r="AG240" s="2617"/>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7"/>
      <c r="AC243" s="2617"/>
      <c r="AD243" s="2617"/>
      <c r="AE243" s="2617"/>
      <c r="AF243" s="2617"/>
      <c r="AG243" s="2617"/>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9"/>
      <c r="AC244" s="2649"/>
      <c r="AD244" s="2649"/>
      <c r="AE244" s="2649"/>
      <c r="AF244" s="2649"/>
      <c r="AG244" s="2649"/>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31">
        <f>IFERROR(AB243/AB244,0)</f>
        <v>0</v>
      </c>
      <c r="AC245" s="2631"/>
      <c r="AD245" s="2631"/>
      <c r="AE245" s="2631"/>
      <c r="AF245" s="2631"/>
      <c r="AG245" s="2631"/>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4">
        <f>MAX(AB240,AB245)</f>
        <v>0</v>
      </c>
      <c r="AC247" s="2614"/>
      <c r="AD247" s="2614"/>
      <c r="AE247" s="2614"/>
      <c r="AF247" s="2614"/>
      <c r="AG247" s="2614"/>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5">
        <f>AB234+AB247</f>
        <v>0</v>
      </c>
      <c r="AC250" s="2465"/>
      <c r="AD250" s="2465"/>
      <c r="AE250" s="2465"/>
      <c r="AF250" s="2465"/>
      <c r="AG250" s="2465"/>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7">
        <v>0.05</v>
      </c>
      <c r="AC251" s="2497"/>
      <c r="AD251" s="2497"/>
      <c r="AE251" s="2497"/>
      <c r="AF251" s="2497"/>
      <c r="AG251" s="2497"/>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8">
        <f>AB250-(AB250*AB251)</f>
        <v>0</v>
      </c>
      <c r="AC252" s="2498"/>
      <c r="AD252" s="2498"/>
      <c r="AE252" s="2498"/>
      <c r="AF252" s="2498"/>
      <c r="AG252" s="2498"/>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5">
        <f>AB252/AB258</f>
        <v>0</v>
      </c>
      <c r="AC254" s="2465"/>
      <c r="AD254" s="2465"/>
      <c r="AE254" s="2465"/>
      <c r="AF254" s="2465"/>
      <c r="AG254" s="2465"/>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7">
        <v>15</v>
      </c>
      <c r="AC256" s="2457"/>
      <c r="AD256" s="2457"/>
      <c r="AE256" s="2457"/>
      <c r="AF256" s="2457"/>
      <c r="AG256" s="2457"/>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9">
        <v>0.04</v>
      </c>
      <c r="AC257" s="2499"/>
      <c r="AD257" s="2499"/>
      <c r="AE257" s="2499"/>
      <c r="AF257" s="2499"/>
      <c r="AG257" s="2499"/>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70">
        <v>1.1499999999999999</v>
      </c>
      <c r="AC258" s="2470"/>
      <c r="AD258" s="2470"/>
      <c r="AE258" s="2470"/>
      <c r="AF258" s="2470"/>
      <c r="AG258" s="2470"/>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90">
        <f>PV(AB257/12,AB256*12,-AB254/12, ,0)</f>
        <v>0</v>
      </c>
      <c r="AC260" s="2491"/>
      <c r="AD260" s="2491"/>
      <c r="AE260" s="2491"/>
      <c r="AF260" s="2491"/>
      <c r="AG260" s="2492"/>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4">
        <f>IFERROR(('Sources and Uses Budget'!D105/'Sources and Uses Budget'!B105),0)</f>
        <v>0</v>
      </c>
      <c r="AC266" s="2495"/>
      <c r="AD266" s="2495"/>
      <c r="AE266" s="2495"/>
      <c r="AF266" s="2495"/>
      <c r="AG266" s="2496"/>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4">
        <f>AD211*(1-AB266)</f>
        <v>22850000</v>
      </c>
      <c r="AH268" s="2484"/>
      <c r="AI268" s="2484"/>
      <c r="AJ268" s="2484"/>
      <c r="AK268" s="2484"/>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4">
        <f>'Sources and Uses Budget'!C105</f>
        <v>65448259</v>
      </c>
      <c r="AH269" s="2484"/>
      <c r="AI269" s="2484"/>
      <c r="AJ269" s="2484"/>
      <c r="AK269" s="248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5">
        <f>ROUNDDOWN(IF(AND(C292="Yes",AK84=10),((AG268*2)/AG269),AG268/AG269),2)</f>
        <v>0.34</v>
      </c>
      <c r="AH270" s="2485"/>
      <c r="AI270" s="2485"/>
      <c r="AJ270" s="2485"/>
      <c r="AK270" s="2485"/>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86">
        <f>IFERROR(IF(AG270=0,0,IF((AG270*100)&gt;8,8,(AG270*100))),0)</f>
        <v>8</v>
      </c>
      <c r="AL273" s="2486"/>
      <c r="AM273" s="2487"/>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8" t="s">
        <v>545</v>
      </c>
      <c r="D278" s="2478"/>
      <c r="E278" s="548"/>
      <c r="F278" s="2635" t="s">
        <v>2026</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1"/>
      <c r="AF278" s="636"/>
      <c r="AG278" s="2479" t="s">
        <v>1363</v>
      </c>
      <c r="AH278" s="2479"/>
      <c r="AI278" s="2479"/>
      <c r="AJ278" s="2479"/>
      <c r="AK278" s="551"/>
      <c r="AL278" s="551"/>
      <c r="AM278" s="551"/>
      <c r="AO278" s="551"/>
    </row>
    <row r="279" spans="1:52" ht="13.7" customHeight="1">
      <c r="A279" s="551"/>
      <c r="B279" s="597"/>
      <c r="C279" s="637"/>
      <c r="D279" s="551"/>
      <c r="E279" s="548"/>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1"/>
      <c r="AF279" s="636"/>
      <c r="AG279" s="636"/>
      <c r="AH279" s="636"/>
      <c r="AI279" s="636"/>
      <c r="AJ279" s="551"/>
      <c r="AK279" s="551"/>
      <c r="AL279" s="551"/>
      <c r="AM279" s="551"/>
      <c r="AO279" s="551"/>
    </row>
    <row r="280" spans="1:52">
      <c r="A280" s="551"/>
      <c r="B280" s="597"/>
      <c r="C280" s="637"/>
      <c r="D280" s="551"/>
      <c r="E280" s="548"/>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1"/>
      <c r="AF280" s="636"/>
      <c r="AG280" s="636"/>
      <c r="AH280" s="636"/>
      <c r="AI280" s="636"/>
      <c r="AJ280" s="551"/>
      <c r="AK280" s="551"/>
      <c r="AL280" s="551"/>
      <c r="AM280" s="551"/>
      <c r="AO280" s="551"/>
      <c r="AP280" s="638"/>
    </row>
    <row r="281" spans="1:52">
      <c r="A281" s="551"/>
      <c r="B281" s="597"/>
      <c r="C281" s="637"/>
      <c r="D281" s="551"/>
      <c r="E281" s="548"/>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1"/>
      <c r="AF281" s="636"/>
      <c r="AG281" s="636"/>
      <c r="AH281" s="636"/>
      <c r="AI281" s="636"/>
      <c r="AJ281" s="551"/>
      <c r="AK281" s="551"/>
      <c r="AL281" s="551"/>
      <c r="AM281" s="551"/>
      <c r="AO281" s="551"/>
      <c r="AP281" s="638"/>
    </row>
    <row r="282" spans="1:52" ht="13.7" customHeight="1">
      <c r="A282" s="551"/>
      <c r="B282" s="597"/>
      <c r="C282" s="2480"/>
      <c r="D282" s="2480"/>
      <c r="E282" s="548"/>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1"/>
      <c r="AF282" s="636"/>
      <c r="AG282" s="2479"/>
      <c r="AH282" s="2479"/>
      <c r="AI282" s="2479"/>
      <c r="AJ282" s="2479"/>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86">
        <f>IF($C$278="yes",10,0)</f>
        <v>10</v>
      </c>
      <c r="AL285" s="2486"/>
      <c r="AM285" s="2487"/>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0" t="s">
        <v>1382</v>
      </c>
      <c r="B292" s="1640"/>
      <c r="C292" s="2474" t="s">
        <v>591</v>
      </c>
      <c r="D292" s="2478"/>
      <c r="E292" s="548"/>
      <c r="F292" s="2506" t="s">
        <v>1383</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3"/>
      <c r="AF292" s="551"/>
      <c r="AG292" s="2509" t="s">
        <v>2019</v>
      </c>
      <c r="AH292" s="2509"/>
      <c r="AI292" s="2509"/>
      <c r="AJ292" s="2509"/>
      <c r="AK292" s="2509"/>
      <c r="AL292" s="551"/>
      <c r="AM292" s="551"/>
      <c r="AN292" s="73"/>
      <c r="AO292" s="14"/>
      <c r="AP292" s="30"/>
      <c r="AS292" s="571"/>
      <c r="AT292" s="571"/>
      <c r="AU292" s="571"/>
      <c r="AV292" s="32"/>
      <c r="AW292" s="32"/>
    </row>
    <row r="293" spans="1:49">
      <c r="A293" s="641"/>
      <c r="B293" s="597"/>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500" t="s">
        <v>2027</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00" t="s">
        <v>1384</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00" t="s">
        <v>1385</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0" t="s">
        <v>1386</v>
      </c>
      <c r="B302" s="1640"/>
      <c r="C302" s="2478" t="s">
        <v>545</v>
      </c>
      <c r="D302" s="2478"/>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08" t="s">
        <v>2021</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2"/>
      <c r="AF303" s="552"/>
      <c r="AG303" s="552"/>
      <c r="AH303" s="552"/>
      <c r="AI303" s="552"/>
      <c r="AJ303" s="551"/>
      <c r="AK303" s="551"/>
      <c r="AL303" s="551"/>
      <c r="AM303" s="551"/>
      <c r="AR303" s="649"/>
    </row>
    <row r="304" spans="1:49" ht="15" customHeight="1">
      <c r="A304" s="551"/>
      <c r="B304" s="552"/>
      <c r="C304" s="551"/>
      <c r="D304" s="552"/>
      <c r="E304" s="551"/>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2"/>
      <c r="AF304" s="552"/>
      <c r="AG304" s="552"/>
      <c r="AH304" s="552"/>
      <c r="AI304" s="552"/>
      <c r="AJ304" s="551"/>
      <c r="AK304" s="551"/>
      <c r="AL304" s="551"/>
      <c r="AM304" s="551"/>
      <c r="AR304" s="649"/>
    </row>
    <row r="305" spans="1:44">
      <c r="A305" s="551"/>
      <c r="B305" s="552"/>
      <c r="C305" s="551"/>
      <c r="D305" s="552"/>
      <c r="E305" s="551"/>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40" t="s">
        <v>1389</v>
      </c>
      <c r="B310" s="1640"/>
      <c r="C310" s="2478" t="s">
        <v>591</v>
      </c>
      <c r="D310" s="2478"/>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500" t="s">
        <v>2028</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2"/>
      <c r="AF311" s="552"/>
      <c r="AG311" s="540"/>
      <c r="AH311" s="552"/>
      <c r="AI311" s="552"/>
      <c r="AJ311" s="551"/>
      <c r="AK311" s="551"/>
      <c r="AL311" s="551"/>
      <c r="AM311" s="551"/>
      <c r="AN311" s="73"/>
      <c r="AO311" s="14"/>
      <c r="AP311" s="558" t="s">
        <v>1184</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10" t="s">
        <v>1184</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3"/>
      <c r="AF316" s="643"/>
      <c r="AG316" s="643"/>
      <c r="AH316" s="643"/>
      <c r="AI316" s="643"/>
      <c r="AJ316" s="643"/>
      <c r="AK316" s="643"/>
      <c r="AL316" s="551"/>
      <c r="AM316" s="551"/>
      <c r="AN316" s="73"/>
      <c r="AO316" s="14"/>
      <c r="AP316" s="30"/>
    </row>
    <row r="317" spans="1:44" hidden="1">
      <c r="A317" s="551"/>
      <c r="B317" s="552"/>
      <c r="C317" s="731"/>
      <c r="D317" s="731"/>
      <c r="E317" s="548"/>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2"/>
      <c r="AF317" s="552"/>
      <c r="AG317" s="540"/>
      <c r="AH317" s="552"/>
      <c r="AI317" s="552"/>
      <c r="AJ317" s="551"/>
      <c r="AK317" s="551"/>
      <c r="AL317" s="551"/>
      <c r="AM317" s="551"/>
      <c r="AN317" s="73"/>
      <c r="AO317" s="14"/>
      <c r="AP317" s="30"/>
    </row>
    <row r="318" spans="1:44" hidden="1">
      <c r="A318" s="551"/>
      <c r="B318" s="552"/>
      <c r="C318" s="731"/>
      <c r="D318" s="731"/>
      <c r="E318" s="548"/>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2"/>
      <c r="AF318" s="552"/>
      <c r="AG318" s="540"/>
      <c r="AH318" s="552"/>
      <c r="AI318" s="552"/>
      <c r="AJ318" s="551"/>
      <c r="AK318" s="551"/>
      <c r="AL318" s="551"/>
      <c r="AM318" s="551"/>
      <c r="AN318" s="73"/>
      <c r="AO318" s="14"/>
      <c r="AP318" s="30"/>
    </row>
    <row r="319" spans="1:44" hidden="1">
      <c r="A319" s="551"/>
      <c r="B319" s="552"/>
      <c r="C319" s="731"/>
      <c r="D319" s="731"/>
      <c r="E319" s="548"/>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2"/>
      <c r="AF319" s="552"/>
      <c r="AG319" s="540"/>
      <c r="AH319" s="552"/>
      <c r="AI319" s="552"/>
      <c r="AJ319" s="551"/>
      <c r="AK319" s="551"/>
      <c r="AL319" s="551"/>
      <c r="AM319" s="551"/>
      <c r="AN319" s="73"/>
      <c r="AO319" s="14"/>
      <c r="AP319" s="30"/>
    </row>
    <row r="320" spans="1:44" hidden="1">
      <c r="A320" s="551"/>
      <c r="B320" s="552"/>
      <c r="C320" s="731"/>
      <c r="D320" s="731"/>
      <c r="E320" s="548"/>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16" t="s">
        <v>1184</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16" t="s">
        <v>1184</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40" t="s">
        <v>1392</v>
      </c>
      <c r="B333" s="1640"/>
      <c r="C333" s="2478" t="s">
        <v>591</v>
      </c>
      <c r="D333" s="2478"/>
      <c r="E333" s="548"/>
      <c r="F333" s="2402" t="s">
        <v>2029</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2"/>
      <c r="AF334" s="552"/>
      <c r="AG334" s="552"/>
      <c r="AH334" s="552"/>
      <c r="AI334" s="552"/>
      <c r="AJ334" s="551"/>
      <c r="AK334" s="551"/>
      <c r="AL334" s="551"/>
      <c r="AM334" s="551"/>
      <c r="AN334" s="73"/>
      <c r="AO334" s="14"/>
    </row>
    <row r="335" spans="1:42" ht="15" hidden="1" customHeight="1">
      <c r="A335" s="551"/>
      <c r="B335" s="552"/>
      <c r="C335" s="552"/>
      <c r="D335" s="552"/>
      <c r="E335" s="552"/>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81">
        <f>IF(NOT(OR(Application!M355="Yes",Application!M356="Yes")),0,AP295)</f>
        <v>9</v>
      </c>
      <c r="AL338" s="2482"/>
      <c r="AM338" s="2483"/>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11" t="s">
        <v>1314</v>
      </c>
      <c r="AF341" s="2411"/>
      <c r="AG341" s="2411"/>
      <c r="AH341" s="2411"/>
      <c r="AI341" s="2411"/>
      <c r="AJ341" s="2411"/>
      <c r="AK341" s="241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20" t="s">
        <v>1454</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4"/>
      <c r="AL343" s="604"/>
      <c r="AM343" s="604"/>
      <c r="AN343" s="598"/>
    </row>
    <row r="344" spans="1:44" s="551" customFormat="1" ht="12.75" customHeight="1">
      <c r="A344" s="604"/>
      <c r="B344" s="612"/>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4"/>
      <c r="AL344" s="604"/>
      <c r="AM344" s="604"/>
      <c r="AN344" s="598"/>
    </row>
    <row r="345" spans="1:44" s="551" customFormat="1" ht="12.75" customHeight="1">
      <c r="A345" s="604"/>
      <c r="B345" s="612"/>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4"/>
      <c r="AL345" s="604"/>
      <c r="AM345" s="604"/>
      <c r="AN345" s="598"/>
      <c r="AQ345" s="571"/>
    </row>
    <row r="346" spans="1:44" s="551" customFormat="1" ht="12.75" customHeight="1">
      <c r="A346" s="604"/>
      <c r="B346" s="612"/>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4"/>
      <c r="AL346" s="604"/>
      <c r="AM346" s="604"/>
      <c r="AN346" s="598"/>
      <c r="AQ346" s="571"/>
    </row>
    <row r="347" spans="1:44" s="551" customFormat="1" ht="12.6" customHeight="1">
      <c r="A347" s="604"/>
      <c r="B347" s="612"/>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4"/>
      <c r="AL347" s="604"/>
      <c r="AM347" s="604"/>
      <c r="AN347" s="598"/>
      <c r="AQ347" s="571"/>
      <c r="AR347" s="571"/>
    </row>
    <row r="348" spans="1:44" s="551" customFormat="1" ht="45.75" customHeight="1">
      <c r="A348" s="604"/>
      <c r="B348" s="612"/>
      <c r="C348" s="2520" t="s">
        <v>2094</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20" t="s">
        <v>2209</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4"/>
      <c r="AL350" s="604"/>
      <c r="AM350" s="604"/>
      <c r="AN350" s="598"/>
      <c r="AQ350" s="571"/>
      <c r="AR350" s="571"/>
    </row>
    <row r="351" spans="1:44" s="551" customFormat="1" ht="30" customHeight="1">
      <c r="A351" s="604"/>
      <c r="B351" s="612"/>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4"/>
      <c r="AL351" s="604"/>
      <c r="AM351" s="604"/>
      <c r="AN351" s="598"/>
      <c r="AR351" s="571"/>
    </row>
    <row r="352" spans="1:44" s="551" customFormat="1" ht="12.75" customHeight="1">
      <c r="A352" s="604"/>
      <c r="B352" s="612"/>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4"/>
      <c r="AL352" s="604"/>
      <c r="AM352" s="604"/>
      <c r="AN352" s="598"/>
      <c r="AR352" s="571"/>
    </row>
    <row r="353" spans="1:46" s="551" customFormat="1" ht="12.75" customHeight="1">
      <c r="A353" s="604"/>
      <c r="B353" s="612"/>
      <c r="C353" s="2520" t="s">
        <v>1455</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4"/>
      <c r="AL353" s="604"/>
      <c r="AM353" s="604"/>
      <c r="AN353" s="598"/>
      <c r="AQ353" s="571"/>
      <c r="AR353" s="571"/>
    </row>
    <row r="354" spans="1:46" s="551" customFormat="1" ht="12.75" customHeight="1">
      <c r="A354" s="604"/>
      <c r="B354" s="612"/>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4"/>
      <c r="AL354" s="604"/>
      <c r="AM354" s="604"/>
      <c r="AN354" s="598"/>
      <c r="AQ354" s="571"/>
      <c r="AR354" s="571"/>
    </row>
    <row r="355" spans="1:46" s="551" customFormat="1" ht="13.35" customHeight="1">
      <c r="A355" s="604"/>
      <c r="B355" s="612"/>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4"/>
      <c r="AL355" s="604"/>
      <c r="AM355" s="604"/>
      <c r="AN355" s="598"/>
      <c r="AQ355" s="571"/>
      <c r="AR355" s="571"/>
    </row>
    <row r="356" spans="1:46" s="551" customFormat="1" ht="12.75" customHeight="1">
      <c r="A356" s="604"/>
      <c r="B356" s="612"/>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4"/>
      <c r="AL356" s="604"/>
      <c r="AM356" s="604"/>
      <c r="AN356" s="598"/>
      <c r="AO356" s="695"/>
      <c r="AP356" s="695"/>
      <c r="AQ356" s="571"/>
    </row>
    <row r="357" spans="1:46" s="551" customFormat="1" ht="11.85" customHeight="1">
      <c r="A357" s="604"/>
      <c r="B357" s="612"/>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4"/>
      <c r="AL357" s="604"/>
      <c r="AM357" s="604"/>
      <c r="AN357" s="598"/>
      <c r="AO357" s="696" t="s">
        <v>112</v>
      </c>
      <c r="AP357" s="697">
        <f>IF(C381="Yes",5,0)</f>
        <v>5</v>
      </c>
      <c r="AS357" s="540" t="s">
        <v>1456</v>
      </c>
    </row>
    <row r="358" spans="1:46" s="551" customFormat="1" ht="12.75" customHeight="1">
      <c r="A358" s="604"/>
      <c r="B358" s="612"/>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4"/>
      <c r="AL358" s="604"/>
      <c r="AM358" s="604"/>
      <c r="AN358" s="598"/>
      <c r="AO358" s="696" t="s">
        <v>113</v>
      </c>
      <c r="AP358" s="697">
        <f>IF(C389="Yes",5,0)</f>
        <v>0</v>
      </c>
      <c r="AS358" s="2541">
        <f>IF(Application!D211="Non-Targeted",(SUM(AQ366+AQ375)),AS362)</f>
        <v>10</v>
      </c>
      <c r="AT358" s="2541"/>
    </row>
    <row r="359" spans="1:46" s="551" customFormat="1" ht="12.75" customHeight="1">
      <c r="A359" s="604"/>
      <c r="B359" s="612"/>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4"/>
      <c r="AL359" s="604"/>
      <c r="AM359" s="604"/>
      <c r="AN359" s="598"/>
      <c r="AO359" s="696" t="s">
        <v>119</v>
      </c>
      <c r="AP359" s="697">
        <f>IF(C397="Yes",7,0)</f>
        <v>0</v>
      </c>
      <c r="AS359" s="540" t="s">
        <v>1457</v>
      </c>
    </row>
    <row r="360" spans="1:46" s="551" customFormat="1" ht="12.75" customHeight="1">
      <c r="A360" s="604"/>
      <c r="B360" s="612"/>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4"/>
      <c r="AL360" s="604"/>
      <c r="AM360" s="604"/>
      <c r="AN360" s="598"/>
      <c r="AO360" s="598"/>
      <c r="AP360" s="697">
        <f>IF(C399="Yes",5,0)</f>
        <v>5</v>
      </c>
      <c r="AS360" s="2541">
        <f>IF(AND(AQ366&gt;0,AQ375&gt;0),(AQ366+AQ375)/2,0)</f>
        <v>10</v>
      </c>
      <c r="AT360" s="2541"/>
    </row>
    <row r="361" spans="1:46" s="551" customFormat="1" ht="12.75" customHeight="1">
      <c r="A361" s="604"/>
      <c r="B361" s="612"/>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4"/>
      <c r="AL361" s="604"/>
      <c r="AM361" s="604"/>
      <c r="AN361" s="598"/>
      <c r="AO361" s="696" t="s">
        <v>581</v>
      </c>
      <c r="AP361" s="697">
        <f>IF(C407="Yes",5,0)</f>
        <v>0</v>
      </c>
      <c r="AS361" s="540" t="s">
        <v>1879</v>
      </c>
    </row>
    <row r="362" spans="1:46" s="551" customFormat="1" ht="12.75" customHeight="1">
      <c r="A362" s="604"/>
      <c r="B362" s="612"/>
      <c r="C362" s="2542" t="s">
        <v>2235</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4"/>
      <c r="AL362" s="604"/>
      <c r="AM362" s="604"/>
      <c r="AN362" s="598"/>
      <c r="AO362" s="598"/>
      <c r="AP362" s="697">
        <f>IF(C409="Yes",3,0)</f>
        <v>0</v>
      </c>
      <c r="AS362" s="2541">
        <f>IF(AQ366=0,AQ375,AQ366)</f>
        <v>10</v>
      </c>
      <c r="AT362" s="2541"/>
    </row>
    <row r="363" spans="1:46" s="551" customFormat="1" ht="12.75" customHeight="1">
      <c r="A363" s="604"/>
      <c r="B363" s="612"/>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4"/>
      <c r="AL363" s="604"/>
      <c r="AM363" s="604"/>
      <c r="AN363" s="598"/>
      <c r="AO363" s="696" t="s">
        <v>763</v>
      </c>
      <c r="AP363" s="697">
        <f>IF(C412="Yes",5,0)</f>
        <v>0</v>
      </c>
    </row>
    <row r="364" spans="1:46" s="551" customFormat="1" ht="12.75" customHeight="1">
      <c r="A364" s="604"/>
      <c r="B364" s="612"/>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4"/>
      <c r="AL364" s="604"/>
      <c r="AM364" s="604"/>
      <c r="AN364" s="598"/>
      <c r="AO364" s="696" t="s">
        <v>584</v>
      </c>
      <c r="AP364" s="697">
        <f>IF(C421="Yes",5,0)</f>
        <v>0</v>
      </c>
    </row>
    <row r="365" spans="1:46" s="551" customFormat="1" ht="11.85" customHeight="1">
      <c r="A365" s="604"/>
      <c r="B365" s="612"/>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4"/>
      <c r="AL365" s="604"/>
      <c r="AM365" s="604"/>
      <c r="AN365" s="598"/>
      <c r="AO365" s="698"/>
      <c r="AP365" s="699">
        <f>IF(C423="Yes",3,0)</f>
        <v>0</v>
      </c>
    </row>
    <row r="366" spans="1:46" s="551" customFormat="1" ht="12.6" customHeight="1">
      <c r="A366" s="604"/>
      <c r="B366" s="612"/>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4"/>
      <c r="AL366" s="604"/>
      <c r="AM366" s="604"/>
      <c r="AN366" s="598"/>
      <c r="AO366" s="700" t="s">
        <v>226</v>
      </c>
      <c r="AP366" s="701">
        <f>SUM(AP357:AP365)</f>
        <v>10</v>
      </c>
      <c r="AQ366" s="2543">
        <f>IF(AP366&gt;0,AP366,0)</f>
        <v>10</v>
      </c>
      <c r="AR366" s="2543"/>
    </row>
    <row r="367" spans="1:46" s="551" customFormat="1" ht="12.75" customHeight="1">
      <c r="A367" s="604"/>
      <c r="B367" s="612"/>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5</v>
      </c>
    </row>
    <row r="369" spans="1:81" s="551" customFormat="1" ht="12.75" customHeight="1">
      <c r="A369" s="604"/>
      <c r="B369" s="612"/>
      <c r="C369" s="2520" t="s">
        <v>1458</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4"/>
      <c r="AL369" s="604"/>
      <c r="AM369" s="604"/>
      <c r="AN369" s="598"/>
      <c r="AO369" s="696" t="s">
        <v>456</v>
      </c>
      <c r="AP369" s="697">
        <f>IF(C442="Yes",5,0)</f>
        <v>5</v>
      </c>
    </row>
    <row r="370" spans="1:81" s="551" customFormat="1" ht="12.75" customHeight="1">
      <c r="A370" s="604"/>
      <c r="B370" s="612"/>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4"/>
      <c r="AL370" s="604"/>
      <c r="AM370" s="604"/>
      <c r="AN370" s="598"/>
      <c r="AO370" s="696" t="s">
        <v>461</v>
      </c>
      <c r="AP370" s="697">
        <f>IF(C449="Yes",5,0)</f>
        <v>0</v>
      </c>
    </row>
    <row r="371" spans="1:81" s="551" customFormat="1" ht="68.099999999999994" customHeight="1">
      <c r="A371" s="604"/>
      <c r="B371" s="612"/>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4"/>
      <c r="AL371" s="604"/>
      <c r="AM371" s="604"/>
      <c r="AN371" s="598"/>
      <c r="AO371" s="696" t="s">
        <v>646</v>
      </c>
      <c r="AP371" s="702">
        <f>IF(C453="Yes",5,0)</f>
        <v>0</v>
      </c>
    </row>
    <row r="372" spans="1:81" s="551" customFormat="1" ht="12.6"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28">
        <f>Application!DU802-U374</f>
        <v>59</v>
      </c>
      <c r="V373" s="2628"/>
      <c r="W373" s="2628"/>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29">
        <f>IF(Application!D211="SRO",Application!DU755,Application!AG756)</f>
        <v>57</v>
      </c>
      <c r="V374" s="2629"/>
      <c r="W374" s="262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10</v>
      </c>
      <c r="AQ375" s="2543">
        <f>IF(AP375&gt;0,AP375,0)</f>
        <v>10</v>
      </c>
      <c r="AR375" s="2543"/>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24" t="s">
        <v>1460</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21" t="s">
        <v>545</v>
      </c>
      <c r="D381" s="2478"/>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2" t="s">
        <v>1462</v>
      </c>
      <c r="AG381" s="2522"/>
      <c r="AH381" s="2522"/>
      <c r="AI381" s="2522"/>
      <c r="AJ381" s="2522"/>
      <c r="AK381" s="2522"/>
      <c r="AL381" s="252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24" t="s">
        <v>1463</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3"/>
      <c r="AN388" s="598"/>
      <c r="BS388" s="30"/>
      <c r="BT388" s="30"/>
      <c r="BU388" s="14"/>
      <c r="BV388" s="14"/>
      <c r="BW388" s="14"/>
      <c r="BX388" s="14"/>
      <c r="BY388" s="14"/>
      <c r="BZ388" s="14"/>
      <c r="CA388" s="14"/>
      <c r="CB388" s="14"/>
      <c r="CC388" s="14"/>
    </row>
    <row r="389" spans="1:81" s="551" customFormat="1" ht="12.75" customHeight="1">
      <c r="A389" s="537"/>
      <c r="B389" s="14"/>
      <c r="C389" s="2521" t="s">
        <v>591</v>
      </c>
      <c r="D389" s="2478"/>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2" t="s">
        <v>1462</v>
      </c>
      <c r="AG389" s="2522"/>
      <c r="AH389" s="2522"/>
      <c r="AI389" s="2522"/>
      <c r="AJ389" s="2522"/>
      <c r="AK389" s="2522"/>
      <c r="AL389" s="252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24" t="s">
        <v>1465</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21" t="s">
        <v>591</v>
      </c>
      <c r="D397" s="2478"/>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2" t="s">
        <v>1467</v>
      </c>
      <c r="AG397" s="2522"/>
      <c r="AH397" s="2522"/>
      <c r="AI397" s="2522"/>
      <c r="AJ397" s="2522"/>
      <c r="AK397" s="2522"/>
      <c r="AL397" s="252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21" t="s">
        <v>545</v>
      </c>
      <c r="D399" s="2478"/>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2" t="s">
        <v>1462</v>
      </c>
      <c r="AG399" s="2522"/>
      <c r="AH399" s="2522"/>
      <c r="AI399" s="2522"/>
      <c r="AJ399" s="2522"/>
      <c r="AK399" s="2522"/>
      <c r="AL399" s="252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24" t="s">
        <v>1471</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21" t="s">
        <v>591</v>
      </c>
      <c r="D407" s="2478"/>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2" t="s">
        <v>1462</v>
      </c>
      <c r="AG407" s="2522"/>
      <c r="AH407" s="2522"/>
      <c r="AI407" s="2522"/>
      <c r="AJ407" s="2522"/>
      <c r="AK407" s="2522"/>
      <c r="AL407" s="252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21" t="s">
        <v>591</v>
      </c>
      <c r="D409" s="2478"/>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2" t="s">
        <v>1474</v>
      </c>
      <c r="AG409" s="2522"/>
      <c r="AH409" s="2522"/>
      <c r="AI409" s="2522"/>
      <c r="AJ409" s="2522"/>
      <c r="AK409" s="2522"/>
      <c r="AL409" s="252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21" t="s">
        <v>591</v>
      </c>
      <c r="D412" s="2478"/>
      <c r="E412" s="716" t="s">
        <v>1475</v>
      </c>
      <c r="F412" s="2524" t="s">
        <v>1476</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1462</v>
      </c>
      <c r="AG413" s="2446"/>
      <c r="AH413" s="2446"/>
      <c r="AI413" s="2446"/>
      <c r="AJ413" s="2446"/>
      <c r="AK413" s="2446"/>
      <c r="AL413" s="2526"/>
      <c r="AM413" s="571"/>
      <c r="AN413" s="598"/>
      <c r="BS413" s="571"/>
      <c r="BT413" s="571"/>
      <c r="BY413" s="571"/>
      <c r="BZ413" s="571"/>
      <c r="CA413" s="571"/>
      <c r="CB413" s="571"/>
      <c r="CC413" s="571"/>
    </row>
    <row r="414" spans="1:81" s="551" customFormat="1" ht="12.75" customHeight="1">
      <c r="A414" s="537"/>
      <c r="B414" s="14"/>
      <c r="C414" s="732"/>
      <c r="D414" s="14"/>
      <c r="E414" s="692"/>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24" t="s">
        <v>1478</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8"/>
      <c r="AG417" s="748"/>
      <c r="AH417" s="748"/>
      <c r="AI417" s="748"/>
      <c r="AJ417" s="748"/>
      <c r="AK417" s="748"/>
      <c r="AL417" s="749"/>
      <c r="AM417" s="571"/>
    </row>
    <row r="418" spans="1:55">
      <c r="A418" s="537"/>
      <c r="C418" s="732"/>
      <c r="E418" s="692"/>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40"/>
      <c r="AG418" s="537"/>
      <c r="AH418" s="551"/>
      <c r="AI418" s="551"/>
      <c r="AJ418" s="551"/>
      <c r="AK418" s="551"/>
      <c r="AL418" s="733"/>
      <c r="AM418" s="571"/>
    </row>
    <row r="419" spans="1:55" s="551" customFormat="1" ht="12.75" customHeight="1">
      <c r="A419" s="537"/>
      <c r="B419" s="14"/>
      <c r="C419" s="732"/>
      <c r="D419" s="14"/>
      <c r="E419" s="692"/>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3"/>
      <c r="AM419" s="571"/>
      <c r="AN419" s="598"/>
    </row>
    <row r="420" spans="1:55" s="551" customFormat="1" ht="12.75" customHeight="1">
      <c r="A420" s="537"/>
      <c r="B420" s="14"/>
      <c r="C420" s="740"/>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3"/>
      <c r="AM420" s="571"/>
      <c r="AN420" s="598"/>
    </row>
    <row r="421" spans="1:55" s="551" customFormat="1" ht="12.75" customHeight="1">
      <c r="A421" s="537"/>
      <c r="B421" s="14"/>
      <c r="C421" s="2521" t="s">
        <v>591</v>
      </c>
      <c r="D421" s="2478"/>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6" t="s">
        <v>1462</v>
      </c>
      <c r="AG421" s="2446"/>
      <c r="AH421" s="2446"/>
      <c r="AI421" s="2446"/>
      <c r="AJ421" s="2446"/>
      <c r="AK421" s="2446"/>
      <c r="AL421" s="2526"/>
      <c r="AM421" s="571"/>
      <c r="AN421" s="598"/>
    </row>
    <row r="422" spans="1:55" s="551" customFormat="1" ht="12.75" customHeight="1">
      <c r="A422" s="537"/>
      <c r="B422" s="14"/>
      <c r="C422" s="740"/>
      <c r="AL422" s="733"/>
      <c r="AM422" s="571"/>
      <c r="AN422" s="598"/>
    </row>
    <row r="423" spans="1:55" s="551" customFormat="1" ht="12.75" customHeight="1">
      <c r="A423" s="537"/>
      <c r="B423" s="14"/>
      <c r="C423" s="2521" t="s">
        <v>591</v>
      </c>
      <c r="D423" s="2478"/>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6" t="s">
        <v>1474</v>
      </c>
      <c r="AG423" s="2446"/>
      <c r="AH423" s="2446"/>
      <c r="AI423" s="2446"/>
      <c r="AJ423" s="2446"/>
      <c r="AK423" s="2446"/>
      <c r="AL423" s="2526"/>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24" t="s">
        <v>1482</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5"/>
      <c r="AG427" s="715"/>
      <c r="AH427" s="715"/>
      <c r="AI427" s="715"/>
      <c r="AJ427" s="715"/>
      <c r="AK427" s="715"/>
      <c r="AL427" s="746"/>
      <c r="AM427" s="571"/>
      <c r="AN427" s="598"/>
    </row>
    <row r="428" spans="1:55" s="551" customFormat="1" ht="12.75" customHeight="1">
      <c r="A428" s="537"/>
      <c r="B428" s="14"/>
      <c r="C428" s="732"/>
      <c r="D428" s="14"/>
      <c r="E428" s="692"/>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40"/>
      <c r="AG428" s="537"/>
      <c r="AL428" s="733"/>
      <c r="AM428" s="571"/>
      <c r="AN428" s="598"/>
    </row>
    <row r="429" spans="1:55" s="551" customFormat="1" ht="12.6" customHeight="1">
      <c r="A429" s="537"/>
      <c r="B429" s="14"/>
      <c r="C429" s="732"/>
      <c r="D429" s="14"/>
      <c r="E429" s="692"/>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3"/>
      <c r="AM429" s="571"/>
      <c r="AN429" s="598"/>
    </row>
    <row r="430" spans="1:55" s="551" customFormat="1" ht="12.75" customHeight="1">
      <c r="A430" s="537"/>
      <c r="B430" s="14"/>
      <c r="C430" s="2521" t="s">
        <v>545</v>
      </c>
      <c r="D430" s="2478"/>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6" t="s">
        <v>1462</v>
      </c>
      <c r="AG430" s="2446"/>
      <c r="AH430" s="2446"/>
      <c r="AI430" s="2446"/>
      <c r="AJ430" s="2446"/>
      <c r="AK430" s="2446"/>
      <c r="AL430" s="2526"/>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1484</v>
      </c>
      <c r="F433" s="2524" t="s">
        <v>1485</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8"/>
      <c r="AG433" s="748"/>
      <c r="AH433" s="748"/>
      <c r="AI433" s="748"/>
      <c r="AJ433" s="748"/>
      <c r="AK433" s="748"/>
      <c r="AL433" s="749"/>
      <c r="AM433" s="571"/>
      <c r="AO433" s="551"/>
      <c r="AP433" s="551"/>
      <c r="BD433" s="14"/>
      <c r="BE433" s="14"/>
      <c r="BF433" s="14"/>
      <c r="BG433" s="14"/>
      <c r="BH433" s="14"/>
    </row>
    <row r="434" spans="1:60">
      <c r="A434" s="537"/>
      <c r="C434" s="732"/>
      <c r="E434" s="692"/>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5"/>
      <c r="AG434" s="595"/>
      <c r="AH434" s="595"/>
      <c r="AI434" s="595"/>
      <c r="AJ434" s="595"/>
      <c r="AK434" s="595"/>
      <c r="AL434" s="751"/>
      <c r="AM434" s="571"/>
      <c r="AO434" s="551"/>
      <c r="AP434" s="551"/>
    </row>
    <row r="435" spans="1:60" s="551" customFormat="1" ht="12.75" customHeight="1">
      <c r="A435" s="537"/>
      <c r="B435" s="14"/>
      <c r="C435" s="732"/>
      <c r="D435" s="14"/>
      <c r="E435" s="692"/>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5"/>
      <c r="AG435" s="595"/>
      <c r="AH435" s="595"/>
      <c r="AI435" s="595"/>
      <c r="AJ435" s="595"/>
      <c r="AK435" s="595"/>
      <c r="AL435" s="751"/>
      <c r="AM435" s="571"/>
      <c r="AN435" s="598"/>
    </row>
    <row r="436" spans="1:60" s="551" customFormat="1" ht="12.75" customHeight="1">
      <c r="A436" s="537"/>
      <c r="B436" s="14"/>
      <c r="C436" s="752"/>
      <c r="D436" s="731"/>
      <c r="E436" s="720"/>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5"/>
      <c r="AG437" s="595"/>
      <c r="AH437" s="595"/>
      <c r="AI437" s="595"/>
      <c r="AJ437" s="595"/>
      <c r="AK437" s="595"/>
      <c r="AL437" s="751"/>
      <c r="AM437" s="571"/>
      <c r="AN437" s="598"/>
    </row>
    <row r="438" spans="1:60" s="551" customFormat="1" ht="12.75" customHeight="1">
      <c r="A438" s="537"/>
      <c r="B438" s="14"/>
      <c r="C438" s="752"/>
      <c r="D438" s="731"/>
      <c r="E438" s="720"/>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5"/>
      <c r="AG438" s="595"/>
      <c r="AH438" s="595"/>
      <c r="AI438" s="595"/>
      <c r="AJ438" s="595"/>
      <c r="AK438" s="595"/>
      <c r="AL438" s="751"/>
      <c r="AM438" s="571"/>
      <c r="AN438" s="598"/>
    </row>
    <row r="439" spans="1:60" s="551" customFormat="1" ht="12.75" customHeight="1">
      <c r="A439" s="537"/>
      <c r="B439" s="14"/>
      <c r="C439" s="752"/>
      <c r="D439" s="731"/>
      <c r="E439" s="720"/>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5"/>
      <c r="AG439" s="595"/>
      <c r="AH439" s="595"/>
      <c r="AI439" s="595"/>
      <c r="AJ439" s="595"/>
      <c r="AK439" s="595"/>
      <c r="AL439" s="751"/>
      <c r="AM439" s="571"/>
      <c r="AN439" s="598"/>
    </row>
    <row r="440" spans="1:60" s="551" customFormat="1" ht="12.75" customHeight="1">
      <c r="A440" s="537"/>
      <c r="B440" s="14"/>
      <c r="C440" s="752"/>
      <c r="D440" s="731"/>
      <c r="E440" s="720"/>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5"/>
      <c r="AG440" s="595"/>
      <c r="AH440" s="595"/>
      <c r="AI440" s="595"/>
      <c r="AJ440" s="595"/>
      <c r="AK440" s="595"/>
      <c r="AL440" s="751"/>
      <c r="AM440" s="571"/>
      <c r="AN440" s="598"/>
    </row>
    <row r="441" spans="1:60" s="551" customFormat="1" ht="17.25" customHeight="1">
      <c r="A441" s="537"/>
      <c r="B441" s="14"/>
      <c r="C441" s="752"/>
      <c r="D441" s="731"/>
      <c r="E441" s="720"/>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3"/>
      <c r="AM441" s="571"/>
      <c r="AN441" s="598"/>
    </row>
    <row r="442" spans="1:60" s="551" customFormat="1" ht="12.75" customHeight="1">
      <c r="A442" s="537"/>
      <c r="B442" s="14"/>
      <c r="C442" s="2521" t="s">
        <v>545</v>
      </c>
      <c r="D442" s="2478"/>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6" t="s">
        <v>1462</v>
      </c>
      <c r="AG442" s="2446"/>
      <c r="AH442" s="2446"/>
      <c r="AI442" s="2446"/>
      <c r="AJ442" s="2446"/>
      <c r="AK442" s="2446"/>
      <c r="AL442" s="2526"/>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24" t="s">
        <v>1488</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5"/>
      <c r="AG445" s="715"/>
      <c r="AH445" s="715"/>
      <c r="AI445" s="715"/>
      <c r="AJ445" s="715"/>
      <c r="AK445" s="715"/>
      <c r="AL445" s="746"/>
      <c r="AM445" s="571"/>
      <c r="AN445" s="598"/>
    </row>
    <row r="446" spans="1:60" s="551" customFormat="1" ht="12.75" customHeight="1">
      <c r="A446" s="537"/>
      <c r="B446" s="14"/>
      <c r="C446" s="752"/>
      <c r="D446" s="731"/>
      <c r="E446" s="720"/>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2"/>
      <c r="AG446" s="592"/>
      <c r="AH446" s="592"/>
      <c r="AI446" s="592"/>
      <c r="AJ446" s="592"/>
      <c r="AK446" s="592"/>
      <c r="AL446" s="721"/>
      <c r="AM446" s="571"/>
      <c r="AN446" s="598"/>
    </row>
    <row r="447" spans="1:60" s="551" customFormat="1" ht="12.75" customHeight="1">
      <c r="A447" s="537"/>
      <c r="B447" s="14"/>
      <c r="C447" s="752"/>
      <c r="D447" s="731"/>
      <c r="E447" s="720"/>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2"/>
      <c r="AG447" s="592"/>
      <c r="AH447" s="592"/>
      <c r="AI447" s="592"/>
      <c r="AJ447" s="592"/>
      <c r="AK447" s="592"/>
      <c r="AL447" s="721"/>
      <c r="AM447" s="571"/>
      <c r="AN447" s="598"/>
    </row>
    <row r="448" spans="1:60" s="551" customFormat="1" ht="12.75" customHeight="1">
      <c r="A448" s="537"/>
      <c r="B448" s="14"/>
      <c r="C448" s="752"/>
      <c r="D448" s="731"/>
      <c r="E448" s="720"/>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3"/>
      <c r="AM448" s="571"/>
      <c r="AN448" s="598"/>
    </row>
    <row r="449" spans="1:40" s="551" customFormat="1" ht="12.75" customHeight="1">
      <c r="A449" s="537"/>
      <c r="B449" s="14"/>
      <c r="C449" s="2521" t="s">
        <v>591</v>
      </c>
      <c r="D449" s="2478"/>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6" t="s">
        <v>1462</v>
      </c>
      <c r="AG449" s="2446"/>
      <c r="AH449" s="2446"/>
      <c r="AI449" s="2446"/>
      <c r="AJ449" s="2446"/>
      <c r="AK449" s="2446"/>
      <c r="AL449" s="2526"/>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7" t="s">
        <v>591</v>
      </c>
      <c r="D453" s="2528"/>
      <c r="E453" s="716" t="s">
        <v>1497</v>
      </c>
      <c r="F453" s="2524" t="s">
        <v>1498</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1462</v>
      </c>
      <c r="AG453" s="2545"/>
      <c r="AH453" s="2545"/>
      <c r="AI453" s="2545"/>
      <c r="AJ453" s="2545"/>
      <c r="AK453" s="2545"/>
      <c r="AL453" s="2546"/>
      <c r="AM453" s="571"/>
      <c r="AN453" s="754"/>
    </row>
    <row r="454" spans="1:40" s="551" customFormat="1" ht="12.75" customHeight="1">
      <c r="A454" s="537"/>
      <c r="B454" s="14"/>
      <c r="C454" s="752"/>
      <c r="D454" s="731"/>
      <c r="E454" s="720"/>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2"/>
      <c r="AG454" s="592"/>
      <c r="AH454" s="592"/>
      <c r="AI454" s="592"/>
      <c r="AJ454" s="592"/>
      <c r="AK454" s="592"/>
      <c r="AL454" s="721"/>
      <c r="AM454" s="571"/>
      <c r="AN454" s="755"/>
    </row>
    <row r="455" spans="1:40" s="551" customFormat="1" ht="17.850000000000001" customHeight="1">
      <c r="A455" s="537"/>
      <c r="B455" s="14"/>
      <c r="C455" s="757"/>
      <c r="D455" s="724"/>
      <c r="E455" s="725"/>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21" t="s">
        <v>591</v>
      </c>
      <c r="D457" s="2478"/>
      <c r="E457" s="716" t="s">
        <v>1503</v>
      </c>
      <c r="F457" s="2524" t="s">
        <v>1504</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1462</v>
      </c>
      <c r="AG457" s="2545"/>
      <c r="AH457" s="2545"/>
      <c r="AI457" s="2545"/>
      <c r="AJ457" s="2545"/>
      <c r="AK457" s="2545"/>
      <c r="AL457" s="2546"/>
      <c r="AM457" s="571"/>
      <c r="AN457" s="536"/>
    </row>
    <row r="458" spans="1:40" s="551" customFormat="1" ht="12.75" customHeight="1">
      <c r="A458" s="537"/>
      <c r="B458" s="14"/>
      <c r="C458" s="732"/>
      <c r="D458" s="14"/>
      <c r="E458" s="692"/>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40"/>
      <c r="AG458" s="537"/>
      <c r="AL458" s="733"/>
      <c r="AM458" s="571"/>
      <c r="AN458" s="536"/>
    </row>
    <row r="459" spans="1:40" s="551" customFormat="1" ht="12.75" customHeight="1">
      <c r="A459" s="537"/>
      <c r="B459" s="14"/>
      <c r="C459" s="732"/>
      <c r="D459" s="14"/>
      <c r="E459" s="692"/>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40"/>
      <c r="AG459" s="537"/>
      <c r="AL459" s="733"/>
      <c r="AM459" s="571"/>
      <c r="AN459" s="536"/>
    </row>
    <row r="460" spans="1:40" s="551" customFormat="1" ht="12.75" customHeight="1">
      <c r="A460" s="537"/>
      <c r="B460" s="14"/>
      <c r="C460" s="757"/>
      <c r="D460" s="724"/>
      <c r="E460" s="725"/>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24" t="s">
        <v>1507</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5"/>
      <c r="AH462" s="715"/>
      <c r="AI462" s="715"/>
      <c r="AJ462" s="715"/>
      <c r="AK462" s="715"/>
      <c r="AL462" s="746"/>
      <c r="AM462" s="571"/>
      <c r="AN462" s="598"/>
    </row>
    <row r="463" spans="1:40" s="551" customFormat="1" ht="12.75" customHeight="1">
      <c r="A463" s="537"/>
      <c r="B463" s="14"/>
      <c r="C463" s="732"/>
      <c r="D463" s="14"/>
      <c r="E463" s="692"/>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3"/>
      <c r="AM463" s="571"/>
      <c r="AN463" s="598"/>
    </row>
    <row r="464" spans="1:40" s="551" customFormat="1" ht="12.75" customHeight="1">
      <c r="A464" s="537"/>
      <c r="B464" s="14"/>
      <c r="C464" s="740"/>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3"/>
      <c r="AM464" s="571"/>
      <c r="AN464" s="598"/>
    </row>
    <row r="465" spans="1:58" s="551" customFormat="1" ht="12.75" customHeight="1">
      <c r="A465" s="537"/>
      <c r="B465" s="14"/>
      <c r="C465" s="740"/>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3"/>
      <c r="AM465" s="571"/>
      <c r="AN465" s="598"/>
    </row>
    <row r="466" spans="1:58" s="551" customFormat="1" ht="12.75" customHeight="1">
      <c r="A466" s="537"/>
      <c r="B466" s="14"/>
      <c r="C466" s="2521" t="s">
        <v>591</v>
      </c>
      <c r="D466" s="2478"/>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2" t="s">
        <v>1462</v>
      </c>
      <c r="AG466" s="2522"/>
      <c r="AH466" s="2522"/>
      <c r="AI466" s="2522"/>
      <c r="AJ466" s="2522"/>
      <c r="AK466" s="2522"/>
      <c r="AL466" s="252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81">
        <f>IF(Application!D214="N/A",AS358,AS360)</f>
        <v>10</v>
      </c>
      <c r="AL469" s="2482"/>
      <c r="AM469" s="2483"/>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22" t="s">
        <v>1511</v>
      </c>
      <c r="AF472" s="2522"/>
      <c r="AG472" s="2522"/>
      <c r="AH472" s="2522"/>
      <c r="AI472" s="2522"/>
      <c r="AJ472" s="2522"/>
      <c r="AK472" s="2522"/>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47" t="s">
        <v>591</v>
      </c>
      <c r="D478" s="2548"/>
      <c r="E478" s="762" t="s">
        <v>507</v>
      </c>
      <c r="F478" s="2549" t="s">
        <v>1517</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23" t="s">
        <v>591</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24" t="s">
        <v>545</v>
      </c>
      <c r="D482" s="2625"/>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22" t="s">
        <v>591</v>
      </c>
      <c r="W485" s="2622"/>
      <c r="X485" s="2622"/>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22" t="s">
        <v>591</v>
      </c>
      <c r="W487" s="2622"/>
      <c r="X487" s="2622"/>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22" t="s">
        <v>591</v>
      </c>
      <c r="W492" s="2622"/>
      <c r="X492" s="2622"/>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12"/>
      <c r="E495" s="2612"/>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22" t="s">
        <v>591</v>
      </c>
      <c r="W496" s="2622"/>
      <c r="X496" s="2622"/>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22" t="s">
        <v>591</v>
      </c>
      <c r="W498" s="2622"/>
      <c r="X498" s="2622"/>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7" t="s">
        <v>591</v>
      </c>
      <c r="D501" s="2548"/>
      <c r="E501" s="762" t="s">
        <v>507</v>
      </c>
      <c r="F501" s="2549" t="s">
        <v>1517</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8" t="s">
        <v>591</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7" t="s">
        <v>591</v>
      </c>
      <c r="D505" s="2548"/>
      <c r="E505" s="762" t="s">
        <v>757</v>
      </c>
      <c r="F505" s="2619" t="s">
        <v>1539</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21" t="s">
        <v>591</v>
      </c>
      <c r="G508" s="2621"/>
      <c r="H508" s="2621"/>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7" t="s">
        <v>591</v>
      </c>
      <c r="D510" s="2548"/>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11"/>
      <c r="D512" s="2612"/>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3" t="s">
        <v>591</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51" t="s">
        <v>591</v>
      </c>
      <c r="D515" s="2552"/>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51" t="s">
        <v>591</v>
      </c>
      <c r="D519" s="2552"/>
      <c r="F519" s="796" t="s">
        <v>1547</v>
      </c>
      <c r="G519" s="2525" t="s">
        <v>1548</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3" t="s">
        <v>591</v>
      </c>
      <c r="D523" s="2554"/>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5" t="s">
        <v>591</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81">
        <f>SUM(AG479:AG524)</f>
        <v>0</v>
      </c>
      <c r="AL535" s="2482"/>
      <c r="AM535" s="2483"/>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1" t="s">
        <v>1560</v>
      </c>
      <c r="AF538" s="2411"/>
      <c r="AG538" s="2411"/>
      <c r="AH538" s="2411"/>
      <c r="AI538" s="2411"/>
      <c r="AJ538" s="2411"/>
      <c r="AK538" s="2411"/>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8" t="s">
        <v>545</v>
      </c>
      <c r="D541" s="2478"/>
      <c r="E541" s="552"/>
      <c r="F541" s="2605" t="s">
        <v>1561</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6"/>
      <c r="AN541" s="598"/>
    </row>
    <row r="542" spans="1:81" s="551" customFormat="1" ht="12.75" customHeight="1">
      <c r="A542" s="540"/>
      <c r="B542" s="540"/>
      <c r="C542" s="552"/>
      <c r="D542" s="552"/>
      <c r="E542" s="552"/>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8" t="s">
        <v>591</v>
      </c>
      <c r="D544" s="2478"/>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00" t="s">
        <v>1563</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6"/>
      <c r="AN545" s="598"/>
      <c r="AS545" s="871"/>
      <c r="AT545" s="871"/>
      <c r="AU545" s="871"/>
      <c r="AV545" s="871"/>
      <c r="AW545" s="871"/>
    </row>
    <row r="546" spans="1:49" s="551" customFormat="1" ht="12.75" customHeight="1">
      <c r="B546" s="807"/>
      <c r="C546" s="807"/>
      <c r="D546" s="807"/>
      <c r="E546" s="807"/>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00" t="s">
        <v>1564</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4"/>
      <c r="AM548" s="596"/>
      <c r="AN548" s="598"/>
    </row>
    <row r="549" spans="1:49" s="551" customFormat="1" ht="12.75" customHeight="1">
      <c r="B549" s="807"/>
      <c r="C549" s="807"/>
      <c r="D549" s="807"/>
      <c r="E549" s="807"/>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7">
        <f>Application!AJ992</f>
        <v>47425860</v>
      </c>
      <c r="AQ550" s="2627"/>
      <c r="AR550" s="2627"/>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4">
        <f>'Sources and Uses Budget'!S107+'Sources and Uses Budget'!T107</f>
        <v>60079581</v>
      </c>
      <c r="AG551" s="2484"/>
      <c r="AH551" s="2484"/>
      <c r="AI551" s="2484"/>
      <c r="AJ551" s="2484"/>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2">
        <f>IFERROR(AP559,0)</f>
        <v>99594306</v>
      </c>
      <c r="AG552" s="2632"/>
      <c r="AH552" s="2632"/>
      <c r="AI552" s="2632"/>
      <c r="AJ552" s="2632"/>
      <c r="AK552" s="596"/>
      <c r="AL552" s="596"/>
      <c r="AM552" s="596"/>
      <c r="AN552" s="598"/>
      <c r="AP552" s="2627">
        <f>Application!AJ1045</f>
        <v>23712930</v>
      </c>
      <c r="AQ552" s="2627"/>
      <c r="AR552" s="2627"/>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3">
        <f>IFERROR(ROUNDDOWN(IF(C544="YES",((1-(AF551/AF552))*2),(1-(AF551/AF552))),2),0)</f>
        <v>0.39</v>
      </c>
      <c r="AG553" s="2633"/>
      <c r="AH553" s="2633"/>
      <c r="AI553" s="2633"/>
      <c r="AJ553" s="2633"/>
      <c r="AK553" s="596"/>
      <c r="AL553" s="596"/>
      <c r="AM553" s="596"/>
      <c r="AN553" s="598"/>
      <c r="AP553" s="2630">
        <f>Application!AJ1049</f>
        <v>46477342.799999997</v>
      </c>
      <c r="AQ553" s="2630"/>
      <c r="AR553" s="2630"/>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6">
        <f>IF(((AP552+AP553)/AP550)&gt;0.8,0.8,((AP552+AP553)/AP550))</f>
        <v>0.8</v>
      </c>
      <c r="AQ554" s="2626"/>
      <c r="AR554" s="2626"/>
      <c r="AS554" s="551" t="s">
        <v>2173</v>
      </c>
    </row>
    <row r="555" spans="1:49" s="551" customFormat="1" ht="12.75" customHeight="1">
      <c r="A555" s="625"/>
      <c r="B555" s="2563" t="s">
        <v>2033</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6"/>
      <c r="AL555" s="596"/>
      <c r="AM555" s="596"/>
      <c r="AN555" s="598"/>
    </row>
    <row r="556" spans="1:49" s="551" customFormat="1" ht="12.75" customHeight="1">
      <c r="A556" s="625"/>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6"/>
      <c r="AL556" s="596"/>
      <c r="AM556" s="596"/>
      <c r="AN556" s="598"/>
      <c r="AP556" s="2627">
        <f>AP557-AP552-AP553</f>
        <v>61653618</v>
      </c>
      <c r="AQ556" s="2536"/>
      <c r="AR556" s="2536"/>
      <c r="AS556" s="551" t="s">
        <v>2175</v>
      </c>
    </row>
    <row r="557" spans="1:49" s="551" customFormat="1" ht="12.75" customHeight="1">
      <c r="A557" s="625"/>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6"/>
      <c r="AL557" s="596"/>
      <c r="AM557" s="596"/>
      <c r="AN557" s="598"/>
      <c r="AP557" s="2627">
        <f>Application!AJ1053</f>
        <v>131843890.8</v>
      </c>
      <c r="AQ557" s="2627"/>
      <c r="AR557" s="2627"/>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72">
        <f>IFERROR(IF(AND(C541="N/A",C544="N/A"),0,IF(AF553=0,0,IF((AF553*100)&gt;12,12,(AF553*100)))),0)</f>
        <v>12</v>
      </c>
      <c r="AL559" s="2572"/>
      <c r="AM559" s="2573"/>
      <c r="AN559" s="598"/>
      <c r="AP559" s="2644">
        <f>AP556+(AP550*AP554)</f>
        <v>99594306</v>
      </c>
      <c r="AQ559" s="2645"/>
      <c r="AR559" s="264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1" t="s">
        <v>1314</v>
      </c>
      <c r="AF562" s="2411"/>
      <c r="AG562" s="2411"/>
      <c r="AH562" s="2411"/>
      <c r="AI562" s="2411"/>
      <c r="AJ562" s="2411"/>
      <c r="AK562" s="241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01" t="s">
        <v>2024</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3"/>
      <c r="AL564" s="574"/>
      <c r="AM564" s="604"/>
      <c r="AN564" s="598"/>
    </row>
    <row r="565" spans="1:42" s="551" customFormat="1" ht="12.75" customHeight="1">
      <c r="A565" s="604"/>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3"/>
      <c r="AL565" s="574"/>
      <c r="AM565" s="604"/>
      <c r="AN565" s="598"/>
    </row>
    <row r="566" spans="1:42" s="551" customFormat="1" ht="12.75" customHeight="1">
      <c r="A566" s="604"/>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3"/>
      <c r="AL566" s="574"/>
      <c r="AM566" s="604"/>
      <c r="AN566" s="598"/>
    </row>
    <row r="567" spans="1:42" s="551" customFormat="1" ht="12.75" customHeight="1">
      <c r="A567" s="604"/>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3"/>
      <c r="AL567" s="574"/>
      <c r="AM567" s="604"/>
      <c r="AN567" s="598"/>
    </row>
    <row r="568" spans="1:42" s="551" customFormat="1" ht="12.75" customHeight="1">
      <c r="A568" s="604"/>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3"/>
      <c r="AL568" s="574"/>
      <c r="AM568" s="604"/>
      <c r="AN568" s="598"/>
    </row>
    <row r="569" spans="1:42" s="551" customFormat="1" ht="12.75" customHeight="1">
      <c r="A569" s="604"/>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3"/>
      <c r="AL569" s="574"/>
      <c r="AM569" s="604"/>
      <c r="AN569" s="598"/>
    </row>
    <row r="570" spans="1:42" s="551" customFormat="1" ht="12.75" customHeight="1">
      <c r="A570" s="604"/>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3"/>
      <c r="AL570" s="574"/>
      <c r="AM570" s="604"/>
      <c r="AN570" s="598"/>
    </row>
    <row r="571" spans="1:42" ht="12.75" customHeight="1">
      <c r="A571" s="604"/>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3"/>
      <c r="AL571" s="574"/>
      <c r="AM571" s="604"/>
    </row>
    <row r="572" spans="1:42" s="551"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6" t="s">
        <v>1338</v>
      </c>
      <c r="AG578" s="2446"/>
      <c r="AH578" s="2446"/>
      <c r="AI578" s="2446"/>
      <c r="AJ578" s="2446"/>
      <c r="AK578" s="2446"/>
      <c r="AL578" s="2446"/>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6" t="s">
        <v>1396</v>
      </c>
      <c r="AG585" s="2446"/>
      <c r="AH585" s="2446"/>
      <c r="AI585" s="2446"/>
      <c r="AJ585" s="2446"/>
      <c r="AK585" s="2446"/>
      <c r="AL585" s="2446"/>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6" t="s">
        <v>1378</v>
      </c>
      <c r="AG591" s="2446"/>
      <c r="AH591" s="2446"/>
      <c r="AI591" s="2446"/>
      <c r="AJ591" s="2446"/>
      <c r="AK591" s="2446"/>
      <c r="AL591" s="2446"/>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6" t="s">
        <v>1399</v>
      </c>
      <c r="AG597" s="2446"/>
      <c r="AH597" s="2446"/>
      <c r="AI597" s="2446"/>
      <c r="AJ597" s="2446"/>
      <c r="AK597" s="2446"/>
      <c r="AL597" s="2446"/>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2" t="s">
        <v>1184</v>
      </c>
      <c r="P601" s="2532"/>
      <c r="Q601" s="2532"/>
      <c r="R601" s="2532"/>
      <c r="S601" s="2532"/>
      <c r="T601" s="2532"/>
      <c r="U601" s="2532"/>
      <c r="V601" s="2532"/>
      <c r="W601" s="2532"/>
      <c r="X601" s="2532"/>
      <c r="Y601" s="2532"/>
      <c r="Z601" s="2532"/>
      <c r="AA601" s="2532"/>
      <c r="AB601" s="2532"/>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6" t="s">
        <v>1352</v>
      </c>
      <c r="AG603" s="2446"/>
      <c r="AH603" s="2446"/>
      <c r="AI603" s="2446"/>
      <c r="AJ603" s="2446"/>
      <c r="AK603" s="2446"/>
      <c r="AL603" s="2446"/>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30" t="s">
        <v>687</v>
      </c>
      <c r="I606" s="2530"/>
      <c r="J606" s="937"/>
      <c r="K606" s="937"/>
      <c r="L606" s="937"/>
      <c r="N606" s="22"/>
      <c r="O606" s="22"/>
      <c r="P606" s="22"/>
      <c r="Q606" s="1153" t="s">
        <v>2178</v>
      </c>
      <c r="R606" s="2533"/>
      <c r="S606" s="2533"/>
      <c r="T606" s="2533"/>
      <c r="U606" s="2533"/>
      <c r="V606" s="2533"/>
      <c r="W606" s="2533"/>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4"/>
      <c r="Z608" s="2534"/>
      <c r="AA608" s="2534"/>
      <c r="AB608" s="2534"/>
      <c r="AC608" s="2534"/>
      <c r="AD608" s="2534"/>
      <c r="AE608" s="2534"/>
      <c r="AF608" s="2534"/>
      <c r="AG608" s="2534"/>
      <c r="AH608" s="2534"/>
      <c r="AI608" s="2534"/>
      <c r="AJ608" s="2534"/>
      <c r="AK608" s="2534"/>
      <c r="AL608" s="2534"/>
      <c r="AM608" s="2535"/>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1" t="s">
        <v>591</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74" t="s">
        <v>591</v>
      </c>
      <c r="C616" s="2474"/>
      <c r="D616" s="643"/>
      <c r="E616" s="2501" t="s">
        <v>1403</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3"/>
      <c r="AI616" s="643"/>
      <c r="AJ616" s="643"/>
      <c r="AK616" s="643"/>
      <c r="AL616" s="643"/>
      <c r="AN616" s="598"/>
    </row>
    <row r="617" spans="1:42" s="551" customFormat="1" ht="12.75" customHeight="1">
      <c r="B617" s="537"/>
      <c r="C617" s="934"/>
      <c r="D617" s="643"/>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3"/>
      <c r="AI617" s="643"/>
      <c r="AJ617" s="643"/>
      <c r="AK617" s="643"/>
      <c r="AL617" s="643"/>
      <c r="AN617" s="598"/>
    </row>
    <row r="618" spans="1:42" s="551" customFormat="1" ht="12.75" customHeight="1">
      <c r="B618" s="537"/>
      <c r="C618" s="934"/>
      <c r="D618" s="643"/>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3"/>
      <c r="AI618" s="643"/>
      <c r="AJ618" s="643"/>
      <c r="AK618" s="643"/>
      <c r="AL618" s="643"/>
      <c r="AN618" s="598"/>
    </row>
    <row r="619" spans="1:42" s="551" customFormat="1" ht="12.75" customHeight="1">
      <c r="B619" s="537"/>
      <c r="C619" s="934"/>
      <c r="D619" s="643"/>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81">
        <f>VLOOKUP($H$606,$AO$586:$AP$591,2,FALSE)+IF(R606=AO594,0,VLOOKUP($I$614,$AO$613:$AP$615,2,FALSE))</f>
        <v>7</v>
      </c>
      <c r="AK621" s="2483"/>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29" t="s">
        <v>1694</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40"/>
      <c r="AF625" s="2446" t="s">
        <v>1352</v>
      </c>
      <c r="AG625" s="2446"/>
      <c r="AH625" s="2446"/>
      <c r="AI625" s="2446"/>
      <c r="AJ625" s="2446"/>
      <c r="AK625" s="2446"/>
      <c r="AL625" s="2446"/>
      <c r="AM625" s="551"/>
      <c r="AN625" s="679"/>
    </row>
    <row r="626" spans="1:42" s="551" customFormat="1" ht="12.75" customHeight="1">
      <c r="A626" s="680"/>
      <c r="B626" s="537"/>
      <c r="C626" s="934"/>
      <c r="D626" s="664"/>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7"/>
      <c r="AF626" s="537"/>
      <c r="AG626" s="537"/>
      <c r="AH626" s="537"/>
      <c r="AI626" s="537"/>
      <c r="AJ626" s="537"/>
      <c r="AK626" s="537"/>
      <c r="AL626" s="537"/>
      <c r="AN626" s="598"/>
    </row>
    <row r="627" spans="1:42" s="551" customFormat="1" ht="12.75" customHeight="1">
      <c r="B627" s="537"/>
      <c r="C627" s="932"/>
      <c r="D627" s="664"/>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7"/>
      <c r="AF627" s="537"/>
      <c r="AG627" s="537"/>
      <c r="AH627" s="537"/>
      <c r="AI627" s="537"/>
      <c r="AJ627" s="537"/>
      <c r="AK627" s="537"/>
      <c r="AL627" s="537"/>
      <c r="AN627" s="598"/>
    </row>
    <row r="628" spans="1:42" s="551" customFormat="1" ht="12.75" customHeight="1">
      <c r="B628" s="537"/>
      <c r="C628" s="932"/>
      <c r="D628" s="664"/>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7"/>
      <c r="AF628" s="537"/>
      <c r="AG628" s="537"/>
      <c r="AH628" s="537"/>
      <c r="AI628" s="537"/>
      <c r="AJ628" s="537"/>
      <c r="AK628" s="537"/>
      <c r="AL628" s="537"/>
      <c r="AN628" s="598"/>
    </row>
    <row r="629" spans="1:42" s="551" customFormat="1" ht="12.75" customHeight="1">
      <c r="B629" s="537"/>
      <c r="C629" s="932"/>
      <c r="D629" s="664"/>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7"/>
      <c r="AF629" s="537"/>
      <c r="AG629" s="537"/>
      <c r="AH629" s="537"/>
      <c r="AI629" s="537"/>
      <c r="AJ629" s="537"/>
      <c r="AK629" s="537"/>
      <c r="AL629" s="537"/>
      <c r="AN629" s="598"/>
    </row>
    <row r="630" spans="1:42" s="551" customFormat="1" ht="12.75" customHeight="1">
      <c r="B630" s="537"/>
      <c r="C630" s="932"/>
      <c r="D630" s="664"/>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7"/>
      <c r="AF630" s="537"/>
      <c r="AG630" s="537"/>
      <c r="AH630" s="537"/>
      <c r="AI630" s="537"/>
      <c r="AJ630" s="537"/>
      <c r="AK630" s="537"/>
      <c r="AL630" s="537"/>
      <c r="AN630" s="598"/>
    </row>
    <row r="631" spans="1:42" s="551" customFormat="1" ht="12.75" customHeight="1">
      <c r="A631" s="638"/>
      <c r="B631" s="617"/>
      <c r="C631" s="941"/>
      <c r="D631" s="664"/>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7"/>
      <c r="AF631" s="617"/>
      <c r="AG631" s="617"/>
      <c r="AH631" s="617"/>
      <c r="AI631" s="617"/>
      <c r="AJ631" s="617"/>
      <c r="AK631" s="537"/>
      <c r="AL631" s="537"/>
      <c r="AN631" s="598"/>
    </row>
    <row r="632" spans="1:42" s="551" customFormat="1" ht="12.75" customHeight="1">
      <c r="B632" s="617"/>
      <c r="C632" s="941"/>
      <c r="D632" s="664"/>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74" t="s">
        <v>591</v>
      </c>
      <c r="Y634" s="2474"/>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6" t="s">
        <v>1408</v>
      </c>
      <c r="AG636" s="2446"/>
      <c r="AH636" s="2446"/>
      <c r="AI636" s="2446"/>
      <c r="AJ636" s="2446"/>
      <c r="AK636" s="2446"/>
      <c r="AL636" s="2446"/>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30" t="s">
        <v>687</v>
      </c>
      <c r="I638" s="2530"/>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81">
        <f>VLOOKUP($H$638,$AO$605:$AP$607,2,FALSE)</f>
        <v>3</v>
      </c>
      <c r="AK640" s="2483"/>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01" t="s">
        <v>2099</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7"/>
      <c r="AF644" s="2446" t="s">
        <v>1352</v>
      </c>
      <c r="AG644" s="2446"/>
      <c r="AH644" s="2446"/>
      <c r="AI644" s="2446"/>
      <c r="AJ644" s="2446"/>
      <c r="AK644" s="2446"/>
      <c r="AL644" s="2446"/>
      <c r="AN644" s="598"/>
    </row>
    <row r="645" spans="1:42" s="551" customFormat="1" ht="12.75" customHeight="1">
      <c r="B645" s="537"/>
      <c r="C645" s="537"/>
      <c r="D645" s="664"/>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6" t="s">
        <v>1408</v>
      </c>
      <c r="AG647" s="2446"/>
      <c r="AH647" s="2446"/>
      <c r="AI647" s="2446"/>
      <c r="AJ647" s="2446"/>
      <c r="AK647" s="2446"/>
      <c r="AL647" s="2446"/>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30" t="s">
        <v>509</v>
      </c>
      <c r="I650" s="2530"/>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81">
        <f>VLOOKUP(H650,AT605:AU607,2,FALSE)</f>
        <v>2</v>
      </c>
      <c r="AK652" s="2483"/>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01" t="s">
        <v>1418</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7"/>
      <c r="AE657" s="537"/>
      <c r="AF657" s="2446" t="s">
        <v>1378</v>
      </c>
      <c r="AG657" s="2446"/>
      <c r="AH657" s="2446"/>
      <c r="AI657" s="2446"/>
      <c r="AJ657" s="2446"/>
      <c r="AK657" s="2446"/>
      <c r="AL657" s="2446"/>
      <c r="AN657" s="598"/>
    </row>
    <row r="658" spans="1:42" s="551" customFormat="1" ht="12.75" customHeight="1">
      <c r="B658" s="537"/>
      <c r="C658" s="540"/>
      <c r="D658" s="537"/>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7"/>
      <c r="AE658" s="537"/>
      <c r="AF658" s="537"/>
      <c r="AG658" s="537"/>
      <c r="AH658" s="537"/>
      <c r="AI658" s="537"/>
      <c r="AJ658" s="537"/>
      <c r="AK658" s="537"/>
      <c r="AL658" s="537"/>
      <c r="AN658" s="598"/>
    </row>
    <row r="659" spans="1:42" s="551" customFormat="1" ht="12.75" customHeight="1">
      <c r="B659" s="537"/>
      <c r="C659" s="540"/>
      <c r="D659" s="664"/>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01" t="s">
        <v>1419</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7"/>
      <c r="AE661" s="537"/>
      <c r="AF661" s="2446" t="s">
        <v>1399</v>
      </c>
      <c r="AG661" s="2446"/>
      <c r="AH661" s="2446"/>
      <c r="AI661" s="2446"/>
      <c r="AJ661" s="2446"/>
      <c r="AK661" s="2446"/>
      <c r="AL661" s="2446"/>
      <c r="AN661" s="598"/>
    </row>
    <row r="662" spans="1:42" s="551" customFormat="1" ht="12.75" customHeight="1">
      <c r="B662" s="537"/>
      <c r="C662" s="540"/>
      <c r="D662" s="537"/>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7"/>
      <c r="AE662" s="537"/>
      <c r="AF662" s="537"/>
      <c r="AG662" s="537"/>
      <c r="AH662" s="537"/>
      <c r="AI662" s="537"/>
      <c r="AJ662" s="537"/>
      <c r="AK662" s="537"/>
      <c r="AL662" s="537"/>
      <c r="AN662" s="598"/>
    </row>
    <row r="663" spans="1:42" s="551" customFormat="1" ht="15" customHeight="1">
      <c r="B663" s="537"/>
      <c r="C663" s="540"/>
      <c r="D663" s="664"/>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501" t="s">
        <v>1420</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7"/>
      <c r="AE665" s="537"/>
      <c r="AF665" s="2446" t="s">
        <v>1352</v>
      </c>
      <c r="AG665" s="2446"/>
      <c r="AH665" s="2446"/>
      <c r="AI665" s="2446"/>
      <c r="AJ665" s="2446"/>
      <c r="AK665" s="2446"/>
      <c r="AL665" s="2446"/>
      <c r="AN665" s="598"/>
    </row>
    <row r="666" spans="1:42" s="551" customFormat="1" ht="12.75" customHeight="1">
      <c r="B666" s="537"/>
      <c r="C666" s="932"/>
      <c r="D666" s="537"/>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7"/>
      <c r="AE666" s="2446"/>
      <c r="AF666" s="2446"/>
      <c r="AG666" s="2446"/>
      <c r="AH666" s="2446"/>
      <c r="AI666" s="2446"/>
      <c r="AJ666" s="2446"/>
      <c r="AK666" s="2446"/>
      <c r="AL666" s="595"/>
      <c r="AN666" s="598"/>
      <c r="AO666" s="551" t="s">
        <v>591</v>
      </c>
      <c r="AP666" s="674">
        <v>0</v>
      </c>
    </row>
    <row r="667" spans="1:42" s="551" customFormat="1" ht="12.75" customHeight="1">
      <c r="A667" s="680"/>
      <c r="B667" s="537"/>
      <c r="C667" s="537"/>
      <c r="D667" s="664"/>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501" t="s">
        <v>1421</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7"/>
      <c r="AE669" s="537"/>
      <c r="AF669" s="2446" t="s">
        <v>1399</v>
      </c>
      <c r="AG669" s="2446"/>
      <c r="AH669" s="2446"/>
      <c r="AI669" s="2446"/>
      <c r="AJ669" s="2446"/>
      <c r="AK669" s="2446"/>
      <c r="AL669" s="2446"/>
      <c r="AN669" s="598"/>
    </row>
    <row r="670" spans="1:42" s="551" customFormat="1" ht="12.75" customHeight="1">
      <c r="A670" s="671"/>
      <c r="B670" s="537"/>
      <c r="C670" s="948"/>
      <c r="D670" s="664"/>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501" t="s">
        <v>1422</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7"/>
      <c r="AE673" s="537"/>
      <c r="AF673" s="2446" t="s">
        <v>1352</v>
      </c>
      <c r="AG673" s="2446"/>
      <c r="AH673" s="2446"/>
      <c r="AI673" s="2446"/>
      <c r="AJ673" s="2446"/>
      <c r="AK673" s="2446"/>
      <c r="AL673" s="2446"/>
      <c r="AM673" s="597"/>
      <c r="AN673" s="598"/>
    </row>
    <row r="674" spans="1:42" s="551" customFormat="1" ht="12.75" customHeight="1">
      <c r="B674" s="537"/>
      <c r="C674" s="932"/>
      <c r="D674" s="664"/>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7"/>
      <c r="AE674" s="537"/>
      <c r="AF674" s="537"/>
      <c r="AG674" s="537"/>
      <c r="AH674" s="537"/>
      <c r="AI674" s="537"/>
      <c r="AJ674" s="537"/>
      <c r="AK674" s="537"/>
      <c r="AL674" s="537"/>
      <c r="AM674" s="597"/>
      <c r="AN674" s="598"/>
    </row>
    <row r="675" spans="1:42" s="551" customFormat="1" ht="12.75" customHeight="1">
      <c r="B675" s="537"/>
      <c r="C675" s="932"/>
      <c r="D675" s="664"/>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501" t="s">
        <v>1423</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7"/>
      <c r="AE677" s="537"/>
      <c r="AF677" s="2446" t="s">
        <v>1408</v>
      </c>
      <c r="AG677" s="2446"/>
      <c r="AH677" s="2446"/>
      <c r="AI677" s="2446"/>
      <c r="AJ677" s="2446"/>
      <c r="AK677" s="2446"/>
      <c r="AL677" s="2446"/>
      <c r="AM677" s="597"/>
      <c r="AN677" s="598"/>
    </row>
    <row r="678" spans="1:42" s="551" customFormat="1" ht="12.75" customHeight="1">
      <c r="A678" s="680"/>
      <c r="B678" s="537"/>
      <c r="C678" s="932"/>
      <c r="D678" s="664"/>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501" t="s">
        <v>1424</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7"/>
      <c r="AE681" s="537"/>
      <c r="AF681" s="2446" t="s">
        <v>1425</v>
      </c>
      <c r="AG681" s="2446"/>
      <c r="AH681" s="2446"/>
      <c r="AI681" s="2446"/>
      <c r="AJ681" s="2446"/>
      <c r="AK681" s="2446"/>
      <c r="AL681" s="2446"/>
      <c r="AM681" s="597"/>
      <c r="AN681" s="598"/>
      <c r="AO681" s="612" t="s">
        <v>687</v>
      </c>
      <c r="AP681" s="551">
        <v>3</v>
      </c>
    </row>
    <row r="682" spans="1:42" s="551" customFormat="1" ht="12.75" customHeight="1">
      <c r="A682" s="680"/>
      <c r="B682" s="537"/>
      <c r="C682" s="932"/>
      <c r="D682" s="664"/>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30" t="s">
        <v>687</v>
      </c>
      <c r="I685" s="2530"/>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81">
        <f>VLOOKUP($H$685,$AO$633:$AP$640,2,FALSE)</f>
        <v>5</v>
      </c>
      <c r="AK687" s="2483"/>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33</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65</v>
      </c>
    </row>
    <row r="691" spans="1:51" s="551" customFormat="1" ht="12.75" customHeight="1">
      <c r="A691" s="680"/>
      <c r="B691" s="537"/>
      <c r="C691" s="949"/>
      <c r="D691" s="664" t="s">
        <v>687</v>
      </c>
      <c r="E691" s="2537" t="s">
        <v>2191</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7"/>
      <c r="AD691" s="537"/>
      <c r="AE691" s="537"/>
      <c r="AF691" s="2446" t="s">
        <v>1352</v>
      </c>
      <c r="AG691" s="2446"/>
      <c r="AH691" s="2446"/>
      <c r="AI691" s="2446"/>
      <c r="AJ691" s="2446"/>
      <c r="AK691" s="2446"/>
      <c r="AL691" s="2446"/>
      <c r="AN691" s="598"/>
      <c r="AW691" s="22" t="s">
        <v>2186</v>
      </c>
      <c r="AX691" s="551">
        <f>Application!DE753</f>
        <v>17</v>
      </c>
    </row>
    <row r="692" spans="1:51" s="551" customFormat="1" ht="12.75" customHeight="1">
      <c r="A692" s="680"/>
      <c r="B692" s="537"/>
      <c r="C692" s="949"/>
      <c r="D692" s="664"/>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501" t="s">
        <v>2135</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7"/>
      <c r="AD694" s="537"/>
      <c r="AE694" s="537"/>
      <c r="AF694" s="2446" t="s">
        <v>1352</v>
      </c>
      <c r="AG694" s="2446"/>
      <c r="AH694" s="2446"/>
      <c r="AI694" s="2446"/>
      <c r="AJ694" s="2446"/>
      <c r="AK694" s="2446"/>
      <c r="AL694" s="2446"/>
      <c r="AN694" s="598"/>
      <c r="AW694" s="22" t="s">
        <v>2189</v>
      </c>
      <c r="AX694" s="551">
        <f>AX691+AX692+AX693</f>
        <v>17</v>
      </c>
    </row>
    <row r="695" spans="1:51" s="551" customFormat="1" ht="12.75" customHeight="1">
      <c r="B695" s="537"/>
      <c r="C695" s="941"/>
      <c r="D695" s="664"/>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7"/>
      <c r="AD695" s="537"/>
      <c r="AE695" s="617"/>
      <c r="AF695" s="537"/>
      <c r="AG695" s="537"/>
      <c r="AH695" s="537"/>
      <c r="AI695" s="537"/>
      <c r="AJ695" s="537"/>
      <c r="AK695" s="537"/>
      <c r="AL695" s="537"/>
      <c r="AN695" s="598"/>
      <c r="AO695" s="2536" t="b">
        <f>IF(Application!D211="Special Needs",IF(AY695&gt;=0.25,TRUE,FALSE),IF(AX695&gt;=0.25,TRUE,FALSE))</f>
        <v>1</v>
      </c>
      <c r="AP695" s="2536"/>
      <c r="AW695" s="22" t="s">
        <v>2190</v>
      </c>
      <c r="AX695" s="551">
        <f>IFERROR(AX694/AX690,0)</f>
        <v>0.26153846153846155</v>
      </c>
      <c r="AY695" s="551">
        <f>IFERROR(AX694/(AX690-AX689),0)</f>
        <v>0.53125</v>
      </c>
    </row>
    <row r="696" spans="1:51" s="551" customFormat="1" ht="12.75" customHeight="1">
      <c r="B696" s="537"/>
      <c r="C696" s="941"/>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7"/>
      <c r="AD696" s="537"/>
      <c r="AE696" s="617"/>
      <c r="AF696" s="617"/>
      <c r="AG696" s="617"/>
      <c r="AH696" s="617"/>
      <c r="AI696" s="617"/>
      <c r="AJ696" s="617"/>
      <c r="AK696" s="617"/>
      <c r="AL696" s="617"/>
      <c r="AN696" s="598"/>
      <c r="AW696" s="14"/>
    </row>
    <row r="697" spans="1:51" s="551" customFormat="1" ht="28.5" customHeight="1">
      <c r="B697" s="537"/>
      <c r="C697" s="941"/>
      <c r="D697" s="537"/>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501" t="s">
        <v>2136</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7"/>
      <c r="AD699" s="537"/>
      <c r="AE699" s="537"/>
      <c r="AF699" s="2446" t="s">
        <v>1408</v>
      </c>
      <c r="AG699" s="2446"/>
      <c r="AH699" s="2446"/>
      <c r="AI699" s="2446"/>
      <c r="AJ699" s="2446"/>
      <c r="AK699" s="2446"/>
      <c r="AL699" s="2446"/>
      <c r="AN699" s="598"/>
      <c r="AO699" s="612" t="s">
        <v>509</v>
      </c>
      <c r="AP699" s="551">
        <v>1</v>
      </c>
    </row>
    <row r="700" spans="1:51" s="551" customFormat="1" ht="12" customHeight="1">
      <c r="B700" s="537"/>
      <c r="C700" s="932"/>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7"/>
      <c r="AD700" s="537"/>
      <c r="AE700" s="617"/>
      <c r="AF700" s="537"/>
      <c r="AG700" s="537"/>
      <c r="AH700" s="537"/>
      <c r="AI700" s="537"/>
      <c r="AJ700" s="537"/>
      <c r="AK700" s="537"/>
      <c r="AL700" s="537"/>
      <c r="AN700" s="598"/>
    </row>
    <row r="701" spans="1:51" s="551" customFormat="1" ht="12" customHeight="1">
      <c r="B701" s="537"/>
      <c r="C701" s="932"/>
      <c r="D701" s="537"/>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7"/>
      <c r="AD701" s="537"/>
      <c r="AE701" s="617"/>
      <c r="AF701" s="537"/>
      <c r="AG701" s="537"/>
      <c r="AH701" s="537"/>
      <c r="AI701" s="537"/>
      <c r="AJ701" s="537"/>
      <c r="AK701" s="537"/>
      <c r="AL701" s="537"/>
      <c r="AN701" s="598"/>
    </row>
    <row r="702" spans="1:51" s="551" customFormat="1" ht="12" customHeight="1">
      <c r="B702" s="537"/>
      <c r="C702" s="932"/>
      <c r="D702" s="537"/>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7"/>
      <c r="AD702" s="537"/>
      <c r="AE702" s="617"/>
      <c r="AF702" s="537"/>
      <c r="AG702" s="537"/>
      <c r="AH702" s="537"/>
      <c r="AI702" s="537"/>
      <c r="AJ702" s="537"/>
      <c r="AK702" s="537"/>
      <c r="AL702" s="537"/>
      <c r="AN702" s="598"/>
    </row>
    <row r="703" spans="1:51" s="571" customFormat="1" ht="12.95" customHeight="1">
      <c r="A703" s="551"/>
      <c r="B703" s="537"/>
      <c r="C703" s="932"/>
      <c r="D703" s="537"/>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01" t="s">
        <v>1693</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30" t="s">
        <v>509</v>
      </c>
      <c r="I709" s="2530"/>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81">
        <f>VLOOKUP($H$709,$AO$703:$AP$706,2,FALSE)</f>
        <v>3</v>
      </c>
      <c r="AK711" s="2483"/>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8" t="s">
        <v>1695</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7"/>
      <c r="AD715" s="537"/>
      <c r="AE715" s="537"/>
      <c r="AF715" s="2446" t="s">
        <v>1352</v>
      </c>
      <c r="AG715" s="2446"/>
      <c r="AH715" s="2446"/>
      <c r="AI715" s="2446"/>
      <c r="AJ715" s="2446"/>
      <c r="AK715" s="2446"/>
      <c r="AL715" s="2446"/>
      <c r="AM715" s="551"/>
      <c r="AN715" s="685"/>
      <c r="AP715" s="571" t="s">
        <v>1432</v>
      </c>
    </row>
    <row r="716" spans="1:43" s="571" customFormat="1" ht="11.85" customHeight="1">
      <c r="A716" s="551"/>
      <c r="B716" s="537"/>
      <c r="C716" s="934"/>
      <c r="D716" s="664"/>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7"/>
      <c r="AD716" s="537"/>
      <c r="AE716" s="537"/>
      <c r="AF716" s="537"/>
      <c r="AG716" s="537"/>
      <c r="AH716" s="537"/>
      <c r="AI716" s="537"/>
      <c r="AJ716" s="537"/>
      <c r="AK716" s="537"/>
      <c r="AL716" s="537"/>
      <c r="AM716" s="551"/>
      <c r="AN716" s="685"/>
      <c r="AP716" s="571" t="s">
        <v>1433</v>
      </c>
    </row>
    <row r="717" spans="1:43" s="571" customFormat="1" ht="14.1" customHeight="1">
      <c r="A717" s="551"/>
      <c r="B717" s="611"/>
      <c r="C717" s="932"/>
      <c r="D717" s="664"/>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7"/>
      <c r="AD717" s="537"/>
      <c r="AE717" s="617"/>
      <c r="AF717" s="537"/>
      <c r="AG717" s="537"/>
      <c r="AH717" s="537"/>
      <c r="AI717" s="537"/>
      <c r="AJ717" s="537"/>
      <c r="AK717" s="537"/>
      <c r="AL717" s="537"/>
      <c r="AM717" s="551"/>
      <c r="AN717" s="685"/>
      <c r="AP717" s="571" t="s">
        <v>1434</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 customHeight="1">
      <c r="A719" s="551"/>
      <c r="B719" s="537"/>
      <c r="C719" s="932"/>
      <c r="D719" s="664" t="s">
        <v>509</v>
      </c>
      <c r="E719" s="2539" t="s">
        <v>1435</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7"/>
      <c r="AD719" s="537"/>
      <c r="AE719" s="537"/>
      <c r="AF719" s="2446" t="s">
        <v>1408</v>
      </c>
      <c r="AG719" s="2446"/>
      <c r="AH719" s="2446"/>
      <c r="AI719" s="2446"/>
      <c r="AJ719" s="2446"/>
      <c r="AK719" s="2446"/>
      <c r="AL719" s="2446"/>
      <c r="AM719" s="551"/>
      <c r="AN719" s="686"/>
    </row>
    <row r="720" spans="1:43" s="571" customFormat="1" ht="12.75" customHeight="1">
      <c r="A720" s="551"/>
      <c r="B720" s="537"/>
      <c r="C720" s="934"/>
      <c r="D720" s="537"/>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7"/>
      <c r="AD720" s="537"/>
      <c r="AE720" s="537"/>
      <c r="AF720" s="537"/>
      <c r="AG720" s="537"/>
      <c r="AH720" s="537"/>
      <c r="AI720" s="537"/>
      <c r="AJ720" s="537"/>
      <c r="AK720" s="537"/>
      <c r="AL720" s="537"/>
      <c r="AM720" s="551"/>
      <c r="AN720" s="685"/>
      <c r="AP720" s="551" t="s">
        <v>591</v>
      </c>
      <c r="AQ720" s="674">
        <v>0</v>
      </c>
    </row>
    <row r="721" spans="1:81" s="571" customFormat="1" ht="14.1" customHeight="1">
      <c r="A721" s="551"/>
      <c r="B721" s="537"/>
      <c r="C721" s="934"/>
      <c r="D721" s="537"/>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7"/>
      <c r="AD721" s="537"/>
      <c r="AE721" s="537"/>
      <c r="AF721" s="537"/>
      <c r="AG721" s="537"/>
      <c r="AH721" s="537"/>
      <c r="AI721" s="537"/>
      <c r="AJ721" s="537"/>
      <c r="AK721" s="537"/>
      <c r="AL721" s="537"/>
      <c r="AM721" s="551"/>
      <c r="AN721" s="685"/>
      <c r="AP721" s="612" t="s">
        <v>687</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 customHeight="1">
      <c r="A723" s="551"/>
      <c r="B723" s="537"/>
      <c r="C723" s="934"/>
      <c r="D723" s="537" t="s">
        <v>1400</v>
      </c>
      <c r="E723" s="937"/>
      <c r="F723" s="937"/>
      <c r="G723" s="937"/>
      <c r="H723" s="2530" t="s">
        <v>591</v>
      </c>
      <c r="I723" s="2530"/>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81">
        <f>VLOOKUP($H$723,$AP$720:$AQ$722,2,FALSE)</f>
        <v>0</v>
      </c>
      <c r="AK725" s="2483"/>
      <c r="AL725" s="596"/>
      <c r="AM725" s="551"/>
      <c r="AN725" s="685"/>
      <c r="AP725" s="2481"/>
      <c r="AQ725" s="2483"/>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501" t="s">
        <v>1696</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7"/>
      <c r="AD729" s="537"/>
      <c r="AE729" s="537"/>
      <c r="AF729" s="2446" t="s">
        <v>1352</v>
      </c>
      <c r="AG729" s="2446"/>
      <c r="AH729" s="2446"/>
      <c r="AI729" s="2446"/>
      <c r="AJ729" s="2446"/>
      <c r="AK729" s="2446"/>
      <c r="AL729" s="2446"/>
      <c r="AM729" s="551"/>
      <c r="AN729" s="685"/>
      <c r="AT729" s="14"/>
      <c r="AU729" s="14"/>
      <c r="AV729" s="14"/>
      <c r="AW729" s="14"/>
      <c r="AX729" s="14"/>
      <c r="AY729" s="14"/>
      <c r="AZ729" s="14"/>
    </row>
    <row r="730" spans="1:81" s="571" customFormat="1">
      <c r="A730" s="551"/>
      <c r="B730" s="537"/>
      <c r="C730" s="934"/>
      <c r="D730" s="664"/>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01" t="s">
        <v>1439</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7"/>
      <c r="AD732" s="537"/>
      <c r="AE732" s="537"/>
      <c r="AF732" s="2446" t="s">
        <v>1408</v>
      </c>
      <c r="AG732" s="2446"/>
      <c r="AH732" s="2446"/>
      <c r="AI732" s="2446"/>
      <c r="AJ732" s="2446"/>
      <c r="AK732" s="2446"/>
      <c r="AL732" s="2446"/>
      <c r="AM732" s="551"/>
      <c r="AN732" s="685"/>
      <c r="AT732" s="14"/>
      <c r="AU732" s="14"/>
      <c r="AV732" s="14"/>
      <c r="AW732" s="14"/>
      <c r="AX732" s="14"/>
      <c r="AY732" s="14"/>
      <c r="AZ732" s="14"/>
    </row>
    <row r="733" spans="1:81" s="571" customFormat="1">
      <c r="A733" s="551"/>
      <c r="B733" s="537"/>
      <c r="C733" s="934"/>
      <c r="D733" s="537"/>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30" t="s">
        <v>591</v>
      </c>
      <c r="I735" s="2530"/>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81">
        <f>VLOOKUP($H$735,$AO$666:$AP$668,2,FALSE)</f>
        <v>0</v>
      </c>
      <c r="AK737" s="2483"/>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501" t="s">
        <v>1442</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7"/>
      <c r="AD741" s="537"/>
      <c r="AE741" s="537"/>
      <c r="AF741" s="2446" t="s">
        <v>1352</v>
      </c>
      <c r="AG741" s="2446"/>
      <c r="AH741" s="2446"/>
      <c r="AI741" s="2446"/>
      <c r="AJ741" s="2446"/>
      <c r="AK741" s="2446"/>
      <c r="AL741" s="2446"/>
      <c r="AM741" s="551"/>
      <c r="AN741" s="685"/>
      <c r="AT741" s="14"/>
      <c r="AU741" s="14"/>
      <c r="AV741" s="14"/>
      <c r="AW741" s="14"/>
      <c r="AX741" s="14"/>
      <c r="AY741" s="14"/>
      <c r="AZ741" s="14"/>
    </row>
    <row r="742" spans="1:81" s="571" customFormat="1">
      <c r="A742" s="551"/>
      <c r="B742" s="537"/>
      <c r="C742" s="932"/>
      <c r="D742" s="664"/>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501" t="s">
        <v>1443</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6"/>
      <c r="AC746" s="537"/>
      <c r="AD746" s="537"/>
      <c r="AE746" s="537"/>
      <c r="AF746" s="2446" t="s">
        <v>1408</v>
      </c>
      <c r="AG746" s="2446"/>
      <c r="AH746" s="2446"/>
      <c r="AI746" s="2446"/>
      <c r="AJ746" s="2446"/>
      <c r="AK746" s="2446"/>
      <c r="AL746" s="2446"/>
      <c r="AM746" s="551"/>
      <c r="AN746" s="685"/>
      <c r="AO746" s="30"/>
      <c r="AP746" s="14"/>
    </row>
    <row r="747" spans="1:81" s="571" customFormat="1">
      <c r="A747" s="551"/>
      <c r="B747" s="537"/>
      <c r="C747" s="932"/>
      <c r="D747" s="664"/>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30" t="s">
        <v>591</v>
      </c>
      <c r="I751" s="2530"/>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81">
        <f>VLOOKUP($H$751,$AO$680:$AP$682,2,FALSE)</f>
        <v>0</v>
      </c>
      <c r="AK753" s="2483"/>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501" t="s">
        <v>1445</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7"/>
      <c r="AD757" s="537"/>
      <c r="AE757" s="537"/>
      <c r="AF757" s="2446" t="s">
        <v>1408</v>
      </c>
      <c r="AG757" s="2446"/>
      <c r="AH757" s="2446"/>
      <c r="AI757" s="2446"/>
      <c r="AJ757" s="2446"/>
      <c r="AK757" s="2446"/>
      <c r="AL757" s="2446"/>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501" t="s">
        <v>1446</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7"/>
      <c r="AD760" s="537"/>
      <c r="AE760" s="537"/>
      <c r="AF760" s="2446" t="s">
        <v>1425</v>
      </c>
      <c r="AG760" s="2446"/>
      <c r="AH760" s="2446"/>
      <c r="AI760" s="2446"/>
      <c r="AJ760" s="2446"/>
      <c r="AK760" s="2446"/>
      <c r="AL760" s="2446"/>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30" t="s">
        <v>509</v>
      </c>
      <c r="I763" s="2530"/>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81">
        <f>VLOOKUP($H$763,$AO$697:$AP$699,2,FALSE)</f>
        <v>1</v>
      </c>
      <c r="AK765" s="2483"/>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501" t="s">
        <v>1692</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7"/>
      <c r="AF769" s="2446" t="s">
        <v>1408</v>
      </c>
      <c r="AG769" s="2446"/>
      <c r="AH769" s="2446"/>
      <c r="AI769" s="2446"/>
      <c r="AJ769" s="2446"/>
      <c r="AK769" s="2446"/>
      <c r="AL769" s="2446"/>
      <c r="AM769" s="614"/>
      <c r="AN769" s="685"/>
      <c r="AO769" s="551" t="s">
        <v>591</v>
      </c>
      <c r="AP769" s="674">
        <v>0</v>
      </c>
    </row>
    <row r="770" spans="1:81" s="571" customFormat="1" ht="13.7" customHeight="1">
      <c r="A770" s="551"/>
      <c r="B770" s="617"/>
      <c r="C770" s="941"/>
      <c r="D770" s="664"/>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40" t="s">
        <v>1697</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7"/>
      <c r="AF774" s="2446" t="s">
        <v>1352</v>
      </c>
      <c r="AG774" s="2446"/>
      <c r="AH774" s="2446"/>
      <c r="AI774" s="2446"/>
      <c r="AJ774" s="2446"/>
      <c r="AK774" s="2446"/>
      <c r="AL774" s="2446"/>
      <c r="AM774" s="614"/>
      <c r="AN774" s="598"/>
    </row>
    <row r="775" spans="1:81" s="551" customFormat="1" ht="12.75" customHeight="1">
      <c r="B775" s="617"/>
      <c r="C775" s="941"/>
      <c r="D775" s="664"/>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5"/>
      <c r="AF775" s="595"/>
      <c r="AG775" s="595"/>
      <c r="AH775" s="595"/>
      <c r="AI775" s="595"/>
      <c r="AJ775" s="595"/>
      <c r="AK775" s="595"/>
      <c r="AL775" s="595"/>
      <c r="AM775" s="614"/>
      <c r="AN775" s="598"/>
    </row>
    <row r="776" spans="1:81" s="551" customFormat="1" ht="12.75" customHeight="1">
      <c r="B776" s="617"/>
      <c r="C776" s="941"/>
      <c r="D776" s="664"/>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5"/>
      <c r="AF776" s="595"/>
      <c r="AG776" s="595"/>
      <c r="AH776" s="595"/>
      <c r="AI776" s="595"/>
      <c r="AJ776" s="595"/>
      <c r="AK776" s="595"/>
      <c r="AL776" s="595"/>
      <c r="AM776" s="614"/>
      <c r="AN776" s="598"/>
    </row>
    <row r="777" spans="1:81" s="551" customFormat="1" ht="12.75" customHeight="1">
      <c r="B777" s="617"/>
      <c r="C777" s="941"/>
      <c r="D777" s="664"/>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30" t="s">
        <v>591</v>
      </c>
      <c r="I779" s="2530"/>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81">
        <f>VLOOKUP($H$779,$AO$769:$AP$771,2,FALSE)</f>
        <v>0</v>
      </c>
      <c r="AK781" s="2483"/>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501" t="s">
        <v>2034</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7"/>
      <c r="AF785" s="2446" t="s">
        <v>1352</v>
      </c>
      <c r="AG785" s="2446"/>
      <c r="AH785" s="2446"/>
      <c r="AI785" s="2446"/>
      <c r="AJ785" s="2446"/>
      <c r="AK785" s="2446"/>
      <c r="AL785" s="2446"/>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530" t="s">
        <v>591</v>
      </c>
      <c r="I790" s="2530"/>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81">
        <f>VLOOKUP($H$790,$AO$784:$AP$785,2,FALSE)</f>
        <v>0</v>
      </c>
      <c r="AK792" s="2483"/>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81">
        <f>IF(($AJ$621+$AJ$640+$AJ$652+$AJ$687+$AJ$711+$AJ$725+$AJ$737+$AJ$753+$AJ$765+$AJ$781+AJ792)&gt;10,10,($AJ$621+$AJ$640+$AJ$652+$AJ$687+$AJ$711+$AJ$725+$AJ$737+$AJ$753+$AJ$765+$AJ$781+AJ792))</f>
        <v>10</v>
      </c>
      <c r="AL794" s="2482"/>
      <c r="AM794" s="2483"/>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4" t="s">
        <v>1568</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7"/>
      <c r="AQ800" s="817"/>
    </row>
    <row r="801" spans="1:81">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7" t="s">
        <v>1569</v>
      </c>
      <c r="U802" s="2578"/>
      <c r="V802" s="2578"/>
      <c r="W802" s="2578"/>
      <c r="X802" s="2578"/>
      <c r="Y802" s="2579"/>
      <c r="Z802" s="2577" t="s">
        <v>1570</v>
      </c>
      <c r="AA802" s="2578"/>
      <c r="AB802" s="2578"/>
      <c r="AC802" s="2578"/>
      <c r="AD802" s="2578"/>
      <c r="AE802" s="2579"/>
      <c r="AF802" s="2577" t="s">
        <v>1571</v>
      </c>
      <c r="AG802" s="2578"/>
      <c r="AH802" s="2578"/>
      <c r="AI802" s="2578"/>
      <c r="AJ802" s="2578"/>
      <c r="AK802" s="2579"/>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80"/>
      <c r="U803" s="2581"/>
      <c r="V803" s="2581"/>
      <c r="W803" s="2581"/>
      <c r="X803" s="2581"/>
      <c r="Y803" s="2582"/>
      <c r="Z803" s="2580"/>
      <c r="AA803" s="2581"/>
      <c r="AB803" s="2581"/>
      <c r="AC803" s="2581"/>
      <c r="AD803" s="2581"/>
      <c r="AE803" s="2582"/>
      <c r="AF803" s="2580"/>
      <c r="AG803" s="2581"/>
      <c r="AH803" s="2581"/>
      <c r="AI803" s="2581"/>
      <c r="AJ803" s="2581"/>
      <c r="AK803" s="2582"/>
      <c r="AL803" s="819"/>
      <c r="AM803" s="597"/>
      <c r="AO803" s="817"/>
      <c r="AP803" s="817"/>
      <c r="AQ803" s="817"/>
    </row>
    <row r="804" spans="1:81">
      <c r="A804" s="820" t="s">
        <v>757</v>
      </c>
      <c r="B804" s="2557" t="s">
        <v>1304</v>
      </c>
      <c r="C804" s="2557"/>
      <c r="D804" s="2557"/>
      <c r="E804" s="2557"/>
      <c r="F804" s="2557"/>
      <c r="G804" s="2557"/>
      <c r="H804" s="2557"/>
      <c r="I804" s="2557"/>
      <c r="J804" s="2557"/>
      <c r="K804" s="2557"/>
      <c r="L804" s="2557"/>
      <c r="M804" s="2557"/>
      <c r="N804" s="2557"/>
      <c r="O804" s="2557"/>
      <c r="P804" s="2557"/>
      <c r="Q804" s="2557"/>
      <c r="R804" s="2557"/>
      <c r="S804" s="2558"/>
      <c r="T804" s="2559">
        <f>AK62</f>
        <v>0</v>
      </c>
      <c r="U804" s="2560"/>
      <c r="V804" s="2560"/>
      <c r="W804" s="2560"/>
      <c r="X804" s="2560"/>
      <c r="Y804" s="2561"/>
      <c r="Z804" s="2562">
        <v>20</v>
      </c>
      <c r="AA804" s="2560"/>
      <c r="AB804" s="2560"/>
      <c r="AC804" s="2560"/>
      <c r="AD804" s="2560"/>
      <c r="AE804" s="2561"/>
      <c r="AF804" s="2543">
        <f>IF(T804&gt;Z804,Z804,T804)</f>
        <v>0</v>
      </c>
      <c r="AG804" s="2543"/>
      <c r="AH804" s="2543"/>
      <c r="AI804" s="2543"/>
      <c r="AJ804" s="2543"/>
      <c r="AK804" s="2543"/>
      <c r="AL804" s="819"/>
      <c r="AM804" s="597"/>
      <c r="AO804" s="817"/>
      <c r="AP804" s="817"/>
      <c r="AQ804" s="817"/>
    </row>
    <row r="805" spans="1:81">
      <c r="A805" s="820" t="s">
        <v>1541</v>
      </c>
      <c r="B805" s="2557" t="s">
        <v>1313</v>
      </c>
      <c r="C805" s="2557"/>
      <c r="D805" s="2557"/>
      <c r="E805" s="2557"/>
      <c r="F805" s="2557"/>
      <c r="G805" s="2557"/>
      <c r="H805" s="2557"/>
      <c r="I805" s="2557"/>
      <c r="J805" s="2557"/>
      <c r="K805" s="2557"/>
      <c r="L805" s="2557"/>
      <c r="M805" s="2557"/>
      <c r="N805" s="2557"/>
      <c r="O805" s="2557"/>
      <c r="P805" s="2557"/>
      <c r="Q805" s="2557"/>
      <c r="R805" s="2557"/>
      <c r="S805" s="2558"/>
      <c r="T805" s="2559">
        <f>AK84</f>
        <v>10</v>
      </c>
      <c r="U805" s="2560"/>
      <c r="V805" s="2560"/>
      <c r="W805" s="2560"/>
      <c r="X805" s="2560"/>
      <c r="Y805" s="2561"/>
      <c r="Z805" s="2562">
        <v>10</v>
      </c>
      <c r="AA805" s="2560"/>
      <c r="AB805" s="2560"/>
      <c r="AC805" s="2560"/>
      <c r="AD805" s="2560"/>
      <c r="AE805" s="2561"/>
      <c r="AF805" s="2543">
        <f>IF(T805&gt;Z805,Z805,T805)</f>
        <v>10</v>
      </c>
      <c r="AG805" s="2543"/>
      <c r="AH805" s="2543"/>
      <c r="AI805" s="2543"/>
      <c r="AJ805" s="2543"/>
      <c r="AK805" s="2543"/>
      <c r="AL805" s="819"/>
      <c r="AM805" s="597"/>
      <c r="AO805" s="817"/>
      <c r="AP805" s="817"/>
      <c r="AQ805" s="817"/>
    </row>
    <row r="806" spans="1:81">
      <c r="A806" s="820" t="s">
        <v>1550</v>
      </c>
      <c r="B806" s="2557" t="s">
        <v>1323</v>
      </c>
      <c r="C806" s="2557"/>
      <c r="D806" s="2557"/>
      <c r="E806" s="2557"/>
      <c r="F806" s="2557"/>
      <c r="G806" s="2557"/>
      <c r="H806" s="2557"/>
      <c r="I806" s="2557"/>
      <c r="J806" s="2557"/>
      <c r="K806" s="2557"/>
      <c r="L806" s="2557"/>
      <c r="M806" s="2557"/>
      <c r="N806" s="2557"/>
      <c r="O806" s="2557"/>
      <c r="P806" s="2557"/>
      <c r="Q806" s="2557"/>
      <c r="R806" s="2557"/>
      <c r="S806" s="2558"/>
      <c r="T806" s="2559">
        <f>AK109</f>
        <v>20</v>
      </c>
      <c r="U806" s="2560"/>
      <c r="V806" s="2560"/>
      <c r="W806" s="2560"/>
      <c r="X806" s="2560"/>
      <c r="Y806" s="2561"/>
      <c r="Z806" s="2562">
        <v>20</v>
      </c>
      <c r="AA806" s="2560"/>
      <c r="AB806" s="2560"/>
      <c r="AC806" s="2560"/>
      <c r="AD806" s="2560"/>
      <c r="AE806" s="2561"/>
      <c r="AF806" s="2543">
        <f>IF(T806&gt;Z806,Z806,T806)</f>
        <v>20</v>
      </c>
      <c r="AG806" s="2543"/>
      <c r="AH806" s="2543"/>
      <c r="AI806" s="2543"/>
      <c r="AJ806" s="2543"/>
      <c r="AK806" s="2543"/>
      <c r="AL806" s="819"/>
      <c r="AM806" s="597"/>
      <c r="AO806" s="817"/>
      <c r="AP806" s="817"/>
      <c r="AQ806" s="817"/>
    </row>
    <row r="807" spans="1:81">
      <c r="A807" s="820" t="s">
        <v>1572</v>
      </c>
      <c r="B807" s="2557" t="s">
        <v>1333</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9"/>
      <c r="AM807" s="597"/>
      <c r="AO807" s="817"/>
      <c r="AP807" s="817"/>
      <c r="AQ807" s="817"/>
    </row>
    <row r="808" spans="1:81">
      <c r="A808" s="821" t="s">
        <v>1573</v>
      </c>
      <c r="B808" s="2557" t="s">
        <v>1574</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9"/>
      <c r="AM808" s="597"/>
    </row>
    <row r="809" spans="1:81">
      <c r="A809" s="536"/>
      <c r="B809" s="602"/>
      <c r="C809" s="2584" t="s">
        <v>1575</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9"/>
      <c r="AM809" s="597"/>
    </row>
    <row r="810" spans="1:81">
      <c r="A810" s="601"/>
      <c r="B810" s="602"/>
      <c r="C810" s="2584" t="s">
        <v>1576</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9"/>
      <c r="AM810" s="597"/>
      <c r="AO810" s="551"/>
    </row>
    <row r="811" spans="1:81">
      <c r="A811" s="821" t="s">
        <v>1361</v>
      </c>
      <c r="B811" s="2557" t="s">
        <v>1577</v>
      </c>
      <c r="C811" s="2557"/>
      <c r="D811" s="2557"/>
      <c r="E811" s="2557"/>
      <c r="F811" s="2557"/>
      <c r="G811" s="2557"/>
      <c r="H811" s="2557"/>
      <c r="I811" s="2557"/>
      <c r="J811" s="2557"/>
      <c r="K811" s="2557"/>
      <c r="L811" s="2557"/>
      <c r="M811" s="2557"/>
      <c r="N811" s="2557"/>
      <c r="O811" s="2557"/>
      <c r="P811" s="2557"/>
      <c r="Q811" s="2557"/>
      <c r="R811" s="2557"/>
      <c r="S811" s="2558"/>
      <c r="T811" s="2583">
        <f>AK191</f>
        <v>10</v>
      </c>
      <c r="U811" s="2583"/>
      <c r="V811" s="2583"/>
      <c r="W811" s="2583"/>
      <c r="X811" s="2583"/>
      <c r="Y811" s="2583"/>
      <c r="Z811" s="2543">
        <v>10</v>
      </c>
      <c r="AA811" s="2543"/>
      <c r="AB811" s="2543"/>
      <c r="AC811" s="2543"/>
      <c r="AD811" s="2543"/>
      <c r="AE811" s="2543"/>
      <c r="AF811" s="2543">
        <f>IF(T811&gt;Z811,Z811,T811)</f>
        <v>10</v>
      </c>
      <c r="AG811" s="2543"/>
      <c r="AH811" s="2543"/>
      <c r="AI811" s="2543"/>
      <c r="AJ811" s="2543"/>
      <c r="AK811" s="2543"/>
      <c r="AL811" s="819"/>
      <c r="AM811" s="597"/>
    </row>
    <row r="812" spans="1:81">
      <c r="A812" s="820" t="s">
        <v>1370</v>
      </c>
      <c r="B812" s="2557" t="s">
        <v>1371</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9"/>
      <c r="AM812" s="597"/>
    </row>
    <row r="813" spans="1:81" s="535" customFormat="1" hidden="1">
      <c r="A813" s="821" t="s">
        <v>589</v>
      </c>
      <c r="B813" s="2557" t="s">
        <v>1578</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557" t="s">
        <v>1579</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557" t="s">
        <v>1381</v>
      </c>
      <c r="C815" s="2557"/>
      <c r="D815" s="2557"/>
      <c r="E815" s="2557"/>
      <c r="F815" s="2557"/>
      <c r="G815" s="2557"/>
      <c r="H815" s="2557"/>
      <c r="I815" s="2557"/>
      <c r="J815" s="2557"/>
      <c r="K815" s="2557"/>
      <c r="L815" s="2557"/>
      <c r="M815" s="2557"/>
      <c r="N815" s="2557"/>
      <c r="O815" s="2557"/>
      <c r="P815" s="2557"/>
      <c r="Q815" s="2557"/>
      <c r="R815" s="2557"/>
      <c r="S815" s="2558"/>
      <c r="T815" s="2583">
        <f>AK338</f>
        <v>9</v>
      </c>
      <c r="U815" s="2583"/>
      <c r="V815" s="2583"/>
      <c r="W815" s="2583"/>
      <c r="X815" s="2583"/>
      <c r="Y815" s="2583"/>
      <c r="Z815" s="2589">
        <v>10</v>
      </c>
      <c r="AA815" s="2590"/>
      <c r="AB815" s="2590"/>
      <c r="AC815" s="2590"/>
      <c r="AD815" s="2590"/>
      <c r="AE815" s="2591"/>
      <c r="AF815" s="2589">
        <f>IF(T815&gt;Z815,Z815,T815)</f>
        <v>9</v>
      </c>
      <c r="AG815" s="2590"/>
      <c r="AH815" s="2590"/>
      <c r="AI815" s="2590"/>
      <c r="AJ815" s="2590"/>
      <c r="AK815" s="2591"/>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6">
        <f>AK338</f>
        <v>9</v>
      </c>
      <c r="U816" s="2476"/>
      <c r="V816" s="2476"/>
      <c r="W816" s="2476"/>
      <c r="X816" s="2476"/>
      <c r="Y816" s="2476"/>
      <c r="Z816" s="2481">
        <v>20</v>
      </c>
      <c r="AA816" s="2482"/>
      <c r="AB816" s="2482"/>
      <c r="AC816" s="2482"/>
      <c r="AD816" s="2482"/>
      <c r="AE816" s="2483"/>
      <c r="AF816" s="2586"/>
      <c r="AG816" s="2586"/>
      <c r="AH816" s="2586"/>
      <c r="AI816" s="2586"/>
      <c r="AJ816" s="2586"/>
      <c r="AK816" s="2586"/>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557" t="s">
        <v>845</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557" t="s">
        <v>1559</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557" t="s">
        <v>1581</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7" t="s">
        <v>1582</v>
      </c>
      <c r="B820" s="2557"/>
      <c r="C820" s="2557"/>
      <c r="D820" s="2557"/>
      <c r="E820" s="2557"/>
      <c r="F820" s="2557"/>
      <c r="G820" s="2557"/>
      <c r="H820" s="2557"/>
      <c r="I820" s="2557"/>
      <c r="J820" s="2557"/>
      <c r="K820" s="2557"/>
      <c r="L820" s="2557"/>
      <c r="M820" s="2557"/>
      <c r="N820" s="2557"/>
      <c r="O820" s="2557"/>
      <c r="P820" s="2557"/>
      <c r="Q820" s="2557"/>
      <c r="R820" s="2557"/>
      <c r="S820" s="2558"/>
      <c r="T820" s="2588"/>
      <c r="U820" s="2588"/>
      <c r="V820" s="2588"/>
      <c r="W820" s="2588"/>
      <c r="X820" s="2588"/>
      <c r="Y820" s="2588"/>
      <c r="Z820" s="2477" t="s">
        <v>1583</v>
      </c>
      <c r="AA820" s="2477"/>
      <c r="AB820" s="2477"/>
      <c r="AC820" s="2477"/>
      <c r="AD820" s="2477"/>
      <c r="AE820" s="2477"/>
      <c r="AF820" s="2589">
        <f>IF(T820&gt;0,T820,0)</f>
        <v>0</v>
      </c>
      <c r="AG820" s="2590"/>
      <c r="AH820" s="2590"/>
      <c r="AI820" s="2590"/>
      <c r="AJ820" s="2590"/>
      <c r="AK820" s="2591"/>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92" t="s">
        <v>1584</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SUM(AF804:AK819)-AF820</f>
        <v>119</v>
      </c>
      <c r="AG821" s="2599"/>
      <c r="AH821" s="2599"/>
      <c r="AI821" s="2599"/>
      <c r="AJ821" s="2599"/>
      <c r="AK821" s="2600"/>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LyAr9ZYJNXtdUtv+Bqaju4T8BNd2RJYdn/Odheh0mR5oxjlElShRCt7HVqzB6spy5a1kE3ZwklCzfxQiXdxkA==" saltValue="bjmnFhHVcNAF4Jr8VS8P7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2025-01-23T21:37:07Z</cp:lastPrinted>
  <dcterms:created xsi:type="dcterms:W3CDTF">2007-12-27T18:26:28Z</dcterms:created>
  <dcterms:modified xsi:type="dcterms:W3CDTF">2025-02-01T00:19:29Z</dcterms:modified>
</cp:coreProperties>
</file>