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9 The Refuge\"/>
    </mc:Choice>
  </mc:AlternateContent>
  <xr:revisionPtr revIDLastSave="0" documentId="13_ncr:1_{1BE66A8D-387A-42AE-953E-B491034BFCC4}" xr6:coauthVersionLast="47" xr6:coauthVersionMax="47" xr10:uidLastSave="{00000000-0000-0000-0000-000000000000}"/>
  <bookViews>
    <workbookView xWindow="-120" yWindow="-120" windowWidth="29040" windowHeight="15840" tabRatio="888"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29" i="4"/>
  <c r="C45" i="4"/>
  <c r="C80" i="4"/>
  <c r="O523" i="3" l="1"/>
  <c r="O520" i="3"/>
  <c r="Q391" i="3"/>
  <c r="AM554" i="3" l="1"/>
  <c r="B200" i="20"/>
  <c r="B199" i="20"/>
  <c r="AA948" i="3"/>
  <c r="W866" i="3"/>
  <c r="Z581" i="3"/>
  <c r="Z580" i="3"/>
  <c r="E80" i="4" l="1"/>
  <c r="E79" i="4"/>
  <c r="E95" i="4"/>
  <c r="E94" i="4"/>
  <c r="E93" i="4"/>
  <c r="E92" i="4"/>
  <c r="E91" i="4"/>
  <c r="E90" i="4"/>
  <c r="E89" i="4"/>
  <c r="E88" i="4"/>
  <c r="E87" i="4"/>
  <c r="E86" i="4"/>
  <c r="E85" i="4"/>
  <c r="E84" i="4"/>
  <c r="E103" i="4"/>
  <c r="E102" i="4"/>
  <c r="E101" i="4"/>
  <c r="E100" i="4"/>
  <c r="E41" i="4"/>
  <c r="E40" i="4"/>
  <c r="E43" i="4"/>
  <c r="E53" i="4"/>
  <c r="E52" i="4"/>
  <c r="E51" i="4"/>
  <c r="E50" i="4"/>
  <c r="E49" i="4"/>
  <c r="E48" i="4"/>
  <c r="E47" i="4"/>
  <c r="E46" i="4"/>
  <c r="E61" i="4"/>
  <c r="E60" i="4"/>
  <c r="E59" i="4"/>
  <c r="E58" i="4"/>
  <c r="E57" i="4"/>
  <c r="E56" i="4"/>
  <c r="E69" i="4"/>
  <c r="E68" i="4"/>
  <c r="E67" i="4"/>
  <c r="E66" i="4"/>
  <c r="E65" i="4"/>
  <c r="E75" i="4"/>
  <c r="E74" i="4"/>
  <c r="E73" i="4"/>
  <c r="E72" i="4"/>
  <c r="E7" i="4"/>
  <c r="E6" i="4"/>
  <c r="E5" i="4"/>
  <c r="E10" i="4"/>
  <c r="E9" i="4"/>
  <c r="E15" i="4"/>
  <c r="E14" i="4"/>
  <c r="E13" i="4"/>
  <c r="E25" i="4"/>
  <c r="E24" i="4"/>
  <c r="E23" i="4"/>
  <c r="E22" i="4"/>
  <c r="E21" i="4"/>
  <c r="E20" i="4"/>
  <c r="E19" i="4"/>
  <c r="E18" i="4"/>
  <c r="E17" i="4"/>
  <c r="E27" i="4"/>
  <c r="E37" i="4"/>
  <c r="E36" i="4"/>
  <c r="E35" i="4"/>
  <c r="E34" i="4"/>
  <c r="E33" i="4"/>
  <c r="E32" i="4"/>
  <c r="E31" i="4"/>
  <c r="E29" i="4"/>
  <c r="E4" i="4"/>
  <c r="C30" i="4" l="1"/>
  <c r="C83" i="4"/>
  <c r="E83" i="4" s="1"/>
  <c r="AA932" i="3" l="1"/>
  <c r="AA918" i="3"/>
  <c r="G663" i="3"/>
  <c r="S30" i="4" l="1"/>
  <c r="AD200" i="20"/>
  <c r="AD199" i="20"/>
  <c r="W861" i="3" l="1"/>
  <c r="O718" i="3"/>
  <c r="AC886" i="3" l="1"/>
  <c r="G70" i="21" l="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I14" i="21"/>
  <c r="G137" i="21"/>
  <c r="G86" i="21"/>
  <c r="B82" i="21"/>
  <c r="B67" i="21"/>
  <c r="B92" i="21"/>
  <c r="B58" i="21"/>
  <c r="B49" i="21"/>
  <c r="BE10" i="3" l="1"/>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AJ711" i="20"/>
  <c r="L100" i="21"/>
  <c r="X752" i="3" l="1"/>
  <c r="AH752" i="3"/>
  <c r="BF751" i="3"/>
  <c r="BS751" i="3"/>
  <c r="BS752" i="3"/>
  <c r="AJ1020" i="3"/>
  <c r="BF740" i="3" l="1"/>
  <c r="AH751" i="3"/>
  <c r="AH742" i="3"/>
  <c r="AY1027" i="3"/>
  <c r="G753" i="3"/>
  <c r="BE32" i="3" l="1"/>
  <c r="C757" i="3"/>
  <c r="AX690" i="20"/>
  <c r="AX689" i="20"/>
  <c r="AJ725" i="20"/>
  <c r="AO597" i="20"/>
  <c r="AP583" i="20"/>
  <c r="BA1041" i="3" l="1"/>
  <c r="T212" i="3"/>
  <c r="BA1042" i="3" s="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BD1051" i="3" l="1" a="1"/>
  <c r="BD1051" i="3" s="1"/>
  <c r="X742" i="3"/>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O25" i="21" s="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B10" i="8"/>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I8" i="4"/>
  <c r="I11" i="4"/>
  <c r="J8" i="4"/>
  <c r="J11" i="4"/>
  <c r="J26" i="4"/>
  <c r="J38" i="4"/>
  <c r="J42" i="4"/>
  <c r="J54" i="4"/>
  <c r="J62" i="4"/>
  <c r="J70" i="4"/>
  <c r="J96" i="4"/>
  <c r="K8" i="4"/>
  <c r="K11" i="4"/>
  <c r="L8" i="4"/>
  <c r="L11" i="4"/>
  <c r="M8" i="4"/>
  <c r="M11" i="4"/>
  <c r="N8" i="4"/>
  <c r="O8" i="4"/>
  <c r="Q8" i="4"/>
  <c r="Q11" i="4"/>
  <c r="B9" i="4"/>
  <c r="B10" i="4"/>
  <c r="F26"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L104" i="4"/>
  <c r="Q104" i="4"/>
  <c r="E108" i="4"/>
  <c r="F108" i="4"/>
  <c r="G108" i="4"/>
  <c r="G99" i="4" s="1"/>
  <c r="H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H573" i="3" s="1"/>
  <c r="Z568" i="3"/>
  <c r="AA573" i="3" s="1"/>
  <c r="BI566" i="3"/>
  <c r="BI567" i="3"/>
  <c r="G577" i="3"/>
  <c r="H582" i="3" s="1"/>
  <c r="Z577" i="3"/>
  <c r="G585" i="3"/>
  <c r="H590" i="3" s="1"/>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AA648" i="3" s="1"/>
  <c r="G651" i="3"/>
  <c r="Z651" i="3"/>
  <c r="G659" i="3"/>
  <c r="H664" i="3" s="1"/>
  <c r="Z659" i="3"/>
  <c r="G667" i="3"/>
  <c r="Z667" i="3"/>
  <c r="AH723" i="3"/>
  <c r="G675" i="3"/>
  <c r="Z675" i="3"/>
  <c r="G683" i="3"/>
  <c r="Z683" i="3"/>
  <c r="X718" i="3"/>
  <c r="AH718" i="3" s="1"/>
  <c r="X719" i="3"/>
  <c r="AH719" i="3" s="1"/>
  <c r="X720" i="3"/>
  <c r="X721" i="3"/>
  <c r="X722" i="3"/>
  <c r="AH722" i="3" s="1"/>
  <c r="X723" i="3"/>
  <c r="X724" i="3"/>
  <c r="AH724" i="3" s="1"/>
  <c r="X730" i="3"/>
  <c r="X731" i="3"/>
  <c r="X732" i="3"/>
  <c r="X733" i="3"/>
  <c r="X734" i="3"/>
  <c r="X735" i="3"/>
  <c r="X736" i="3"/>
  <c r="X737" i="3"/>
  <c r="X738" i="3"/>
  <c r="X739" i="3"/>
  <c r="X740" i="3"/>
  <c r="X741" i="3"/>
  <c r="M832" i="3"/>
  <c r="Q832" i="3"/>
  <c r="U832" i="3"/>
  <c r="F10" i="8" s="1"/>
  <c r="Y832" i="3"/>
  <c r="AC832" i="3"/>
  <c r="AG832" i="3"/>
  <c r="Z902" i="3"/>
  <c r="G104" i="4" l="1"/>
  <c r="H30" i="4"/>
  <c r="F30" i="4" s="1"/>
  <c r="E30" i="4" s="1"/>
  <c r="R30" i="4" s="1"/>
  <c r="R38" i="4" s="1"/>
  <c r="D34" i="11"/>
  <c r="D33" i="11"/>
  <c r="F38" i="4"/>
  <c r="D32" i="11"/>
  <c r="I10" i="8"/>
  <c r="J10" i="8" s="1"/>
  <c r="G10" i="8"/>
  <c r="F11" i="4"/>
  <c r="F12" i="4" s="1"/>
  <c r="H11" i="4"/>
  <c r="F5" i="8"/>
  <c r="U21" i="21" s="1"/>
  <c r="F4" i="8"/>
  <c r="I4" i="8" s="1"/>
  <c r="J4" i="8" s="1"/>
  <c r="B26" i="4"/>
  <c r="D36" i="11"/>
  <c r="D85" i="11"/>
  <c r="D101" i="11"/>
  <c r="D93" i="11"/>
  <c r="D6" i="11"/>
  <c r="D87" i="11"/>
  <c r="D103" i="11"/>
  <c r="D8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G58" i="7"/>
  <c r="I63" i="4"/>
  <c r="L63" i="4"/>
  <c r="L97" i="4" s="1"/>
  <c r="L105" i="4" s="1"/>
  <c r="D52" i="11"/>
  <c r="D44" i="11"/>
  <c r="D18" i="11"/>
  <c r="C12" i="11"/>
  <c r="J63" i="4"/>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D46" i="11"/>
  <c r="B82" i="11"/>
  <c r="G63" i="4"/>
  <c r="G97" i="4" s="1"/>
  <c r="G105" i="4" s="1"/>
  <c r="I58" i="7"/>
  <c r="C9" i="11"/>
  <c r="B63" i="11"/>
  <c r="T63" i="4"/>
  <c r="B96" i="4"/>
  <c r="B38" i="4"/>
  <c r="D84" i="11"/>
  <c r="B54" i="13"/>
  <c r="K63" i="4"/>
  <c r="K97" i="4" s="1"/>
  <c r="S63" i="4"/>
  <c r="CI753" i="3"/>
  <c r="X1048" i="3" s="1"/>
  <c r="BG243" i="3"/>
  <c r="BO245" i="3" s="1"/>
  <c r="T267" i="3" s="1"/>
  <c r="AH721" i="3"/>
  <c r="J7" i="8"/>
  <c r="S38" i="21"/>
  <c r="S37" i="21"/>
  <c r="S36" i="21"/>
  <c r="S43" i="21"/>
  <c r="S35" i="21"/>
  <c r="S42" i="21"/>
  <c r="S34" i="21"/>
  <c r="S41" i="21"/>
  <c r="U33" i="21"/>
  <c r="S33" i="21"/>
  <c r="S44" i="21"/>
  <c r="S40" i="21"/>
  <c r="U32" i="21"/>
  <c r="S32" i="21"/>
  <c r="U24" i="21"/>
  <c r="U28" i="21"/>
  <c r="S39" i="21"/>
  <c r="AH720" i="3"/>
  <c r="T22" i="21"/>
  <c r="U22" i="21"/>
  <c r="U37" i="21"/>
  <c r="U29" i="21"/>
  <c r="T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E38" i="4" l="1"/>
  <c r="H38" i="4"/>
  <c r="F45" i="4"/>
  <c r="U20" i="21"/>
  <c r="AJ621" i="20"/>
  <c r="AK794" i="20" s="1"/>
  <c r="T819" i="20" s="1"/>
  <c r="AF819" i="20" s="1"/>
  <c r="BE82" i="3" s="1"/>
  <c r="G94" i="21"/>
  <c r="G4" i="8"/>
  <c r="H12" i="4"/>
  <c r="H63" i="4"/>
  <c r="H97" i="4" s="1"/>
  <c r="H105" i="4" s="1"/>
  <c r="G5" i="8"/>
  <c r="I5" i="8"/>
  <c r="J5" i="8" s="1"/>
  <c r="J40" i="8" s="1"/>
  <c r="Z809" i="3" s="1"/>
  <c r="E6" i="7" s="1"/>
  <c r="D71" i="11"/>
  <c r="E11" i="4"/>
  <c r="R9" i="4"/>
  <c r="R11" i="4" s="1"/>
  <c r="D82" i="11"/>
  <c r="N195" i="23"/>
  <c r="D43" i="11"/>
  <c r="B12" i="4"/>
  <c r="D55" i="11"/>
  <c r="D105"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O631" i="3" l="1"/>
  <c r="J108" i="4" s="1"/>
  <c r="E45" i="4"/>
  <c r="F54" i="4"/>
  <c r="F63" i="4" s="1"/>
  <c r="F97" i="4" s="1"/>
  <c r="F105" i="4" s="1"/>
  <c r="G40" i="8"/>
  <c r="K108" i="4"/>
  <c r="R12" i="4"/>
  <c r="AC455" i="3"/>
  <c r="E12" i="4"/>
  <c r="O22" i="21"/>
  <c r="P22" i="21" s="1" a="1"/>
  <c r="P22" i="21" s="1"/>
  <c r="S22" i="21" s="1"/>
  <c r="O26" i="21"/>
  <c r="P26" i="21" s="1" a="1"/>
  <c r="P26" i="21" s="1"/>
  <c r="S26" i="21" s="1"/>
  <c r="O21" i="21"/>
  <c r="P21" i="21" s="1" a="1"/>
  <c r="P21" i="21" s="1"/>
  <c r="S21" i="21" s="1"/>
  <c r="P20" i="21" a="1"/>
  <c r="P20" i="21" s="1"/>
  <c r="S20" i="21" s="1"/>
  <c r="O24" i="21"/>
  <c r="P24" i="21" s="1" a="1"/>
  <c r="P24" i="21" s="1"/>
  <c r="S24" i="21" s="1"/>
  <c r="D64" i="11"/>
  <c r="B105" i="4"/>
  <c r="AB47" i="15" s="1"/>
  <c r="BE101" i="3"/>
  <c r="AK84" i="20"/>
  <c r="AK191" i="20" s="1"/>
  <c r="T811" i="20" s="1"/>
  <c r="AF811" i="20" s="1"/>
  <c r="BE76" i="3" s="1"/>
  <c r="D13" i="11"/>
  <c r="B97" i="13"/>
  <c r="B97" i="4"/>
  <c r="AZ1046" i="3"/>
  <c r="E97" i="13"/>
  <c r="B105" i="13"/>
  <c r="AG269" i="20"/>
  <c r="AD201" i="20"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3" i="21" a="1"/>
  <c r="P23" i="21" s="1"/>
  <c r="S23" i="21" s="1"/>
  <c r="DU755" i="3"/>
  <c r="O756" i="3" s="1"/>
  <c r="AG756" i="3" s="1"/>
  <c r="U374" i="20"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J77" i="4" l="1"/>
  <c r="J97" i="4" s="1"/>
  <c r="J99" i="4"/>
  <c r="E54" i="4"/>
  <c r="E63" i="4" s="1"/>
  <c r="R45" i="4"/>
  <c r="R54" i="4" s="1"/>
  <c r="R63" i="4" s="1"/>
  <c r="AD211" i="20"/>
  <c r="AM555" i="3"/>
  <c r="AM558" i="3" s="1"/>
  <c r="K104" i="4"/>
  <c r="K105" i="4" s="1"/>
  <c r="AO639" i="3"/>
  <c r="I108" i="4"/>
  <c r="I76" i="4" s="1"/>
  <c r="E76" i="4" s="1"/>
  <c r="AB266" i="20"/>
  <c r="AC454" i="3"/>
  <c r="T805" i="20"/>
  <c r="AF805" i="20" s="1"/>
  <c r="BE72" i="3" s="1"/>
  <c r="N185" i="23"/>
  <c r="BE22" i="3"/>
  <c r="BA1056" i="3"/>
  <c r="AZ1051"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AJ1036" i="3" s="1"/>
  <c r="I15" i="21" s="1"/>
  <c r="E138" i="20"/>
  <c r="E139" i="20" s="1"/>
  <c r="AK143" i="20" s="1"/>
  <c r="T807" i="20" s="1"/>
  <c r="AF807" i="20" s="1"/>
  <c r="BE74" i="3" s="1"/>
  <c r="AB991" i="3"/>
  <c r="DU802" i="3"/>
  <c r="U373" i="20" s="1"/>
  <c r="P421" i="3"/>
  <c r="I6" i="7"/>
  <c r="G7" i="7"/>
  <c r="G11" i="7" s="1"/>
  <c r="G37" i="7" s="1"/>
  <c r="M22" i="7"/>
  <c r="M35" i="7" s="1"/>
  <c r="O15" i="7"/>
  <c r="M9" i="7"/>
  <c r="O8" i="7"/>
  <c r="G27" i="21"/>
  <c r="F26" i="21"/>
  <c r="J104" i="4" l="1"/>
  <c r="E99" i="4"/>
  <c r="J105" i="4"/>
  <c r="AG268" i="20"/>
  <c r="AG270" i="20" s="1"/>
  <c r="AK273" i="20" s="1"/>
  <c r="T812" i="20" s="1"/>
  <c r="AF812" i="20" s="1"/>
  <c r="BE77" i="3" s="1"/>
  <c r="AA919" i="3"/>
  <c r="AM566" i="3"/>
  <c r="I77" i="4"/>
  <c r="I97" i="4" s="1"/>
  <c r="AJ1013" i="3"/>
  <c r="AJ994" i="3"/>
  <c r="AJ1029" i="3"/>
  <c r="AJ1007" i="3"/>
  <c r="I104" i="4"/>
  <c r="AO641" i="3"/>
  <c r="AB48" i="15"/>
  <c r="AB49" i="15" s="1"/>
  <c r="BE44" i="3"/>
  <c r="F457" i="3"/>
  <c r="BA1055"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I105" i="4" l="1"/>
  <c r="E77" i="4"/>
  <c r="E97" i="4" s="1"/>
  <c r="R76" i="4"/>
  <c r="R77" i="4" s="1"/>
  <c r="R97" i="4" s="1"/>
  <c r="E104" i="4"/>
  <c r="R99" i="4"/>
  <c r="U58" i="7"/>
  <c r="W53" i="7"/>
  <c r="AJ1053" i="3"/>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105" i="4" l="1"/>
  <c r="R104" i="4"/>
  <c r="R105" i="4" s="1"/>
  <c r="S99" i="4"/>
  <c r="G80" i="21"/>
  <c r="E15" i="21" s="1"/>
  <c r="W58" i="7"/>
  <c r="Y53" i="7"/>
  <c r="T24" i="15"/>
  <c r="AP557" i="20"/>
  <c r="AP556" i="20" s="1"/>
  <c r="AP559" i="20" s="1"/>
  <c r="AF552" i="20" s="1"/>
  <c r="K11" i="7"/>
  <c r="K37" i="7" s="1"/>
  <c r="K45" i="7" s="1"/>
  <c r="E66" i="7"/>
  <c r="E67" i="7"/>
  <c r="O5" i="7"/>
  <c r="Q4" i="7"/>
  <c r="M7" i="7"/>
  <c r="M11" i="7" s="1"/>
  <c r="M37" i="7" s="1"/>
  <c r="O6" i="7"/>
  <c r="G67" i="7"/>
  <c r="G66" i="7"/>
  <c r="I48" i="7"/>
  <c r="I60" i="7"/>
  <c r="I47" i="7"/>
  <c r="G101" i="21"/>
  <c r="G113" i="21"/>
  <c r="G97" i="21"/>
  <c r="S22" i="7"/>
  <c r="S35" i="7" s="1"/>
  <c r="U15" i="7"/>
  <c r="U8" i="7"/>
  <c r="S9" i="7"/>
  <c r="S104" i="4" l="1"/>
  <c r="E99" i="13"/>
  <c r="AA53" i="7"/>
  <c r="Y58" i="7"/>
  <c r="G115" i="21"/>
  <c r="E17" i="21" s="1"/>
  <c r="E14" i="21" s="1"/>
  <c r="E18" i="21" s="1"/>
  <c r="K49" i="7"/>
  <c r="E70" i="7"/>
  <c r="E72" i="7" s="1"/>
  <c r="S4" i="7"/>
  <c r="Q5" i="7"/>
  <c r="G70" i="7"/>
  <c r="G72" i="7" s="1"/>
  <c r="O7" i="7"/>
  <c r="O11" i="7" s="1"/>
  <c r="O37" i="7" s="1"/>
  <c r="Q6" i="7"/>
  <c r="M45" i="7"/>
  <c r="M49" i="7"/>
  <c r="I66" i="7"/>
  <c r="I67" i="7"/>
  <c r="K47" i="7"/>
  <c r="K60" i="7"/>
  <c r="K48" i="7"/>
  <c r="U22" i="7"/>
  <c r="U35" i="7" s="1"/>
  <c r="W15" i="7"/>
  <c r="U9" i="7"/>
  <c r="W8" i="7"/>
  <c r="E104" i="13" l="1"/>
  <c r="BA1058" i="3"/>
  <c r="BA1059" i="3" s="1"/>
  <c r="S105" i="4"/>
  <c r="AC53" i="7"/>
  <c r="AA58" i="7"/>
  <c r="U4" i="7"/>
  <c r="S5" i="7"/>
  <c r="M48" i="7"/>
  <c r="M47" i="7"/>
  <c r="M60" i="7"/>
  <c r="O45" i="7"/>
  <c r="O49" i="7"/>
  <c r="K66" i="7"/>
  <c r="K67" i="7"/>
  <c r="Q7" i="7"/>
  <c r="Q11" i="7" s="1"/>
  <c r="Q37" i="7" s="1"/>
  <c r="S6" i="7"/>
  <c r="I70" i="7"/>
  <c r="I72" i="7" s="1"/>
  <c r="W22" i="7"/>
  <c r="W35" i="7" s="1"/>
  <c r="Y15" i="7"/>
  <c r="W9" i="7"/>
  <c r="Y8" i="7"/>
  <c r="S107" i="4" l="1"/>
  <c r="AE699" i="3" s="1"/>
  <c r="E105" i="13"/>
  <c r="AE53" i="7"/>
  <c r="AC58" i="7"/>
  <c r="U5" i="7"/>
  <c r="W4" i="7"/>
  <c r="Q49" i="7"/>
  <c r="Q45" i="7"/>
  <c r="M67" i="7"/>
  <c r="M66" i="7"/>
  <c r="O47" i="7"/>
  <c r="O48" i="7"/>
  <c r="O60" i="7"/>
  <c r="K70" i="7"/>
  <c r="K72" i="7" s="1"/>
  <c r="S7" i="7"/>
  <c r="S11" i="7" s="1"/>
  <c r="S37" i="7" s="1"/>
  <c r="U6" i="7"/>
  <c r="Y22" i="7"/>
  <c r="Y35" i="7" s="1"/>
  <c r="AA15" i="7"/>
  <c r="Y9" i="7"/>
  <c r="AA8" i="7"/>
  <c r="AA1056" i="3" l="1"/>
  <c r="AA1057" i="3" s="1"/>
  <c r="G1058" i="3" s="1"/>
  <c r="AC456" i="3"/>
  <c r="E107" i="13"/>
  <c r="T11" i="15" s="1"/>
  <c r="T23" i="15" s="1"/>
  <c r="AF551" i="20"/>
  <c r="AF553" i="20" s="1"/>
  <c r="AK559" i="20" s="1"/>
  <c r="T818" i="20" s="1"/>
  <c r="AF818" i="20" s="1"/>
  <c r="AG53" i="7"/>
  <c r="AG58" i="7" s="1"/>
  <c r="AE58" i="7"/>
  <c r="M70" i="7"/>
  <c r="M72" i="7" s="1"/>
  <c r="W5" i="7"/>
  <c r="Y4" i="7"/>
  <c r="U7" i="7"/>
  <c r="U11" i="7" s="1"/>
  <c r="U37" i="7" s="1"/>
  <c r="W6" i="7"/>
  <c r="O67" i="7"/>
  <c r="O66" i="7"/>
  <c r="Q60" i="7"/>
  <c r="Q48" i="7"/>
  <c r="Q47" i="7"/>
  <c r="S49" i="7"/>
  <c r="S45" i="7"/>
  <c r="AC15" i="7"/>
  <c r="AA22" i="7"/>
  <c r="AA35" i="7" s="1"/>
  <c r="AC8" i="7"/>
  <c r="AA9" i="7"/>
  <c r="BE81" i="3" l="1"/>
  <c r="T26" i="15"/>
  <c r="T28" i="15" s="1"/>
  <c r="T29" i="15" s="1"/>
  <c r="AD38" i="15"/>
  <c r="AD40" i="15" s="1"/>
  <c r="AA4" i="7"/>
  <c r="Y5" i="7"/>
  <c r="Y6" i="7"/>
  <c r="W7" i="7"/>
  <c r="W11" i="7" s="1"/>
  <c r="W37" i="7" s="1"/>
  <c r="U45" i="7"/>
  <c r="U49" i="7"/>
  <c r="Q66" i="7"/>
  <c r="Q67" i="7"/>
  <c r="S48" i="7"/>
  <c r="S47" i="7"/>
  <c r="S60" i="7"/>
  <c r="O70" i="7"/>
  <c r="O72" i="7" s="1"/>
  <c r="AE15" i="7"/>
  <c r="AC22" i="7"/>
  <c r="AC35" i="7" s="1"/>
  <c r="AC9" i="7"/>
  <c r="AE8" i="7"/>
  <c r="Y38" i="15" l="1"/>
  <c r="Y40" i="15" s="1"/>
  <c r="Y41" i="15" s="1"/>
  <c r="AB50" i="15" s="1"/>
  <c r="AA5" i="7"/>
  <c r="AC4" i="7"/>
  <c r="S67" i="7"/>
  <c r="S66" i="7"/>
  <c r="U48" i="7"/>
  <c r="U60" i="7"/>
  <c r="U47" i="7"/>
  <c r="Q70" i="7"/>
  <c r="Q72" i="7" s="1"/>
  <c r="W49" i="7"/>
  <c r="W45" i="7"/>
  <c r="Y7" i="7"/>
  <c r="Y11" i="7" s="1"/>
  <c r="Y37" i="7" s="1"/>
  <c r="AA6" i="7"/>
  <c r="AE22" i="7"/>
  <c r="AE35" i="7" s="1"/>
  <c r="AG15" i="7"/>
  <c r="AG22" i="7" s="1"/>
  <c r="AG35" i="7" s="1"/>
  <c r="AE9" i="7"/>
  <c r="AG8" i="7"/>
  <c r="AG9" i="7" s="1"/>
  <c r="BE62" i="3" l="1"/>
  <c r="AB54" i="15"/>
  <c r="AB55" i="15" s="1"/>
  <c r="AB56" i="15" s="1"/>
  <c r="M26" i="3" s="1"/>
  <c r="S70" i="7"/>
  <c r="S72" i="7" s="1"/>
  <c r="AC5" i="7"/>
  <c r="AE4" i="7"/>
  <c r="AC6" i="7"/>
  <c r="AA7" i="7"/>
  <c r="AA11" i="7" s="1"/>
  <c r="AA37" i="7" s="1"/>
  <c r="U66" i="7"/>
  <c r="U67" i="7"/>
  <c r="Y49" i="7"/>
  <c r="Y45" i="7"/>
  <c r="W60" i="7"/>
  <c r="W47" i="7"/>
  <c r="W48" i="7"/>
  <c r="AB57" i="15" l="1"/>
  <c r="AB59" i="15" s="1"/>
  <c r="AB77" i="15" s="1"/>
  <c r="AB78" i="15" s="1"/>
  <c r="AB79" i="15" s="1"/>
  <c r="AB81" i="15" s="1"/>
  <c r="J82" i="15" s="1"/>
  <c r="BE19" i="3"/>
  <c r="P204" i="3"/>
  <c r="AE5" i="7"/>
  <c r="AG4" i="7"/>
  <c r="AA45" i="7"/>
  <c r="AA49" i="7"/>
  <c r="U70" i="7"/>
  <c r="U72" i="7" s="1"/>
  <c r="W67" i="7"/>
  <c r="W66" i="7"/>
  <c r="Y47" i="7"/>
  <c r="Y48" i="7"/>
  <c r="Y60" i="7"/>
  <c r="AE6" i="7"/>
  <c r="AC7" i="7"/>
  <c r="AC11" i="7" s="1"/>
  <c r="AC37" i="7" s="1"/>
  <c r="I10" i="21" l="1"/>
  <c r="I11" i="21" s="1"/>
  <c r="H4" i="21" s="1"/>
  <c r="M27" i="3"/>
  <c r="BE20" i="3" s="1"/>
  <c r="AG5" i="7"/>
  <c r="W70" i="7"/>
  <c r="W72" i="7" s="1"/>
  <c r="AA60" i="7"/>
  <c r="AA47" i="7"/>
  <c r="AA48" i="7"/>
  <c r="AC45" i="7"/>
  <c r="AC49" i="7"/>
  <c r="AE7" i="7"/>
  <c r="AE11" i="7" s="1"/>
  <c r="AE37" i="7" s="1"/>
  <c r="AG6" i="7"/>
  <c r="Y67" i="7"/>
  <c r="Y66" i="7"/>
  <c r="P205" i="3" l="1"/>
  <c r="Y70" i="7"/>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<sst xmlns="http://schemas.openxmlformats.org/spreadsheetml/2006/main" count="4998" uniqueCount="2737">
  <si>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</si>
  <si>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</si>
  <si>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</si>
  <si>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</si>
  <si>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</si>
  <si>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</si>
  <si>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</si>
  <si>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</si>
  <si>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</si>
  <si>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</si>
  <si>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</si>
  <si>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</si>
  <si>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</si>
  <si>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</si>
  <si>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</si>
  <si>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</si>
  <si>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</si>
  <si>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</si>
  <si>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</si>
  <si>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</si>
  <si>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</si>
  <si>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</si>
  <si>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</si>
  <si>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</si>
  <si>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</si>
  <si>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</si>
  <si>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</si>
  <si>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</si>
  <si>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</si>
  <si>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</si>
  <si>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</si>
  <si>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</si>
  <si>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</si>
  <si>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</si>
  <si>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</si>
  <si>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</si>
  <si>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</si>
  <si>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</si>
  <si>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</si>
  <si>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</si>
  <si>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</si>
  <si>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</si>
  <si>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</si>
  <si>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</si>
  <si>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</si>
  <si>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</si>
  <si>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</si>
  <si>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</si>
  <si>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</si>
  <si>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</si>
  <si>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</si>
  <si>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</si>
  <si>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</si>
  <si>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</si>
  <si>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</si>
  <si>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</si>
  <si>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</si>
  <si>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</si>
  <si>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</si>
  <si>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</si>
  <si>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</si>
  <si>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</si>
  <si>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</si>
  <si>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</si>
  <si>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</si>
  <si>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</si>
  <si>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</si>
  <si>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</si>
  <si>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</si>
  <si>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</si>
  <si>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</si>
  <si>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</si>
  <si>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</si>
  <si>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</si>
  <si>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</si>
  <si>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</si>
  <si>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</si>
  <si>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</si>
  <si>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</si>
  <si>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</si>
  <si>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</si>
  <si>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</si>
  <si>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</si>
  <si>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</si>
  <si>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</si>
  <si>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</si>
  <si>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</si>
  <si>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</si>
  <si>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</si>
  <si>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</si>
  <si>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</si>
  <si>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</si>
  <si>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</si>
  <si>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</si>
  <si>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</si>
  <si>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</si>
  <si>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</si>
  <si>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</si>
  <si>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</si>
  <si>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</si>
  <si>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</si>
  <si>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</si>
  <si>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</si>
  <si>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</si>
  <si>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</si>
  <si>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</si>
  <si>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</si>
  <si>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</si>
  <si>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</si>
  <si>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</si>
  <si>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</si>
  <si>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</si>
  <si>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</si>
  <si>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</si>
  <si>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</si>
  <si>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</si>
  <si>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</si>
  <si>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</si>
  <si>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</si>
  <si>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</si>
  <si>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</si>
  <si>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</si>
  <si>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</si>
  <si>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</si>
  <si>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</si>
  <si>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</si>
  <si>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</si>
  <si>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</si>
  <si>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</si>
  <si>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</si>
  <si>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</si>
  <si>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</si>
  <si>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</si>
  <si>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</si>
  <si>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</si>
  <si>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</si>
  <si>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</si>
  <si>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</si>
  <si>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</si>
  <si>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</si>
  <si>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</si>
  <si>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</si>
  <si>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</si>
  <si>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</si>
  <si>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</si>
  <si>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</si>
  <si>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</si>
  <si>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</si>
  <si>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</si>
  <si>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</si>
  <si>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</si>
  <si>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</si>
  <si>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</si>
  <si>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</si>
  <si>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</si>
  <si>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</si>
  <si>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</si>
  <si>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</si>
  <si>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</si>
  <si>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</si>
  <si>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</si>
  <si>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</si>
  <si>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</si>
  <si>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</si>
  <si>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</si>
  <si>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</si>
  <si>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</si>
  <si>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</si>
  <si>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</si>
  <si>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</si>
  <si>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</si>
  <si>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</si>
  <si>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</si>
  <si>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</si>
  <si>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</si>
  <si>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</si>
  <si>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</si>
  <si>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</si>
  <si>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</si>
  <si>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</si>
  <si>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</si>
  <si>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</si>
  <si>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</si>
  <si>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</si>
  <si>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</si>
  <si>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</si>
  <si>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</si>
  <si>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</si>
  <si>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</si>
  <si>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</si>
  <si>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</si>
  <si>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</si>
  <si>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</si>
  <si>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</si>
  <si>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</si>
  <si>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</si>
  <si>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</si>
  <si>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</si>
  <si>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</si>
  <si>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</si>
  <si>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</si>
  <si>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</si>
  <si>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</si>
  <si>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</si>
  <si>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</si>
  <si>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</si>
  <si>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</si>
  <si>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</si>
  <si>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</si>
  <si>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</si>
  <si>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</si>
  <si>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</si>
  <si>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</si>
  <si>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</si>
  <si>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</si>
  <si>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</si>
  <si>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</si>
  <si>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</si>
  <si>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</si>
  <si>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</si>
  <si>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</si>
  <si>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</si>
  <si>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</si>
  <si>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</si>
  <si>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</si>
  <si>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</si>
  <si>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</si>
  <si>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</si>
  <si>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</si>
  <si>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</si>
  <si>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</si>
  <si>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</si>
  <si>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</si>
  <si>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</si>
  <si>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</si>
  <si>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</si>
  <si>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</si>
  <si>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</si>
  <si>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</si>
  <si>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</si>
  <si>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</si>
  <si>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</si>
  <si>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</si>
  <si>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</si>
  <si>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</si>
  <si>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</si>
  <si>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</si>
  <si>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</si>
  <si>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</si>
  <si>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</si>
  <si>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</si>
  <si>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</si>
  <si>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</si>
  <si>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</si>
  <si>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</si>
  <si>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</si>
  <si>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</si>
  <si>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</si>
  <si>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</si>
  <si>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</si>
  <si>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</si>
  <si>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</si>
  <si>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</si>
  <si>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</si>
  <si>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</si>
  <si>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</si>
  <si>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</si>
  <si>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</si>
  <si>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</si>
  <si>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</si>
  <si>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</si>
  <si>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</si>
  <si>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</si>
  <si>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</si>
  <si>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</si>
  <si>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</si>
  <si>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</si>
  <si>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</si>
  <si>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</si>
  <si>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</si>
  <si>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</si>
  <si>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</si>
  <si>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</si>
  <si>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</si>
  <si>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</si>
  <si>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</si>
  <si>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</si>
  <si>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</si>
  <si>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</si>
  <si>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</si>
  <si>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</si>
  <si>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</si>
  <si>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</si>
  <si>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</si>
  <si>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</si>
  <si>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</si>
  <si>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</si>
  <si>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</si>
  <si>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</si>
  <si>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</si>
  <si>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</si>
  <si>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</si>
  <si>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</si>
  <si>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</si>
  <si>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</si>
  <si>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</si>
  <si>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</si>
  <si>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</si>
  <si>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</si>
  <si>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</si>
  <si>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</si>
  <si>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</si>
  <si>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</si>
  <si>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</si>
  <si>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</si>
  <si>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</si>
  <si>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</si>
  <si>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</si>
  <si>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</si>
  <si>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</si>
  <si>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</si>
  <si>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</si>
  <si>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</si>
  <si>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</si>
  <si>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</si>
  <si>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</si>
  <si>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</si>
  <si>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</si>
  <si>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</si>
  <si>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</si>
  <si>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</si>
  <si>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</si>
  <si>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</si>
  <si>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</si>
  <si>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</si>
  <si>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</si>
  <si>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</si>
  <si>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</si>
  <si>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</si>
  <si>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</si>
  <si>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</si>
  <si>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</si>
  <si>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</si>
  <si>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</si>
  <si>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</si>
  <si>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</si>
  <si>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</si>
  <si>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</si>
  <si>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</si>
  <si>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</si>
  <si>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</si>
  <si>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</si>
  <si>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</si>
  <si>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</si>
  <si>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</si>
  <si>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</si>
  <si>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</si>
  <si>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</si>
  <si>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</si>
  <si>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</si>
  <si>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</si>
  <si>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</si>
  <si>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</si>
  <si>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</si>
  <si>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</si>
  <si>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</si>
  <si>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</si>
  <si>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</si>
  <si>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</si>
  <si>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</si>
  <si>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</si>
  <si>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</si>
  <si>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</si>
  <si>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</si>
  <si>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</si>
  <si>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</si>
  <si>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</si>
  <si>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</si>
  <si>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</si>
  <si>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</si>
  <si>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</si>
  <si>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</si>
  <si>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</si>
  <si>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</si>
  <si>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</si>
  <si>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</si>
  <si>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</si>
  <si>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</si>
  <si>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</si>
  <si>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</si>
  <si>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</si>
  <si>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</si>
  <si>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</si>
  <si>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</si>
  <si>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</si>
  <si>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</si>
  <si>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</si>
  <si>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</si>
  <si>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</si>
  <si>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</si>
  <si>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</si>
  <si>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</si>
  <si>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</si>
  <si>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</si>
  <si>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</si>
  <si>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</si>
  <si>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</si>
  <si>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</si>
  <si>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</si>
  <si>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</si>
  <si>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</si>
  <si>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</si>
  <si>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</si>
  <si>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</si>
  <si>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</si>
  <si>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</si>
  <si>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</si>
  <si>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</si>
  <si>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</si>
  <si>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</si>
  <si>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</si>
  <si>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</si>
  <si>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</si>
  <si>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</si>
  <si>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</si>
  <si>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</si>
  <si>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</si>
  <si>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</si>
  <si>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</si>
  <si>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</si>
  <si>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</si>
  <si>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</si>
  <si>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</si>
  <si>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</si>
  <si>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</si>
  <si>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</si>
  <si>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</si>
  <si>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</si>
  <si>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</si>
  <si>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</si>
  <si>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</si>
  <si>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</si>
  <si>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</si>
  <si>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</si>
  <si>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</si>
  <si>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</si>
  <si>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</si>
  <si>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</si>
  <si>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</si>
  <si>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</si>
  <si>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</si>
  <si>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</si>
  <si>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</si>
  <si>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</si>
  <si>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</si>
  <si>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</si>
  <si>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</si>
  <si>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</si>
  <si>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</si>
  <si>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</si>
  <si>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</si>
  <si>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</si>
  <si>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</si>
  <si>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</si>
  <si>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</si>
  <si>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</si>
  <si>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</si>
  <si>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</si>
  <si>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</si>
  <si>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</si>
  <si>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</si>
  <si>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</si>
  <si>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</si>
  <si>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</si>
  <si>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</si>
  <si>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</si>
  <si>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</si>
  <si>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</si>
  <si>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</si>
  <si>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</si>
  <si>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</si>
  <si>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</si>
  <si>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</si>
  <si>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</si>
  <si>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</si>
  <si>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</si>
  <si>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</si>
  <si>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</si>
  <si>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</si>
  <si>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</si>
  <si>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</si>
  <si>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</si>
  <si>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</si>
  <si>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</si>
  <si>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</si>
  <si>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</si>
  <si>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</si>
  <si>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</si>
  <si>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</si>
  <si>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</si>
  <si>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</si>
  <si>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</si>
  <si>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</si>
  <si>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</si>
  <si>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</si>
  <si>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</si>
  <si>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</si>
  <si>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</si>
  <si>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</si>
  <si>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</si>
  <si>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</si>
  <si>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</si>
  <si>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</si>
  <si>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</si>
  <si>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</si>
  <si>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</si>
  <si>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</si>
  <si>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</si>
  <si>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</si>
  <si>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</si>
  <si>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</si>
  <si>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</si>
  <si>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</si>
  <si>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</si>
  <si>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</si>
  <si>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</si>
  <si>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</si>
  <si>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</si>
  <si>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</si>
  <si>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</si>
  <si>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</si>
  <si>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</si>
  <si>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</si>
  <si>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</si>
  <si>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</si>
  <si>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</si>
  <si>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</si>
  <si>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</si>
  <si>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</si>
  <si>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</si>
  <si>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</si>
  <si>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</si>
  <si>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</si>
  <si>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</si>
  <si>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</si>
  <si>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</si>
  <si>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</si>
  <si>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</si>
  <si>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</si>
  <si>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</si>
  <si>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</si>
  <si>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</si>
  <si>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</si>
  <si>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</si>
  <si>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</si>
  <si>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</si>
  <si>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</si>
  <si>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</si>
  <si>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</si>
  <si>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</si>
  <si>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</si>
  <si>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</si>
  <si>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</si>
  <si>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</si>
  <si>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</si>
  <si>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</si>
  <si>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</si>
  <si>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</si>
  <si>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</si>
  <si>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</si>
  <si>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</si>
  <si>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</si>
  <si>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</si>
  <si>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</si>
  <si>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</si>
  <si>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</si>
  <si>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</si>
  <si>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</si>
  <si>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</si>
  <si>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</si>
  <si>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</si>
  <si>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</si>
  <si>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</si>
  <si>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</si>
  <si>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</si>
  <si>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</si>
  <si>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</si>
  <si>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</si>
  <si>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</si>
  <si>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</si>
  <si>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</si>
  <si>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</si>
  <si>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</si>
  <si>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</si>
  <si>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</si>
  <si>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</si>
  <si>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</si>
  <si>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</si>
  <si>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</si>
  <si>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</si>
  <si>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</si>
  <si>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</si>
  <si>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</si>
  <si>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</si>
  <si>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</si>
  <si>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</si>
  <si>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</si>
  <si>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</si>
  <si>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</si>
  <si>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</si>
  <si>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</si>
  <si>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</si>
  <si>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</si>
  <si>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</si>
  <si>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</si>
  <si>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</si>
  <si>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</si>
  <si>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</si>
  <si>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</si>
  <si>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</si>
  <si>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</si>
  <si>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</si>
  <si>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</si>
  <si>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</si>
  <si>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</si>
  <si>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</si>
  <si>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</si>
  <si>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</si>
  <si>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</si>
  <si>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</si>
  <si>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</si>
  <si>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</si>
  <si>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</si>
  <si>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</si>
  <si>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</si>
  <si>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</si>
  <si>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</si>
  <si>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</si>
  <si>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</si>
  <si>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</si>
  <si>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</si>
  <si>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</si>
  <si>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</si>
  <si>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</si>
  <si>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</si>
  <si>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</si>
  <si>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</si>
  <si>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</si>
  <si>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</si>
  <si>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</si>
  <si>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</si>
  <si>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</si>
  <si>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</si>
  <si>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</si>
  <si>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</si>
  <si>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</si>
  <si>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</si>
  <si>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</si>
  <si>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</si>
  <si>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</si>
  <si>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</si>
  <si>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</si>
  <si>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</si>
  <si>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</si>
  <si>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</si>
  <si>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</si>
  <si>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</si>
  <si>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</si>
  <si>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</si>
  <si>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</si>
  <si>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</si>
  <si>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</si>
  <si>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</si>
  <si>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</si>
  <si>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</si>
  <si>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</si>
  <si>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</si>
  <si>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</si>
  <si>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</si>
  <si>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</si>
  <si>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</si>
  <si>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</si>
  <si>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</si>
  <si>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</si>
  <si>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</si>
  <si>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</si>
  <si>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</si>
  <si>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</si>
  <si>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</si>
  <si>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</si>
  <si>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</si>
  <si>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</si>
  <si>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</si>
  <si>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</si>
  <si>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</si>
  <si>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</si>
  <si>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</si>
  <si>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</si>
  <si>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</si>
  <si>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</si>
  <si>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</si>
  <si>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</si>
  <si>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</si>
  <si>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</si>
  <si>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</si>
  <si>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</si>
  <si>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</si>
  <si>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</si>
  <si>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</si>
  <si>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</si>
  <si>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</si>
  <si>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</si>
  <si>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</si>
  <si>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</si>
  <si>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</si>
  <si>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</si>
  <si>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</si>
  <si>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</si>
  <si>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</si>
  <si>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</si>
  <si>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</si>
  <si>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</si>
  <si>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</si>
  <si>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</si>
  <si>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</si>
  <si>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</si>
  <si>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</si>
  <si>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</si>
  <si>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</si>
  <si>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</si>
  <si>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</si>
  <si>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</si>
  <si>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</si>
  <si>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</si>
  <si>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</si>
  <si>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</si>
  <si>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</si>
  <si>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</si>
  <si>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</si>
  <si>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</si>
  <si>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</si>
  <si>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</si>
  <si>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</si>
  <si>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</si>
  <si>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</si>
  <si>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</si>
  <si>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</si>
  <si>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</si>
  <si>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</si>
  <si>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</si>
  <si>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</si>
  <si>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</si>
  <si>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</si>
  <si>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</si>
  <si>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</si>
  <si>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</si>
  <si>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</si>
  <si>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</si>
  <si>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</si>
  <si>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</si>
  <si>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</si>
  <si>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</si>
  <si>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</si>
  <si>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</si>
  <si>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</si>
  <si>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</si>
  <si>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</si>
  <si>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</si>
  <si>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</si>
  <si>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</si>
  <si>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</si>
  <si>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</si>
  <si>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</si>
  <si>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</si>
  <si>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</si>
  <si>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</si>
  <si>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</si>
  <si>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</si>
  <si>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</si>
  <si>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</si>
  <si>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</si>
  <si>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</si>
  <si>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</si>
  <si>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</si>
  <si>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</si>
  <si>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</si>
  <si>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</si>
  <si>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</si>
  <si>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</si>
  <si>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</si>
  <si>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</si>
  <si>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</si>
  <si>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</si>
  <si>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</si>
  <si>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</si>
  <si>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</si>
  <si>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</si>
  <si>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</si>
  <si>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</si>
  <si>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</si>
  <si>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</si>
  <si>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</si>
  <si>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</si>
  <si>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</si>
  <si>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</si>
  <si>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</si>
  <si>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</si>
  <si>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</si>
  <si>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</si>
  <si>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</si>
  <si>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</si>
  <si>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</si>
  <si>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</si>
  <si>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</si>
  <si>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</si>
  <si>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</si>
  <si>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</si>
  <si>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</si>
  <si>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</si>
  <si>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</si>
  <si>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</si>
  <si>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</si>
  <si>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</si>
  <si>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</si>
  <si>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</si>
  <si>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</si>
  <si>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</si>
  <si>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</si>
  <si>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</si>
  <si>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</si>
  <si>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</si>
  <si>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</si>
  <si>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</si>
  <si>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</si>
  <si>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</si>
  <si>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</si>
  <si>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</si>
  <si>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</si>
  <si>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</si>
  <si>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</si>
  <si>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</si>
  <si>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</si>
  <si>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</si>
  <si>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</si>
  <si>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</si>
  <si>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</si>
  <si>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</si>
  <si>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</si>
  <si>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</si>
  <si>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</si>
  <si>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</si>
  <si>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</si>
  <si>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</si>
  <si>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</si>
  <si>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</si>
  <si>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</si>
  <si>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</si>
  <si>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</si>
  <si>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</si>
  <si>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</si>
  <si>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</si>
  <si>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</si>
  <si>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</si>
  <si>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</si>
  <si>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</si>
  <si>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</si>
  <si>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</si>
  <si>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</si>
  <si>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</si>
  <si>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</si>
  <si>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</si>
  <si>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</si>
  <si>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</si>
  <si>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</si>
  <si>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</si>
  <si>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</si>
  <si>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</si>
  <si>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</si>
  <si>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</si>
  <si>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</si>
  <si>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</si>
  <si>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</si>
  <si>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</si>
  <si>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</si>
  <si>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</si>
  <si>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</si>
  <si>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</si>
  <si>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</si>
  <si>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</si>
  <si>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</si>
  <si>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</si>
  <si>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</si>
  <si>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</si>
  <si>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</si>
  <si>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</si>
  <si>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</si>
  <si>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</si>
  <si>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</si>
  <si>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</si>
  <si>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</si>
  <si>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</si>
  <si>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</si>
  <si>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</si>
  <si>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</si>
  <si>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</si>
  <si>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</si>
  <si>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</si>
  <si>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</si>
  <si>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</si>
  <si>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</si>
  <si>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</si>
  <si>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</si>
  <si>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</si>
  <si>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</si>
  <si>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</si>
  <si>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</si>
  <si>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</si>
  <si>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</si>
  <si>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</si>
  <si>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</si>
  <si>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</si>
  <si>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</si>
  <si>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</si>
  <si>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</si>
  <si>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</si>
  <si>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</si>
  <si>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</si>
  <si>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</si>
  <si>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</si>
  <si>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</si>
  <si>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</si>
  <si>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</si>
  <si>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</si>
  <si>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</si>
  <si>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</si>
  <si>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</si>
  <si>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</si>
  <si>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</si>
  <si>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</si>
  <si>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</si>
  <si>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</si>
  <si>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</si>
  <si>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</si>
  <si>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</si>
  <si>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</si>
  <si>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</si>
  <si>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</si>
  <si>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</si>
  <si>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</si>
  <si>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</si>
  <si>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</si>
  <si>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</si>
  <si>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</si>
  <si>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</si>
  <si>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</si>
  <si>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</si>
  <si>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</si>
  <si>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</si>
  <si>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</si>
  <si>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</si>
  <si>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</si>
  <si>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</si>
  <si>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</si>
  <si>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</si>
  <si>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</si>
  <si>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</si>
  <si>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</si>
  <si>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</si>
  <si>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</si>
  <si>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</si>
  <si>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</si>
  <si>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</si>
  <si>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</si>
  <si>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</si>
  <si>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</si>
  <si>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</si>
  <si>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</si>
  <si>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</si>
  <si>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</si>
  <si>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</si>
  <si>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</si>
  <si>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</si>
  <si>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</si>
  <si>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</si>
  <si>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</si>
  <si>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</si>
  <si>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</si>
  <si>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</si>
  <si>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</si>
  <si>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</si>
  <si>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</si>
  <si>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</si>
  <si>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</si>
  <si>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</si>
  <si>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</si>
  <si>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</si>
  <si>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</si>
  <si>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</si>
  <si>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</si>
  <si>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</si>
  <si>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</si>
  <si>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</si>
  <si>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</si>
  <si>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</si>
  <si>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</si>
  <si>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</si>
  <si>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</si>
  <si>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</si>
  <si>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</si>
  <si>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</si>
  <si>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</si>
  <si>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</si>
  <si>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</si>
  <si>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</si>
  <si>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</si>
  <si>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</si>
  <si>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</si>
  <si>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</si>
  <si>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</si>
  <si>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</si>
  <si>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</si>
  <si>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</si>
  <si>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</si>
  <si>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</si>
  <si>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</si>
  <si>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</si>
  <si>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</si>
  <si>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</si>
  <si>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</si>
  <si>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</si>
  <si>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</si>
  <si>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</si>
  <si>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</si>
  <si>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</si>
  <si>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</si>
  <si>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</si>
  <si>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</si>
  <si>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</si>
  <si>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</si>
  <si>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</si>
  <si>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</si>
  <si>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</si>
  <si>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</si>
  <si>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</si>
  <si>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</si>
  <si>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</si>
  <si>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</si>
  <si>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</si>
  <si>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</si>
  <si>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</si>
  <si>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</si>
  <si>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</si>
  <si>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</si>
  <si>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</si>
  <si>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</si>
  <si>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</si>
  <si>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</si>
  <si>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</si>
  <si>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</si>
  <si>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</si>
  <si>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</si>
  <si>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</si>
  <si>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</si>
  <si>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</si>
  <si>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</si>
  <si>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</si>
  <si>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</si>
  <si>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</si>
  <si>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</si>
  <si>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</si>
  <si>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</si>
  <si>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</si>
  <si>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</si>
  <si>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</si>
  <si>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</si>
  <si>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</si>
  <si>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</si>
  <si>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</si>
  <si>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</si>
  <si>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</si>
  <si>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</si>
  <si>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</si>
  <si>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</si>
  <si>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</si>
  <si>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</si>
  <si>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</si>
  <si>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</si>
  <si>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</si>
  <si>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</si>
  <si>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</si>
  <si>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</si>
  <si>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</si>
  <si>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</si>
  <si>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</si>
  <si>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</si>
  <si>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</si>
  <si>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</si>
  <si>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</si>
  <si>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</si>
  <si>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</si>
  <si>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</si>
  <si>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</si>
  <si>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</si>
  <si>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</si>
  <si>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</si>
  <si>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</si>
  <si>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</si>
  <si>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</si>
  <si>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</si>
  <si>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</si>
  <si>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</si>
  <si>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</si>
  <si>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</si>
  <si>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</si>
  <si>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</si>
  <si>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</si>
  <si>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</si>
  <si>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</si>
  <si>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</si>
  <si>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</si>
  <si>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</si>
  <si>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</si>
  <si>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</si>
  <si>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</si>
  <si>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</si>
  <si>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</si>
  <si>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</si>
  <si>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</si>
  <si>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</si>
  <si>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</si>
  <si>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</si>
  <si>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</si>
  <si>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</si>
  <si>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</si>
  <si>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</si>
  <si>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</si>
  <si>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</si>
  <si>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</si>
  <si>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</si>
  <si>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</si>
  <si>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</si>
  <si>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</si>
  <si>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</si>
  <si>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</si>
  <si>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</si>
  <si>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</si>
  <si>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</si>
  <si>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</si>
  <si>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</si>
  <si>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</si>
  <si>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</si>
  <si>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</si>
  <si>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</si>
  <si>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</si>
  <si>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</si>
  <si>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</si>
  <si>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</si>
  <si>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</si>
  <si>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</si>
  <si>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</si>
  <si>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</si>
  <si>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</si>
  <si>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</si>
  <si>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</si>
  <si>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</si>
  <si>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</si>
  <si>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</si>
  <si>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</si>
  <si>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</si>
  <si>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</si>
  <si>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</si>
  <si>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</si>
  <si>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</si>
  <si>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</si>
  <si>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</si>
  <si>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</si>
  <si>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</si>
  <si>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</si>
  <si>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</si>
  <si>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</si>
  <si>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</si>
  <si>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</si>
  <si>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</si>
  <si>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</si>
  <si>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</si>
  <si>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</si>
  <si>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</si>
  <si>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</si>
  <si>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</si>
  <si>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</si>
  <si>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</si>
  <si>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</si>
  <si>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</si>
  <si>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</si>
  <si>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</si>
  <si>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</si>
  <si>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</si>
  <si>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</si>
  <si>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</si>
  <si>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</si>
  <si>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</si>
  <si>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</si>
  <si>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</si>
  <si>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</si>
  <si>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</si>
  <si>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</si>
  <si>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</si>
  <si>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</si>
  <si>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</si>
  <si>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</si>
  <si>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</si>
  <si>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</si>
  <si>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</si>
  <si>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</si>
  <si>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</si>
  <si>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</si>
  <si>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</si>
  <si>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</si>
  <si>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</si>
  <si>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</si>
  <si>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</si>
  <si>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</si>
  <si>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</si>
  <si>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</si>
  <si>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</si>
  <si>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</si>
  <si>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</si>
  <si>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</si>
  <si>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</si>
  <si>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</si>
  <si>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</si>
  <si>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</si>
  <si>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</si>
  <si>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</si>
  <si>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</si>
  <si>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</si>
  <si>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</si>
  <si>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</si>
  <si>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</si>
  <si>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</si>
  <si>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</si>
  <si>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</si>
  <si>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</si>
  <si>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</si>
  <si>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</si>
  <si>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</si>
  <si>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</si>
  <si>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</si>
  <si>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</si>
  <si>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</si>
  <si>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</si>
  <si>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</si>
  <si>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</si>
  <si>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</si>
  <si>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</si>
  <si>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</si>
  <si>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</si>
  <si>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</si>
  <si>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</si>
  <si>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</si>
  <si>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</si>
  <si>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</si>
  <si>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</si>
  <si>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</si>
  <si>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</si>
  <si>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</si>
  <si>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</si>
  <si>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</si>
  <si>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</si>
  <si>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</si>
  <si>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</si>
  <si>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</si>
  <si>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</si>
  <si>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</si>
  <si>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</si>
  <si>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</si>
  <si>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</si>
  <si>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</si>
  <si>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</si>
  <si>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</si>
  <si>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</si>
  <si>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</si>
  <si>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</si>
  <si>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</si>
  <si>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</si>
  <si>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</si>
  <si>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</si>
  <si>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</si>
  <si>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</si>
  <si>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</si>
  <si>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</si>
  <si>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</si>
  <si>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</si>
  <si>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</si>
  <si>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</si>
  <si>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</si>
  <si>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</si>
  <si>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</si>
  <si>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</si>
  <si>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</si>
  <si>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</si>
  <si>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</si>
  <si>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</si>
  <si>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</si>
  <si>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</si>
  <si>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</si>
  <si>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</si>
  <si>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</si>
  <si>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</si>
  <si>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</si>
  <si>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</si>
  <si>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</si>
  <si>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</si>
  <si>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</si>
  <si>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</si>
  <si>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</si>
  <si>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</si>
  <si>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</si>
  <si>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</si>
  <si>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</si>
  <si>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</si>
  <si>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</si>
  <si>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</si>
  <si>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</si>
  <si>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</si>
  <si>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</si>
  <si>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</si>
  <si>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</si>
  <si>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</si>
  <si>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</si>
  <si>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</si>
  <si>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</si>
  <si>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</si>
  <si>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</si>
  <si>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</si>
  <si>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</si>
  <si>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</si>
  <si>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</si>
  <si>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</si>
  <si>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</si>
  <si>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</si>
  <si>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</si>
  <si>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</si>
  <si>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</si>
  <si>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</si>
  <si>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</si>
  <si>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</si>
  <si>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</si>
  <si>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</si>
  <si>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</si>
  <si>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</si>
  <si>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</si>
  <si>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</si>
  <si>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</si>
  <si>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</si>
  <si>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</si>
  <si>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</si>
  <si>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</si>
  <si>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</si>
  <si>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</si>
  <si>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</si>
  <si>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</si>
  <si>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</si>
  <si>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</si>
  <si>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</si>
  <si>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</si>
  <si>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</si>
  <si>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</si>
  <si>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</si>
  <si>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</si>
  <si>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</si>
  <si>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</si>
  <si>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</si>
  <si>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</si>
  <si>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</si>
  <si>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</si>
  <si>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</si>
  <si>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</si>
  <si>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</si>
  <si>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</si>
  <si>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</si>
  <si>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</si>
  <si>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</si>
  <si>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</si>
  <si>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</si>
  <si>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</si>
  <si>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</si>
  <si>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</si>
  <si>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</si>
  <si>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</si>
  <si>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</si>
  <si>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</si>
  <si>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</si>
  <si>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</si>
  <si>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</si>
  <si>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</si>
  <si>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</si>
  <si>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</si>
  <si>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</si>
  <si>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</si>
  <si>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</si>
  <si>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</si>
  <si>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</si>
  <si>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</si>
  <si>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</si>
  <si>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</si>
  <si>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</si>
  <si>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</si>
  <si>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</si>
  <si>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</si>
  <si>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</si>
  <si>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</si>
  <si>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</si>
  <si>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</si>
  <si>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</si>
  <si>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</si>
  <si>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</si>
  <si>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</si>
  <si>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</si>
  <si>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</si>
  <si>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</si>
  <si>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</si>
  <si>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</si>
  <si>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</si>
  <si>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</si>
  <si>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</si>
  <si>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</si>
  <si>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</si>
  <si>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</si>
  <si>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</si>
  <si>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</si>
  <si>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</si>
  <si>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</si>
  <si>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</si>
  <si>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</si>
  <si>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</si>
  <si>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</si>
  <si>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</si>
  <si>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</si>
  <si>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</si>
  <si>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</si>
  <si>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</si>
  <si>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</si>
  <si>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</si>
  <si>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</si>
  <si>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</si>
  <si>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</si>
  <si>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</si>
  <si>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</si>
  <si>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</si>
  <si>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</si>
  <si>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</si>
  <si>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</si>
  <si>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</si>
  <si>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</si>
  <si>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</si>
  <si>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</si>
  <si>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</si>
  <si>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</si>
  <si>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</si>
  <si>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</si>
  <si>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</si>
  <si>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</si>
  <si>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</si>
  <si>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</si>
  <si>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</si>
  <si>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</si>
  <si>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</si>
  <si>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</si>
  <si>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</si>
  <si>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</si>
  <si>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</si>
  <si>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</si>
  <si>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</si>
  <si>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</si>
  <si>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</si>
  <si>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</si>
  <si>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</si>
  <si>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</si>
  <si>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</si>
  <si>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</si>
  <si>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</si>
  <si>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</si>
  <si>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</si>
  <si>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</si>
  <si>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</si>
  <si>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</si>
  <si>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</si>
  <si>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</si>
  <si>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</si>
  <si>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</si>
  <si>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</si>
  <si>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</si>
  <si>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</si>
  <si>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</si>
  <si>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</si>
  <si>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</si>
  <si>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</si>
  <si>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</si>
  <si>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</si>
  <si>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</si>
  <si>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</si>
  <si>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</si>
  <si>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</si>
  <si>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</si>
  <si>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</si>
  <si>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</si>
  <si>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</si>
  <si>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</si>
  <si>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</si>
  <si>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</si>
  <si>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</si>
  <si>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</si>
  <si>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</si>
  <si>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</si>
  <si>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</si>
  <si>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</si>
  <si>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</si>
  <si>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</si>
  <si>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</si>
  <si>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</si>
  <si>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</si>
  <si>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</si>
  <si>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</si>
  <si>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</si>
  <si>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</si>
  <si>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</si>
  <si>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</si>
  <si>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</si>
  <si>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</si>
  <si>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</si>
  <si>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</si>
  <si>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</si>
  <si>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</si>
  <si>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</si>
  <si>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</si>
  <si>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</si>
  <si>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</si>
  <si>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</si>
  <si>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</si>
  <si>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</si>
  <si>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</si>
  <si>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</si>
  <si>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</si>
  <si>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</si>
  <si>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</si>
  <si>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</si>
  <si>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</si>
  <si>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</si>
  <si>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</si>
  <si>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</si>
  <si>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</si>
  <si>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</si>
  <si>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</si>
  <si>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</si>
  <si>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</si>
  <si>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</si>
  <si>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</si>
  <si>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</si>
  <si>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</si>
  <si>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</si>
  <si>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</si>
  <si>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</si>
  <si>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</si>
  <si>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</si>
  <si>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</si>
  <si>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</si>
  <si>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</si>
  <si>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</si>
  <si>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</si>
  <si>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</si>
  <si>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</si>
  <si>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</si>
  <si>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</si>
  <si>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</si>
  <si>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</si>
  <si>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</si>
  <si>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</si>
  <si>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</si>
  <si>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</si>
  <si>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</si>
  <si>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</si>
  <si>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</si>
  <si>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</si>
  <si>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</si>
  <si>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</si>
  <si>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</si>
  <si>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</si>
  <si>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</si>
  <si>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</si>
  <si>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</si>
  <si>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</si>
  <si>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</si>
  <si>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</si>
  <si>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</si>
  <si>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</si>
  <si>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</si>
  <si>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</si>
  <si>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</si>
  <si>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</si>
  <si>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</si>
  <si>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</si>
  <si>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</si>
  <si>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</si>
  <si>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</si>
  <si>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</si>
  <si>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</si>
  <si>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</si>
  <si>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</si>
  <si>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</si>
  <si>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</si>
  <si>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</si>
  <si>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</si>
  <si>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</si>
  <si>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</si>
  <si>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</si>
  <si>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</si>
  <si>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</si>
  <si>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</si>
  <si>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</si>
  <si>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</si>
  <si>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</si>
  <si>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</si>
  <si>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</si>
  <si>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</si>
  <si>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</si>
  <si>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</si>
  <si>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</si>
  <si>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</si>
  <si>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</si>
  <si>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</si>
  <si>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</si>
  <si>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</si>
  <si>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</si>
  <si>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</si>
  <si>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</si>
  <si>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</si>
  <si>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</si>
  <si>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</si>
  <si>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</si>
  <si>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</si>
  <si>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</si>
  <si>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</si>
  <si>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</si>
  <si>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</si>
  <si>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</si>
  <si>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</si>
  <si>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</si>
  <si>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</si>
  <si>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</si>
  <si>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</si>
  <si>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</si>
  <si>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</si>
  <si>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</si>
  <si>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</si>
  <si>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</si>
  <si>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</si>
  <si>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</si>
  <si>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</si>
  <si>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</si>
  <si>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</si>
  <si>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</si>
  <si>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</si>
  <si>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</si>
  <si>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</si>
  <si>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</si>
  <si>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</si>
  <si>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</si>
  <si>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</si>
  <si>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</si>
  <si>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</si>
  <si>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</si>
  <si>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</si>
  <si>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</si>
  <si>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</si>
  <si>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</si>
  <si>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</si>
  <si>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</si>
  <si>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</si>
  <si>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</si>
  <si>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</si>
  <si>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</si>
  <si>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</si>
  <si>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</si>
  <si>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</si>
  <si>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</si>
  <si>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</si>
  <si>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</si>
  <si>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</si>
  <si>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</si>
  <si>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</si>
  <si>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</si>
  <si>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</si>
  <si>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</si>
  <si>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</si>
  <si>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</si>
  <si>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</si>
  <si>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</si>
  <si>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</si>
  <si>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</si>
  <si>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</si>
  <si>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</si>
  <si>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</si>
  <si>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</si>
  <si>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</si>
  <si>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</si>
  <si>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</si>
  <si>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</si>
  <si>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</si>
  <si>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</si>
  <si>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</si>
  <si>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</si>
  <si>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</si>
  <si>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</si>
  <si>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</si>
  <si>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</si>
  <si>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</si>
  <si>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</si>
  <si>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</si>
  <si>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</si>
  <si>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</si>
  <si>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</si>
  <si>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</si>
  <si>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</si>
  <si>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</si>
  <si>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</si>
  <si>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</si>
  <si>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</si>
  <si>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</si>
  <si>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</si>
  <si>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</si>
  <si>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</si>
  <si>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</si>
  <si>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</si>
  <si>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</si>
  <si>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</si>
  <si>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</si>
  <si>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</si>
  <si>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</si>
  <si>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</si>
  <si>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</si>
  <si>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</si>
  <si>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</si>
  <si>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</si>
  <si>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</si>
  <si>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</si>
  <si>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</si>
  <si>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</si>
  <si>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</si>
  <si>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</si>
  <si>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</si>
  <si>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</si>
  <si>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</si>
  <si>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</si>
  <si>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</si>
  <si>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</si>
  <si>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</si>
  <si>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</si>
  <si>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</si>
  <si>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</si>
  <si>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</si>
  <si>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</si>
  <si>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</si>
  <si>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</si>
  <si>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</si>
  <si>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</si>
  <si>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</si>
  <si>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</si>
  <si>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</si>
  <si>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</si>
  <si>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</si>
  <si>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</si>
  <si>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</si>
  <si>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</si>
  <si>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</si>
  <si>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</si>
  <si>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</si>
  <si>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</si>
  <si>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</si>
  <si>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</si>
  <si>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</si>
  <si>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</si>
  <si>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</si>
  <si>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</si>
  <si>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</si>
  <si>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</si>
  <si>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</si>
  <si>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</si>
  <si>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</si>
  <si>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</si>
  <si>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</si>
  <si>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</si>
  <si>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</si>
  <si>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</si>
  <si>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</si>
  <si>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</si>
  <si>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</si>
  <si>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</si>
  <si>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</si>
  <si>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</si>
  <si>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</si>
  <si>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</si>
  <si>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</si>
  <si>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</si>
  <si>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</si>
  <si>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</si>
  <si>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</si>
  <si>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</si>
  <si>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</si>
  <si>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</si>
  <si>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</si>
  <si>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</si>
  <si>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</si>
  <si>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</si>
  <si>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</si>
  <si>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</si>
  <si>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</si>
  <si>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</si>
  <si>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</si>
  <si>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</si>
  <si>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</si>
  <si>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</si>
  <si>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</si>
  <si>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</si>
  <si>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</si>
  <si>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</si>
  <si>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</si>
  <si>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</si>
  <si>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</si>
  <si>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</si>
  <si>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</si>
  <si>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</si>
  <si>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</si>
  <si>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</si>
  <si>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</si>
  <si>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</si>
  <si>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</si>
  <si>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</si>
  <si>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</si>
  <si>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</si>
  <si>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</si>
  <si>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</si>
  <si>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</si>
  <si>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</si>
  <si>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</si>
  <si>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</si>
  <si>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</si>
  <si>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</si>
  <si>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</si>
  <si>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</si>
  <si>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</si>
  <si>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</si>
  <si>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</si>
  <si>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</si>
  <si>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</si>
  <si>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</si>
  <si>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</si>
  <si>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</si>
  <si>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</si>
  <si>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</si>
  <si>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</si>
  <si>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</si>
  <si>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</si>
  <si>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</si>
  <si>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</si>
  <si>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</si>
  <si>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</si>
  <si>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</si>
  <si>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</si>
  <si>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</si>
  <si>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</si>
  <si>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</si>
  <si>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</si>
  <si>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</si>
  <si>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</si>
  <si>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</si>
  <si>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</si>
  <si>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</si>
  <si>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</si>
  <si>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</si>
  <si>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</si>
  <si>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</si>
  <si>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</si>
  <si>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</si>
  <si>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</si>
  <si>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</si>
  <si>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</si>
  <si>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</si>
  <si>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</si>
  <si>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</si>
  <si>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</si>
  <si>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</si>
  <si>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</si>
  <si>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</si>
  <si>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</si>
  <si>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</si>
  <si>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</si>
  <si>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</si>
  <si>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</si>
  <si>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</si>
  <si>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</si>
  <si>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</si>
  <si>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</si>
  <si>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</si>
  <si>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</si>
  <si>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</si>
  <si>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</si>
  <si>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</si>
  <si>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</si>
  <si>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</si>
  <si>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</si>
  <si>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</si>
  <si>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</si>
  <si>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</si>
  <si>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</si>
  <si>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</si>
  <si>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</si>
  <si>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</si>
  <si>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</si>
  <si>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</si>
  <si>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</si>
  <si>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</si>
  <si>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</si>
  <si>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</si>
  <si>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</si>
  <si>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</si>
  <si>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</si>
  <si>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</si>
  <si>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</si>
  <si>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</si>
  <si>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</si>
  <si>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</si>
  <si>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</si>
  <si>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</si>
  <si>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</si>
  <si>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</si>
  <si>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</si>
  <si>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</si>
  <si>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</si>
  <si>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</si>
  <si>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</si>
  <si>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</si>
  <si>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</si>
  <si>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</si>
  <si>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</si>
  <si>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</si>
  <si>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</si>
  <si>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</si>
  <si>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</si>
  <si>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</si>
  <si>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</si>
  <si>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</si>
  <si>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</si>
  <si>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</si>
  <si>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</si>
  <si>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</si>
  <si>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</si>
  <si>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</si>
  <si>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</si>
  <si>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</si>
  <si>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</si>
  <si>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</si>
  <si>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</si>
  <si>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</si>
  <si>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</si>
  <si>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</si>
  <si>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</si>
  <si>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</si>
  <si>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</si>
  <si>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</si>
  <si>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</si>
  <si>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</si>
  <si>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</si>
  <si>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</si>
  <si>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</si>
  <si>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</si>
  <si>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</si>
  <si>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</si>
  <si>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</si>
  <si>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</si>
  <si>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</si>
  <si>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</si>
  <si>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</si>
  <si>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</si>
  <si>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</si>
  <si>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</si>
  <si>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</si>
  <si>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</si>
  <si>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</si>
  <si>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</si>
  <si>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</si>
  <si>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</si>
  <si>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</si>
  <si>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</si>
  <si>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</si>
  <si>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</si>
  <si>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</si>
  <si>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</si>
  <si>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</si>
  <si>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</si>
  <si>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</si>
  <si>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</si>
  <si>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</si>
  <si>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</si>
  <si>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</si>
  <si>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</si>
  <si>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</si>
  <si>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</si>
  <si>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</si>
  <si>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</si>
  <si>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</si>
  <si>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</si>
  <si>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</si>
  <si>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</si>
  <si>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</si>
  <si>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</si>
  <si>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</si>
  <si>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</si>
  <si>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</si>
  <si>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</si>
  <si>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</si>
  <si>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</si>
  <si>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</si>
  <si>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</si>
  <si>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</si>
  <si>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</si>
  <si>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</si>
  <si>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</si>
  <si>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</si>
  <si>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</si>
  <si>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</si>
  <si>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</si>
  <si>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</si>
  <si>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</si>
  <si>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</si>
  <si>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</si>
  <si>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</si>
  <si>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</si>
  <si>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</si>
  <si>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</si>
  <si>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</si>
  <si>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</si>
  <si>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</si>
  <si>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</si>
  <si>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</si>
  <si>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</si>
  <si>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</si>
  <si>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</si>
  <si>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</si>
  <si>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</si>
  <si>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</si>
  <si>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</si>
  <si>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</si>
  <si>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</si>
  <si>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</si>
  <si>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</si>
  <si>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</si>
  <si>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</si>
  <si>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</si>
  <si>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</si>
  <si>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</si>
  <si>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</si>
  <si>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</si>
  <si>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</si>
  <si>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</si>
  <si>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</si>
  <si>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</si>
  <si>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</si>
  <si>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</si>
  <si>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</si>
  <si>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</si>
  <si>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</si>
  <si>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</si>
  <si>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</si>
  <si>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</si>
  <si>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</si>
  <si>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</si>
  <si>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</si>
  <si>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</si>
  <si>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</si>
  <si>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</si>
  <si>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</si>
  <si>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</si>
  <si>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</si>
  <si>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</si>
  <si>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</si>
  <si>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</si>
  <si>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</si>
  <si>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</si>
  <si>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</si>
  <si>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</si>
  <si>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</si>
  <si>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</si>
  <si>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</si>
  <si>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</si>
  <si>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</si>
  <si>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</si>
  <si>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</si>
  <si>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</si>
  <si>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</si>
  <si>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</si>
  <si>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</si>
  <si>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</si>
  <si>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</si>
  <si>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</si>
  <si>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</si>
  <si>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</si>
  <si>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</si>
  <si>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</si>
  <si>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</si>
  <si>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</si>
  <si>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</si>
  <si>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</si>
  <si>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</si>
  <si>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</si>
  <si>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</si>
  <si>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</si>
  <si>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</si>
  <si>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</si>
  <si>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</si>
  <si>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</si>
  <si>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</si>
  <si>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</si>
  <si>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</si>
  <si>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</si>
  <si>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</si>
  <si>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</si>
  <si>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</si>
  <si>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</si>
  <si>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</si>
  <si>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</si>
  <si>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</si>
  <si>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</si>
  <si>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</si>
  <si>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</si>
  <si>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</si>
  <si>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</si>
  <si>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</si>
  <si>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</si>
  <si>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</si>
  <si>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</si>
  <si>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</si>
  <si>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</si>
  <si>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</si>
  <si>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</si>
  <si>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</si>
  <si>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</si>
  <si>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</si>
  <si>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</si>
  <si>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</si>
  <si>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</si>
  <si>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</si>
  <si>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</si>
  <si>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</si>
  <si>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</si>
  <si>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</si>
  <si>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</si>
  <si>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</si>
  <si>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</si>
  <si>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</si>
  <si>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</si>
  <si>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</si>
  <si>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</si>
  <si>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</si>
  <si>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</si>
  <si>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</si>
  <si>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</si>
  <si>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</si>
  <si>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</si>
  <si>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</si>
  <si>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</si>
  <si>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</si>
  <si>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</si>
  <si>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</si>
  <si>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</si>
  <si>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</si>
  <si>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</si>
  <si>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</si>
  <si>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</si>
  <si>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</si>
  <si>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</si>
  <si>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</si>
  <si>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</si>
  <si>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</si>
  <si>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</si>
  <si>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</si>
  <si>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</si>
  <si>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</si>
  <si>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</si>
  <si>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</si>
  <si>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</si>
  <si>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</si>
  <si>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</si>
  <si>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</si>
  <si>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</si>
  <si>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</si>
  <si>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</si>
  <si>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</si>
  <si>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</si>
  <si>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</si>
  <si>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</si>
  <si>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</si>
  <si>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</si>
  <si>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</si>
  <si>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</si>
  <si>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</si>
  <si>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</si>
  <si>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</si>
  <si>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</si>
  <si>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</si>
  <si>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</si>
  <si>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</si>
  <si>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</si>
  <si>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</si>
  <si>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</si>
  <si>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</si>
  <si>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</si>
  <si>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</si>
  <si>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</si>
  <si>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</si>
  <si>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</si>
  <si>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</si>
  <si>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</si>
  <si>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</si>
  <si>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</si>
  <si>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</si>
  <si>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</si>
  <si>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</si>
  <si>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</si>
  <si>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</si>
  <si>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</si>
  <si>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</si>
  <si>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</si>
  <si>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</si>
  <si>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</si>
  <si>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</si>
  <si>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</si>
  <si>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</si>
  <si>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</si>
  <si>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</si>
  <si>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</si>
  <si>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</si>
  <si>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</si>
  <si>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</si>
  <si>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</si>
  <si>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</si>
  <si>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</si>
  <si>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</si>
  <si>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</si>
  <si>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</si>
  <si>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</si>
  <si>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</si>
  <si>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</si>
  <si>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</si>
  <si>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</si>
  <si>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</si>
  <si>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</si>
  <si>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</si>
  <si>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</si>
  <si>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</si>
  <si>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</si>
  <si>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</si>
  <si>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</si>
  <si>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</si>
  <si>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</si>
  <si>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</si>
  <si>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</si>
  <si>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</si>
  <si>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</si>
  <si>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</si>
  <si>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</si>
  <si>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</si>
  <si>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</si>
  <si>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</si>
  <si>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</si>
  <si>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</si>
  <si>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</si>
  <si>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</si>
  <si>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</si>
  <si>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</si>
  <si>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</si>
  <si>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</si>
  <si>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</si>
  <si>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</si>
  <si>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</si>
  <si>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</si>
  <si>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</si>
  <si>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</si>
  <si>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</si>
  <si>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</si>
  <si>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</si>
  <si>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</si>
  <si>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</si>
  <si>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</si>
  <si>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</si>
  <si>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</si>
  <si>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</si>
  <si>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</si>
  <si>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</si>
  <si>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</si>
  <si>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</si>
  <si>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</si>
  <si>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</si>
  <si>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</si>
  <si>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</si>
  <si>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</si>
  <si>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</si>
  <si>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</si>
  <si>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</si>
  <si>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</si>
  <si>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</si>
  <si>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</si>
  <si>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</si>
  <si>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</si>
  <si>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</si>
  <si>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</si>
  <si>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</si>
  <si>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</si>
  <si>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</si>
  <si>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</si>
  <si>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</si>
  <si>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</si>
  <si>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</si>
  <si>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</si>
  <si>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</si>
  <si>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</si>
  <si>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</si>
  <si>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</si>
  <si>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</si>
  <si>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</si>
  <si>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</si>
  <si>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</si>
  <si>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</si>
  <si>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</si>
  <si>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</si>
  <si>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</si>
  <si>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</si>
  <si>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</si>
  <si>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</si>
  <si>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</si>
  <si>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</si>
  <si>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</si>
  <si>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</si>
  <si>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</si>
  <si>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</si>
  <si>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</si>
  <si>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</si>
  <si>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</si>
  <si>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</si>
  <si>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</si>
  <si>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</si>
  <si>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</si>
  <si>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</si>
  <si>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</si>
  <si>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</si>
  <si>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</si>
  <si>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</si>
  <si>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</si>
  <si>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</si>
  <si>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</si>
  <si>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</si>
  <si>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</si>
  <si>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</si>
  <si>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</si>
  <si>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</si>
  <si>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</si>
  <si>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</si>
  <si>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</si>
  <si>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</si>
  <si>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</si>
  <si>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</si>
  <si>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</si>
  <si>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</si>
  <si>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</si>
  <si>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</si>
  <si>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</si>
  <si>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</si>
  <si>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</si>
  <si>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</si>
  <si>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</si>
  <si>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</si>
  <si>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</si>
  <si>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</si>
  <si>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</si>
  <si>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</si>
  <si>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</si>
  <si>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</si>
  <si>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</si>
  <si>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</si>
  <si>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</si>
  <si>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</si>
  <si>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</si>
  <si>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</si>
  <si>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</si>
  <si>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</si>
  <si>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</si>
  <si>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</si>
  <si>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</si>
  <si>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</si>
  <si>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</si>
  <si>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</si>
  <si>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</si>
  <si>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</si>
  <si>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</si>
  <si>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</si>
  <si>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</si>
  <si>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</si>
  <si>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</si>
  <si>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</si>
  <si>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</si>
  <si>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</si>
  <si>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</si>
  <si>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</si>
  <si>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</si>
  <si>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</si>
  <si>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</si>
  <si>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</si>
  <si>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</si>
  <si>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</si>
  <si>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</si>
  <si>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</si>
  <si>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</si>
  <si>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</si>
  <si>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</si>
  <si>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</si>
  <si>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</si>
  <si>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</si>
  <si>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</si>
  <si>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</si>
  <si>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</si>
  <si>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</si>
  <si>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</si>
  <si>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</si>
  <si>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</si>
  <si>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</si>
  <si>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</si>
  <si>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</si>
  <si>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</si>
  <si>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</si>
  <si>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</si>
  <si>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</si>
  <si>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</si>
  <si>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</si>
  <si>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</si>
  <si>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</si>
  <si>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</si>
  <si>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</si>
  <si>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</si>
  <si>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</si>
  <si>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</si>
  <si>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</si>
  <si>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</si>
  <si>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</si>
  <si>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</si>
  <si>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</si>
  <si>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</si>
  <si>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</si>
  <si>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</si>
  <si>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</si>
  <si>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</si>
  <si>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</si>
  <si>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</si>
  <si>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</si>
  <si>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</si>
  <si>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</si>
  <si>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</si>
  <si>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</si>
  <si>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</si>
  <si>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</si>
  <si>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</si>
  <si>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</si>
  <si>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</si>
  <si>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</si>
  <si>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</si>
  <si>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</si>
  <si>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</si>
  <si>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</si>
  <si>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</si>
  <si>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</si>
  <si>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</si>
  <si>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</si>
  <si>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</si>
  <si>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</si>
  <si>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</si>
  <si>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</si>
  <si>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</si>
  <si>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</si>
  <si>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</si>
  <si>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</si>
  <si>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</si>
  <si>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</si>
  <si>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</si>
  <si>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</si>
  <si>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</si>
  <si>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</si>
  <si>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</si>
  <si>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</si>
  <si>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</si>
  <si>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</si>
  <si>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</si>
  <si>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</si>
  <si>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</si>
  <si>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</si>
  <si>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</si>
  <si>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</si>
  <si>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</si>
  <si>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</si>
  <si>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</si>
  <si>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</si>
  <si>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</si>
  <si>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</si>
  <si>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</si>
  <si>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</si>
  <si>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</si>
  <si>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</si>
  <si>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</si>
  <si>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</si>
  <si>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</si>
  <si>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</si>
  <si>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</si>
  <si>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</si>
  <si>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</si>
  <si>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</si>
  <si>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</si>
  <si>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</si>
  <si>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</si>
  <si>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</si>
  <si>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</si>
  <si>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</si>
  <si>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</si>
  <si>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</si>
  <si>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</si>
  <si>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</si>
  <si>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</si>
  <si>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</si>
  <si>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</si>
  <si>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</si>
  <si>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</si>
  <si>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</si>
  <si>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</si>
  <si>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</si>
  <si>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</si>
  <si>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</si>
  <si>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</si>
  <si>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</si>
  <si>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</si>
  <si>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</si>
  <si>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</si>
  <si>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</si>
  <si>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</si>
  <si>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</si>
  <si>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</si>
  <si>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</si>
  <si>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</si>
  <si>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</si>
  <si>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</si>
  <si>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</si>
  <si>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</si>
  <si>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</si>
  <si>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</si>
  <si>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</si>
  <si>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</si>
  <si>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</si>
  <si>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</si>
  <si>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</si>
  <si>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</si>
  <si>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</si>
  <si>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</si>
  <si>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</si>
  <si>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</si>
  <si>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</si>
  <si>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</si>
  <si>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</si>
  <si>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</si>
  <si>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</si>
  <si>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</si>
  <si>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</si>
  <si>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</si>
  <si>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</si>
  <si>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</si>
  <si>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</si>
  <si>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</si>
  <si>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</si>
  <si>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</si>
  <si>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</si>
  <si>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</si>
  <si>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</si>
  <si>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</si>
  <si>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</si>
  <si>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</si>
  <si>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</si>
  <si>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</si>
  <si>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</si>
  <si>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</si>
  <si>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</si>
  <si>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</si>
  <si>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</si>
  <si>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</si>
  <si>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</si>
  <si>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</si>
  <si>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</si>
  <si>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</si>
  <si>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</si>
  <si>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</si>
  <si>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</si>
  <si>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</si>
  <si>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</si>
  <si>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</si>
  <si>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</si>
  <si>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</si>
  <si>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HCM Refuge, LP</t>
  </si>
  <si>
    <t>The Refuge</t>
  </si>
  <si>
    <t>Max Mellman</t>
  </si>
  <si>
    <t>an individual, Managing Member of AGP</t>
  </si>
  <si>
    <t>City of Oakland, Community &amp; Economic Development Agency</t>
  </si>
  <si>
    <t>Michelle Byrd</t>
  </si>
  <si>
    <t>250 Frank Ogawa Plaza, Suite 6301</t>
  </si>
  <si>
    <t>Oakland</t>
  </si>
  <si>
    <t>mbyrd@oaklandnet.com</t>
  </si>
  <si>
    <t>40%/60%</t>
  </si>
  <si>
    <t>Construction Loan - Tax Exempt</t>
  </si>
  <si>
    <t>Contributed Developer Fee</t>
  </si>
  <si>
    <t>Deferred Costs</t>
  </si>
  <si>
    <t>Security</t>
  </si>
  <si>
    <t>COSR</t>
  </si>
  <si>
    <t>HomeKey Capital</t>
  </si>
  <si>
    <t>1/11/245</t>
  </si>
  <si>
    <t>Personnel Benefits, Taxes, &amp; Workers Comp</t>
  </si>
  <si>
    <t>OHA</t>
  </si>
  <si>
    <t>Project-based vouchers (PBVs)</t>
  </si>
  <si>
    <t>Recycled Bonds</t>
  </si>
  <si>
    <t>2 bedroom</t>
  </si>
  <si>
    <t>COSR Usage</t>
  </si>
  <si>
    <t>Provided</t>
  </si>
  <si>
    <t>Not Applicable</t>
  </si>
  <si>
    <t>4400 Martin Luther King Jr Way</t>
  </si>
  <si>
    <t>8447 Wilshire Blvd</t>
  </si>
  <si>
    <t>Beverly Hills</t>
  </si>
  <si>
    <t>CA</t>
  </si>
  <si>
    <t>805-807-5555</t>
  </si>
  <si>
    <t>mm@hybridgecap.com</t>
  </si>
  <si>
    <t>Kingdom AF LLC</t>
  </si>
  <si>
    <t>6451 Box Springs Blvd.</t>
  </si>
  <si>
    <t>Managing GP</t>
  </si>
  <si>
    <t>William Leach</t>
  </si>
  <si>
    <t>951-538-6244</t>
  </si>
  <si>
    <t>william@kingdomdevelopment.net</t>
  </si>
  <si>
    <t>Kingdom Development, Inc.</t>
  </si>
  <si>
    <t>MBP MLK, LLC</t>
  </si>
  <si>
    <t>Administrative GP</t>
  </si>
  <si>
    <t>General Partner, Consultant</t>
  </si>
  <si>
    <t>Hybridge Capital Management</t>
  </si>
  <si>
    <t>Beverly Hills, CA 90211</t>
  </si>
  <si>
    <t>Jones Hall</t>
  </si>
  <si>
    <t>475 Sansome St, Suite 1700</t>
  </si>
  <si>
    <t>San Francisco, CA 94111</t>
  </si>
  <si>
    <t>Michelle Castillo</t>
  </si>
  <si>
    <t>Baker Tilly US, LLP</t>
  </si>
  <si>
    <t>18500 Von Karman Ave, Floor 10</t>
  </si>
  <si>
    <t>Irvine, CA 92612</t>
  </si>
  <si>
    <t>Aiko Durant</t>
  </si>
  <si>
    <t>Novogradac</t>
  </si>
  <si>
    <t>1300 114th Ave SE, Suite 240</t>
  </si>
  <si>
    <t>Bellevue, WA 98004</t>
  </si>
  <si>
    <t>Dat Ksor</t>
  </si>
  <si>
    <t>CREA, LLC</t>
  </si>
  <si>
    <t>12396 World Trade Dr, Suite 307</t>
  </si>
  <si>
    <t>San Diego, CA 92128</t>
  </si>
  <si>
    <t>Matt Marienthal</t>
  </si>
  <si>
    <t>dat.ksor@novoco.com</t>
  </si>
  <si>
    <t>mmarienthal@creallc.com</t>
  </si>
  <si>
    <t>425-519-1203</t>
  </si>
  <si>
    <t>858-386-5198</t>
  </si>
  <si>
    <t>949-222-2999</t>
  </si>
  <si>
    <t>aiko.durant@bakertilly.com</t>
  </si>
  <si>
    <t>6451 Box Springs Blvd</t>
  </si>
  <si>
    <t>Riverside, CA 92507</t>
  </si>
  <si>
    <t>6700 Antioch Rd, Suite 450</t>
  </si>
  <si>
    <t>Merriam, KS 66204</t>
  </si>
  <si>
    <t>Rebecca Arthur</t>
  </si>
  <si>
    <t>913-312-4615</t>
  </si>
  <si>
    <t>913-677-4600</t>
  </si>
  <si>
    <t>rebecca.arthur@novoco.com</t>
  </si>
  <si>
    <t>CMFA</t>
  </si>
  <si>
    <t>2111 Palomar Airport Rd, #320</t>
  </si>
  <si>
    <t>Carlsbad, CA 92011</t>
  </si>
  <si>
    <t>Anthony Stubbs</t>
  </si>
  <si>
    <t>760-930-1333</t>
  </si>
  <si>
    <t>astubbs@cmfa-ca.com</t>
  </si>
  <si>
    <t>Domus Management Company</t>
  </si>
  <si>
    <t>1610 W. Kettleman Ln, Suite A</t>
  </si>
  <si>
    <t>Lodi, CA 95242</t>
  </si>
  <si>
    <t>Cathy Metcalf</t>
  </si>
  <si>
    <t>209-365-9010</t>
  </si>
  <si>
    <t>cathym@domusmc.com</t>
  </si>
  <si>
    <t>Accel Opportunity Fund VII, LP</t>
  </si>
  <si>
    <t>Manager of General Partner</t>
  </si>
  <si>
    <t>210 Steiner St, San Francisco, CA 94117</t>
  </si>
  <si>
    <t>Other (Specify below)</t>
  </si>
  <si>
    <t>Six story walkup with elevator</t>
  </si>
  <si>
    <t>Mixed Use</t>
  </si>
  <si>
    <t>RU-4 Urban Residential Zone</t>
  </si>
  <si>
    <t>72'</t>
  </si>
  <si>
    <t>.19/per unit</t>
  </si>
  <si>
    <t>CREA Tax Credit Equity</t>
  </si>
  <si>
    <t>14301 FNB Parkway, Suite 211</t>
  </si>
  <si>
    <t>Omaha, NE 68154</t>
  </si>
  <si>
    <t>Frank Bravo</t>
  </si>
  <si>
    <t>320 13th St, 2nd Floor</t>
  </si>
  <si>
    <t>Oakland, CA 94612</t>
  </si>
  <si>
    <t>Amy Cullen</t>
  </si>
  <si>
    <t>415-622-6237</t>
  </si>
  <si>
    <t>Fixed</t>
  </si>
  <si>
    <t>Humphreys &amp; Partners Architects</t>
  </si>
  <si>
    <t>1124 Bristol St</t>
  </si>
  <si>
    <t>Costa Mesa, CA 92626</t>
  </si>
  <si>
    <t>Vince Chupka</t>
  </si>
  <si>
    <t>949-955-9400</t>
  </si>
  <si>
    <t>vince@humphreys.com</t>
  </si>
  <si>
    <t>415-391-5780</t>
  </si>
  <si>
    <t>mcastillo@joneshall.com</t>
  </si>
  <si>
    <t>Oakland Housing Authority</t>
  </si>
  <si>
    <t>Construction Loan - Recycled Bonds</t>
  </si>
  <si>
    <t>January</t>
  </si>
  <si>
    <t>013-1094-028-01</t>
  </si>
  <si>
    <t>TBD</t>
  </si>
  <si>
    <t>651 Bannon St, Suite 400</t>
  </si>
  <si>
    <t>Sacramento, CA 95811</t>
  </si>
  <si>
    <t>Gustavo Velasquez</t>
  </si>
  <si>
    <t>R2H2 City Loan</t>
  </si>
  <si>
    <t>Bond Issuer Fees</t>
  </si>
  <si>
    <t>Project-Based Vouchers</t>
  </si>
  <si>
    <t xml:space="preserve">Seller Carryback </t>
  </si>
  <si>
    <t>Seller Carryback</t>
  </si>
  <si>
    <t>San Francisco, CA 94117</t>
  </si>
  <si>
    <t>210 Steiner St</t>
  </si>
  <si>
    <t>Seller Carryback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</si>
</sst>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95885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1259</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zoomScale="85" zoomScaleNormal="85" workbookViewId="0">
      <selection activeCell="O20" sqref="O20"/>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8" t="s">
        <v>1586</v>
      </c>
      <c r="B1" s="2658"/>
      <c r="C1" s="2658"/>
      <c r="D1" s="2658"/>
      <c r="E1" s="2658"/>
      <c r="F1" s="2658"/>
      <c r="G1" s="2658"/>
      <c r="H1" s="2658"/>
      <c r="I1" s="2658"/>
      <c r="J1" s="2658"/>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42525618</v>
      </c>
      <c r="I3" s="1107"/>
    </row>
    <row r="4" spans="1:13" s="1052" customFormat="1" ht="20.100000000000001" customHeight="1">
      <c r="B4" s="1096"/>
      <c r="D4" s="1110"/>
      <c r="F4" s="1094" t="s">
        <v>1994</v>
      </c>
      <c r="G4" s="1093" t="s">
        <v>1993</v>
      </c>
      <c r="H4" s="1095">
        <f>I18</f>
        <v>19280376.17761438</v>
      </c>
      <c r="I4" s="1097"/>
      <c r="K4" s="1056"/>
    </row>
    <row r="5" spans="1:13" s="1052" customFormat="1" ht="20.100000000000001" customHeight="1" thickBot="1">
      <c r="B5" s="1098"/>
      <c r="C5" s="1099"/>
      <c r="D5" s="1111"/>
      <c r="E5" s="1100"/>
      <c r="F5" s="1111" t="s">
        <v>1943</v>
      </c>
      <c r="G5" s="1112"/>
      <c r="H5" s="1108">
        <f>IFERROR(H3/H4,0)</f>
        <v>2.2056425459880122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1" t="s">
        <v>1941</v>
      </c>
      <c r="C8" s="2662"/>
      <c r="D8" s="2662"/>
      <c r="E8" s="2663"/>
      <c r="G8" s="2664" t="s">
        <v>1942</v>
      </c>
      <c r="H8" s="2665"/>
      <c r="I8" s="2666"/>
      <c r="K8" s="1058"/>
    </row>
    <row r="9" spans="1:13" ht="15" customHeight="1">
      <c r="A9" s="1047"/>
      <c r="B9" s="2659" t="s">
        <v>1975</v>
      </c>
      <c r="C9" s="2659"/>
      <c r="D9" s="2659"/>
      <c r="E9" s="1060">
        <f>G33</f>
        <v>6522499.9999999991</v>
      </c>
      <c r="G9" s="2667" t="s">
        <v>1973</v>
      </c>
      <c r="H9" s="2667"/>
      <c r="I9" s="1061">
        <f>Application!AM554</f>
        <v>27010622</v>
      </c>
      <c r="K9" s="1062"/>
      <c r="M9" s="1063"/>
    </row>
    <row r="10" spans="1:13" ht="15" customHeight="1" thickBot="1">
      <c r="A10" s="1047"/>
      <c r="B10" s="2659" t="s">
        <v>1976</v>
      </c>
      <c r="C10" s="2659"/>
      <c r="D10" s="2659"/>
      <c r="E10" s="1061">
        <f>G47</f>
        <v>20436767.999999996</v>
      </c>
      <c r="G10" s="2671" t="s">
        <v>1944</v>
      </c>
      <c r="H10" s="2671"/>
      <c r="I10" s="1142">
        <f>'Basis &amp; Credits'!AB78</f>
        <v>0</v>
      </c>
      <c r="M10" s="1063"/>
    </row>
    <row r="11" spans="1:13" ht="15" customHeight="1">
      <c r="A11" s="1047"/>
      <c r="B11" s="2675" t="s">
        <v>2266</v>
      </c>
      <c r="C11" s="2676"/>
      <c r="D11" s="2677"/>
      <c r="E11" s="1061">
        <f>SUM(E12,E13)</f>
        <v>2130000</v>
      </c>
      <c r="G11" s="2674" t="s">
        <v>1984</v>
      </c>
      <c r="H11" s="2674"/>
      <c r="I11" s="1141">
        <f>I9+I10</f>
        <v>27010622</v>
      </c>
      <c r="M11" s="1063"/>
    </row>
    <row r="12" spans="1:13" ht="15" customHeight="1">
      <c r="A12" s="1064"/>
      <c r="B12" s="2660" t="s">
        <v>2268</v>
      </c>
      <c r="C12" s="2660"/>
      <c r="D12" s="2660"/>
      <c r="E12" s="1167">
        <f>G56</f>
        <v>710000</v>
      </c>
      <c r="M12" s="1063"/>
    </row>
    <row r="13" spans="1:13" ht="15" customHeight="1">
      <c r="A13" s="1050"/>
      <c r="B13" s="2660" t="s">
        <v>2269</v>
      </c>
      <c r="C13" s="2660"/>
      <c r="D13" s="2660"/>
      <c r="E13" s="1167">
        <f>G65</f>
        <v>1420000</v>
      </c>
      <c r="G13" s="2664" t="s">
        <v>2008</v>
      </c>
      <c r="H13" s="2665"/>
      <c r="I13" s="2666"/>
      <c r="M13" s="1063"/>
    </row>
    <row r="14" spans="1:13" ht="15" customHeight="1">
      <c r="A14" s="1050"/>
      <c r="B14" s="2675" t="s">
        <v>2267</v>
      </c>
      <c r="C14" s="2676"/>
      <c r="D14" s="2677"/>
      <c r="E14" s="1169">
        <f>MAX(E15,E16)+E17</f>
        <v>13436350</v>
      </c>
      <c r="G14" s="2667" t="s">
        <v>139</v>
      </c>
      <c r="H14" s="2667"/>
      <c r="I14" s="1065">
        <f>15%*(AND(G120="Yes",G122&lt;&gt;""))</f>
        <v>0.15</v>
      </c>
      <c r="M14" s="1063"/>
    </row>
    <row r="15" spans="1:13" ht="15" customHeight="1">
      <c r="A15" s="1050"/>
      <c r="B15" s="2678" t="s">
        <v>2273</v>
      </c>
      <c r="C15" s="2679"/>
      <c r="D15" s="2680"/>
      <c r="E15" s="1167">
        <f>G80</f>
        <v>3913499.9999999995</v>
      </c>
      <c r="G15" s="1139" t="s">
        <v>1985</v>
      </c>
      <c r="H15" s="1139"/>
      <c r="I15" s="1065">
        <f>IF(Application!AJ1032&gt;0,10%,IF(Application!AJ1036&gt;0,5%,0))</f>
        <v>0.05</v>
      </c>
      <c r="M15" s="1063"/>
    </row>
    <row r="16" spans="1:13" ht="15" customHeight="1">
      <c r="A16" s="1050"/>
      <c r="B16" s="2678" t="s">
        <v>2272</v>
      </c>
      <c r="C16" s="2679"/>
      <c r="D16" s="2680"/>
      <c r="E16" s="1167">
        <f>G90</f>
        <v>2609000</v>
      </c>
      <c r="G16" s="2667" t="s">
        <v>1986</v>
      </c>
      <c r="H16" s="2667"/>
      <c r="I16" s="1065">
        <f>G132</f>
        <v>8.6192810457516339E-2</v>
      </c>
    </row>
    <row r="17" spans="1:21" ht="15" customHeight="1" thickBot="1">
      <c r="A17" s="1050"/>
      <c r="B17" s="2678" t="s">
        <v>2271</v>
      </c>
      <c r="C17" s="2679"/>
      <c r="D17" s="2680"/>
      <c r="E17" s="1167">
        <f>G115</f>
        <v>9522850</v>
      </c>
      <c r="G17" s="2667" t="s">
        <v>2281</v>
      </c>
      <c r="H17" s="2667"/>
      <c r="I17" s="1065">
        <f>IF(AND(G139="Yes",OR(G136,G137)),IF(G143&gt;15%,15%,G143),0)</f>
        <v>0</v>
      </c>
    </row>
    <row r="18" spans="1:21" ht="15" customHeight="1">
      <c r="A18" s="1047"/>
      <c r="B18" s="2670" t="s">
        <v>1940</v>
      </c>
      <c r="C18" s="2670"/>
      <c r="D18" s="2670"/>
      <c r="E18" s="1113">
        <f>SUM(E9:E11,E14)</f>
        <v>42525618</v>
      </c>
      <c r="G18" s="1140" t="s">
        <v>1974</v>
      </c>
      <c r="H18" s="1140"/>
      <c r="I18" s="1114">
        <f>I11-((I11*I14)+(I11*I15)+(I11*I16)+(I11*I17))</f>
        <v>19280376.17761438</v>
      </c>
      <c r="M18" s="1066">
        <f>SUM(Cdlac[Quantity])</f>
        <v>143</v>
      </c>
      <c r="O18" s="1086" t="s">
        <v>583</v>
      </c>
      <c r="P18" s="1045">
        <f>MATCH(Application!T189,Application!CB160:CB217,0)</f>
        <v>1</v>
      </c>
      <c r="T18" s="1066">
        <f>SUM(Cdlac[Population])</f>
        <v>143</v>
      </c>
    </row>
    <row r="19" spans="1:21" ht="15" customHeight="1">
      <c r="A19" s="1047"/>
      <c r="B19" s="1047"/>
      <c r="C19" s="1047"/>
      <c r="D19" s="1047"/>
      <c r="E19" s="1047"/>
      <c r="L19" s="1045" t="s">
        <v>1936</v>
      </c>
      <c r="M19" s="1045" t="s">
        <v>1935</v>
      </c>
      <c r="N19" s="1045" t="s">
        <v>1947</v>
      </c>
      <c r="O19" s="1045" t="s">
        <v>1948</v>
      </c>
      <c r="P19" s="1045" t="s">
        <v>1937</v>
      </c>
      <c r="Q19" s="1045" t="s">
        <v>2264</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13</v>
      </c>
      <c r="N20" s="1072">
        <f>Application!AC718</f>
        <v>0.3</v>
      </c>
      <c r="O20" s="1072">
        <f>IF(Cdlac[[#This Row],[Quantity]]&gt;0,IF(Cdlac[[#This Row],[Federal]],30%,IF(AND(OR(NOT($G$38),$G$38=""),$G$43),40%,Cdlac[[#This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13</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0</v>
      </c>
      <c r="M21" s="1066">
        <f>Application!G719</f>
        <v>3</v>
      </c>
      <c r="N21" s="1072">
        <f>Application!AC719</f>
        <v>0.3</v>
      </c>
      <c r="O21" s="1072">
        <f>IF(Cdlac[[#This Row],[Quantity]]&gt;0,IF(Cdlac[[#This Row],[Federal]],30%,IF(AND(OR(NOT($G$38),$G$38=""),$G$43),40%,Cdlac[[#This Row],[iAMI]])),"")</f>
        <v>0.3</v>
      </c>
      <c r="P21" s="1066" cm="1">
        <f t="array" ref="P21">IF(Cdlac[[#This Row],[Quantity]]&gt;0,INDEX(TcacRents,$P$18,Cdlac[[#This Row],[Bedrooms]]+1)*Cdlac[[#This Row],[AMI]],"")</f>
        <v>817.19999999999993</v>
      </c>
      <c r="Q21" s="1166"/>
      <c r="R21" s="1066" cm="1">
        <f t="array" ref="R21">IF(Cdlac[[#This Row],[Quantity]]&gt;0,INDEX(HudFmrs,$P$18,Cdlac[[#This Row],[Bedrooms]]+1),"")</f>
        <v>1825</v>
      </c>
      <c r="S21" s="1066">
        <f>IF(Cdlac[[#This Row],[Quantity]]&gt;0,MAX(0,Cdlac[[#This Row],[Fair Market Rent]]-IF(AND($G$37,$G$38,$G$38&lt;&gt;"",NOT(Cdlac[[#This Row],[Federal]]),Cdlac[[#This Row],[Preservation Rent]]&lt;&gt;""),Cdlac[[#This Row],[Preservation Rent]],Cdlac[[#This Row],[Restricted Rent]])),"")</f>
        <v>1007.8000000000001</v>
      </c>
      <c r="T21" s="1045">
        <f>IF(Cdlac[[#This Row],[Quantity]]&gt;0,AND(Application!AK719&lt;&gt;"N/A",Application!AK719&lt;&gt;"")*Cdlac[[#This Row],[Quantity]],"")</f>
        <v>3</v>
      </c>
      <c r="U21" s="1045" t="b">
        <f>AND('Subsidy Contract Calculation'!F5&gt;0,OR('Subsidy Contract Calculation'!C5="Federal",'Subsidy Contract Calculation'!C5="Local - Approved by ED"),Cdlac[[#This Row],[Quantity]]&gt;0)</f>
        <v>1</v>
      </c>
    </row>
    <row r="22" spans="1:21" ht="15" customHeight="1">
      <c r="A22" s="1050"/>
      <c r="C22" s="2668" t="s">
        <v>1988</v>
      </c>
      <c r="D22" s="2668" t="s">
        <v>1989</v>
      </c>
      <c r="E22" s="2668" t="s">
        <v>1990</v>
      </c>
      <c r="F22" s="2668" t="s">
        <v>1991</v>
      </c>
      <c r="G22" s="2668" t="s">
        <v>1987</v>
      </c>
      <c r="H22" s="1071"/>
      <c r="I22" s="1070"/>
      <c r="L22" s="1045">
        <f>IFERROR(MIN(4,MATCH(Application!B720,UnitSizes,0)-1),"")</f>
        <v>0</v>
      </c>
      <c r="M22" s="1066">
        <f>Application!G720</f>
        <v>30</v>
      </c>
      <c r="N22" s="1072">
        <f>Application!AC720</f>
        <v>0.3</v>
      </c>
      <c r="O22" s="1072">
        <f>IF(Cdlac[[#This Row],[Quantity]]&gt;0,IF(Cdlac[[#This Row],[Federal]],30%,IF(AND(OR(NOT($G$38),$G$38=""),$G$43),40%,Cdlac[[#This Row],[iAMI]])),"")</f>
        <v>0.4</v>
      </c>
      <c r="P22" s="1066" cm="1">
        <f t="array" ref="P22">IF(Cdlac[[#This Row],[Quantity]]&gt;0,INDEX(TcacRents,$P$18,Cdlac[[#This Row],[Bedrooms]]+1)*Cdlac[[#This Row],[AMI]],"")</f>
        <v>1089.6000000000001</v>
      </c>
      <c r="Q22" s="1166"/>
      <c r="R22" s="1066" cm="1">
        <f t="array" ref="R22">IF(Cdlac[[#This Row],[Quantity]]&gt;0,INDEX(HudFmrs,$P$18,Cdlac[[#This Row],[Bedrooms]]+1),"")</f>
        <v>1825</v>
      </c>
      <c r="S22" s="1066">
        <f>IF(Cdlac[[#This Row],[Quantity]]&gt;0,MAX(0,Cdlac[[#This Row],[Fair Market Rent]]-IF(AND($G$37,$G$38,$G$38&lt;&gt;"",NOT(Cdlac[[#This Row],[Federal]]),Cdlac[[#This Row],[Preservation Rent]]&lt;&gt;""),Cdlac[[#This Row],[Preservation Rent]],Cdlac[[#This Row],[Restricted Rent]])),"")</f>
        <v>735.39999999999986</v>
      </c>
      <c r="T22" s="1045">
        <f>IF(Cdlac[[#This Row],[Quantity]]&gt;0,AND(Application!AK720&lt;&gt;"N/A",Application!AK720&lt;&gt;"")*Cdlac[[#This Row],[Quantity]],"")</f>
        <v>30</v>
      </c>
      <c r="U22" s="1045" t="b">
        <f>AND('Subsidy Contract Calculation'!F6&gt;0,OR('Subsidy Contract Calculation'!C6="Federal",'Subsidy Contract Calculation'!C6="Local - Approved by ED"),Cdlac[[#This Row],[Quantity]]&gt;0)</f>
        <v>0</v>
      </c>
    </row>
    <row r="23" spans="1:21" ht="15" customHeight="1">
      <c r="A23" s="1050"/>
      <c r="C23" s="2669"/>
      <c r="D23" s="2669"/>
      <c r="E23" s="2669"/>
      <c r="F23" s="2669"/>
      <c r="G23" s="2669"/>
      <c r="H23" s="1071"/>
      <c r="I23" s="1070"/>
      <c r="L23" s="1045">
        <f>IFERROR(MIN(4,MATCH(Application!B721,UnitSizes,0)-1),"")</f>
        <v>0</v>
      </c>
      <c r="M23" s="1066">
        <f>Application!G721</f>
        <v>40</v>
      </c>
      <c r="N23" s="1072">
        <f>Application!AC721</f>
        <v>0.3</v>
      </c>
      <c r="O23" s="1072">
        <f>IF(Cdlac[[#This Row],[Quantity]]&gt;0,IF(Cdlac[[#This Row],[Federal]],30%,IF(AND(OR(NOT($G$38),$G$38=""),$G$43),40%,Cdlac[[#This Row],[iAMI]])),"")</f>
        <v>0.4</v>
      </c>
      <c r="P23" s="1066" cm="1">
        <f t="array" ref="P23">IF(Cdlac[[#This Row],[Quantity]]&gt;0,INDEX(TcacRents,$P$18,Cdlac[[#This Row],[Bedrooms]]+1)*Cdlac[[#This Row],[AMI]],"")</f>
        <v>1089.6000000000001</v>
      </c>
      <c r="Q23" s="1166"/>
      <c r="R23" s="1066" cm="1">
        <f t="array" ref="R23">IF(Cdlac[[#This Row],[Quantity]]&gt;0,INDEX(HudFmrs,$P$18,Cdlac[[#This Row],[Bedrooms]]+1),"")</f>
        <v>1825</v>
      </c>
      <c r="S23" s="1066">
        <f>IF(Cdlac[[#This Row],[Quantity]]&gt;0,MAX(0,Cdlac[[#This Row],[Fair Market Rent]]-IF(AND($G$37,$G$38,$G$38&lt;&gt;"",NOT(Cdlac[[#This Row],[Federal]]),Cdlac[[#This Row],[Preservation Rent]]&lt;&gt;""),Cdlac[[#This Row],[Preservation Rent]],Cdlac[[#This Row],[Restricted Rent]])),"")</f>
        <v>735.39999999999986</v>
      </c>
      <c r="T23" s="1045">
        <f>IF(Cdlac[[#This Row],[Quantity]]&gt;0,AND(Application!AK721&lt;&gt;"N/A",Application!AK721&lt;&gt;"")*Cdlac[[#This Row],[Quantity]],"")</f>
        <v>40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138</v>
      </c>
      <c r="F24" s="1073">
        <f>E24</f>
        <v>138</v>
      </c>
      <c r="G24" s="1073">
        <f>D24*F24</f>
        <v>124.2</v>
      </c>
      <c r="L24" s="1045">
        <f>IFERROR(MIN(4,MATCH(Application!B722,UnitSizes,0)-1),"")</f>
        <v>0</v>
      </c>
      <c r="M24" s="1066">
        <f>Application!G722</f>
        <v>52</v>
      </c>
      <c r="N24" s="1072">
        <f>Application!AC722</f>
        <v>0.3</v>
      </c>
      <c r="O24" s="1072">
        <f>IF(Cdlac[[#This Row],[Quantity]]&gt;0,IF(Cdlac[[#This Row],[Federal]],30%,IF(AND(OR(NOT($G$38),$G$38=""),$G$43),40%,Cdlac[[#This Row],[iAMI]])),"")</f>
        <v>0.4</v>
      </c>
      <c r="P24" s="1066" cm="1">
        <f t="array" ref="P24">IF(Cdlac[[#This Row],[Quantity]]&gt;0,INDEX(TcacRents,$P$18,Cdlac[[#This Row],[Bedrooms]]+1)*Cdlac[[#This Row],[AMI]],"")</f>
        <v>1089.6000000000001</v>
      </c>
      <c r="Q24" s="1166"/>
      <c r="R24" s="1066" cm="1">
        <f t="array" ref="R24">IF(Cdlac[[#This Row],[Quantity]]&gt;0,INDEX(HudFmrs,$P$18,Cdlac[[#This Row],[Bedrooms]]+1),"")</f>
        <v>1825</v>
      </c>
      <c r="S24" s="1066">
        <f>IF(Cdlac[[#This Row],[Quantity]]&gt;0,MAX(0,Cdlac[[#This Row],[Fair Market Rent]]-IF(AND($G$37,$G$38,$G$38&lt;&gt;"",NOT(Cdlac[[#This Row],[Federal]]),Cdlac[[#This Row],[Preservation Rent]]&lt;&gt;""),Cdlac[[#This Row],[Preservation Rent]],Cdlac[[#This Row],[Restricted Rent]])),"")</f>
        <v>735.39999999999986</v>
      </c>
      <c r="T24" s="1045">
        <f>IF(Cdlac[[#This Row],[Quantity]]&gt;0,AND(Application!AK722&lt;&gt;"N/A",Application!AK722&lt;&gt;"")*Cdlac[[#This Row],[Quantity]],"")</f>
        <v>52</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5</v>
      </c>
      <c r="F26" s="1076">
        <f>SUM(E26:E28)-SUM(F27:F28)</f>
        <v>5</v>
      </c>
      <c r="G26" s="1073">
        <f>D26*F26</f>
        <v>6.25</v>
      </c>
      <c r="H26" s="1075"/>
      <c r="I26" s="1075"/>
      <c r="L26" s="1045">
        <f>IFERROR(MIN(4,MATCH(Application!B724,UnitSizes,0)-1),"")</f>
        <v>2</v>
      </c>
      <c r="M26" s="1066">
        <f>Application!G724</f>
        <v>5</v>
      </c>
      <c r="N26" s="1072">
        <f>Application!AC724</f>
        <v>0.3</v>
      </c>
      <c r="O26" s="1072">
        <f>IF(Cdlac[[#This Row],[Quantity]]&gt;0,IF(Cdlac[[#This Row],[Federal]],30%,IF(AND(OR(NOT($G$38),$G$38=""),$G$43),40%,Cdlac[[#This Row],[iAMI]])),"")</f>
        <v>0.3</v>
      </c>
      <c r="P26" s="1066" cm="1">
        <f t="array" ref="P26">IF(Cdlac[[#This Row],[Quantity]]&gt;0,INDEX(TcacRents,$P$18,Cdlac[[#This Row],[Bedrooms]]+1)*Cdlac[[#This Row],[AMI]],"")</f>
        <v>1051.2</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1538.8</v>
      </c>
      <c r="T26" s="1045">
        <f>IF(Cdlac[[#This Row],[Quantity]]&gt;0,AND(Application!AK724&lt;&gt;"N/A",Application!AK724&lt;&gt;"")*Cdlac[[#This Row],[Quantity]],"")</f>
        <v>5</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2" t="s">
        <v>1587</v>
      </c>
      <c r="D29" s="2683"/>
      <c r="E29" s="1091">
        <f>SUM(E24:E28)</f>
        <v>143</v>
      </c>
      <c r="F29" s="1091">
        <f>SUM(F24:F28)</f>
        <v>143</v>
      </c>
      <c r="G29" s="1092">
        <f>SUMPRODUCT(D24:D28,F24:F28)</f>
        <v>130.44999999999999</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130.44999999999999</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6522499.9999999991</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0.3</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1</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113537.59999999998</v>
      </c>
    </row>
    <row r="46" spans="1:21" ht="15" customHeight="1">
      <c r="E46" s="1119" t="s">
        <v>2007</v>
      </c>
      <c r="F46" s="1115" t="s">
        <v>1995</v>
      </c>
      <c r="G46" s="1123">
        <f>12*15</f>
        <v>180</v>
      </c>
    </row>
    <row r="47" spans="1:21" ht="15" customHeight="1">
      <c r="E47" s="1124" t="s">
        <v>1945</v>
      </c>
      <c r="F47" s="1047"/>
      <c r="G47" s="1125">
        <f>G45*G46</f>
        <v>20436767.999999996</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143</v>
      </c>
    </row>
    <row r="52" spans="2:9" ht="15" customHeight="1">
      <c r="E52" s="1119" t="s">
        <v>1997</v>
      </c>
      <c r="G52" s="1116">
        <f>ROUNDDOWN(E29*50%,0)</f>
        <v>71</v>
      </c>
    </row>
    <row r="53" spans="2:9" ht="15" customHeight="1">
      <c r="E53" s="1119"/>
      <c r="G53" s="1127"/>
    </row>
    <row r="54" spans="2:9" ht="15" customHeight="1">
      <c r="E54" s="1119" t="s">
        <v>1956</v>
      </c>
      <c r="G54" s="1116">
        <f>MIN(G51:G52)</f>
        <v>71</v>
      </c>
    </row>
    <row r="55" spans="2:9" ht="15" customHeight="1">
      <c r="E55" s="1119" t="s">
        <v>1946</v>
      </c>
      <c r="F55" s="1115" t="s">
        <v>1995</v>
      </c>
      <c r="G55" s="1126">
        <v>10000</v>
      </c>
    </row>
    <row r="56" spans="2:9" ht="15" customHeight="1">
      <c r="E56" s="1120" t="s">
        <v>1979</v>
      </c>
      <c r="F56" s="1047"/>
      <c r="G56" s="1125">
        <f>G54*G55</f>
        <v>710000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143</v>
      </c>
    </row>
    <row r="61" spans="2:9" ht="15" customHeight="1">
      <c r="E61" s="1119" t="s">
        <v>1997</v>
      </c>
      <c r="G61" s="1080">
        <f>ROUNDDOWN(E29*50%,0)</f>
        <v>71</v>
      </c>
    </row>
    <row r="62" spans="2:9" ht="15" customHeight="1">
      <c r="E62" s="1119"/>
      <c r="G62" s="1080"/>
    </row>
    <row r="63" spans="2:9" ht="15" customHeight="1">
      <c r="E63" s="1119" t="s">
        <v>1956</v>
      </c>
      <c r="G63" s="1116">
        <f>MIN(G60:G61)</f>
        <v>71</v>
      </c>
    </row>
    <row r="64" spans="2:9" ht="15" customHeight="1">
      <c r="E64" s="1119" t="s">
        <v>1946</v>
      </c>
      <c r="F64" s="1115" t="s">
        <v>1995</v>
      </c>
      <c r="G64" s="1126">
        <v>20000</v>
      </c>
    </row>
    <row r="65" spans="2:14" ht="15" customHeight="1">
      <c r="E65" s="1120" t="s">
        <v>1978</v>
      </c>
      <c r="F65" s="1047"/>
      <c r="G65" s="1125">
        <f>G63*G64</f>
        <v>1420000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546</v>
      </c>
    </row>
    <row r="72" spans="2:14" ht="15" customHeight="1">
      <c r="C72" s="1078" t="s">
        <v>1970</v>
      </c>
      <c r="G72" s="1045" t="str">
        <f>Application!T193</f>
        <v>Moderate Resource</v>
      </c>
      <c r="L72" s="2655" t="s">
        <v>1971</v>
      </c>
      <c r="M72" s="2656"/>
      <c r="N72" s="1133">
        <v>30000</v>
      </c>
    </row>
    <row r="73" spans="2:14" ht="15" customHeight="1">
      <c r="C73" s="2657" t="s">
        <v>2265</v>
      </c>
      <c r="D73" s="2657"/>
      <c r="E73" s="2657"/>
      <c r="F73" s="2657"/>
      <c r="G73" s="1044" t="s">
        <v>546</v>
      </c>
      <c r="L73" s="2672" t="s">
        <v>1939</v>
      </c>
      <c r="M73" s="2673"/>
      <c r="N73" s="1134">
        <v>20000</v>
      </c>
    </row>
    <row r="74" spans="2:14" ht="15" customHeight="1" thickBot="1">
      <c r="C74" s="2657"/>
      <c r="D74" s="2657"/>
      <c r="E74" s="2657"/>
      <c r="F74" s="2657"/>
      <c r="L74" s="2647" t="s">
        <v>1972</v>
      </c>
      <c r="M74" s="2648"/>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130.44999999999999</v>
      </c>
    </row>
    <row r="80" spans="2:14" ht="15" customHeight="1">
      <c r="D80" s="1047"/>
      <c r="E80" s="1120" t="s">
        <v>2270</v>
      </c>
      <c r="F80" s="1047"/>
      <c r="G80" s="1125">
        <f>G79*G78*G76</f>
        <v>3913499.9999999995</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546</v>
      </c>
    </row>
    <row r="85" spans="2:9" ht="15" customHeight="1">
      <c r="F85" s="1118"/>
    </row>
    <row r="86" spans="2:9" ht="15" customHeight="1">
      <c r="E86" s="1086" t="s">
        <v>2002</v>
      </c>
      <c r="G86" s="1080" t="b">
        <f>G84="Yes"</f>
        <v>1</v>
      </c>
    </row>
    <row r="87" spans="2:9" ht="15" customHeight="1"/>
    <row r="88" spans="2:9" ht="15" customHeight="1">
      <c r="E88" s="1086" t="str">
        <f>E96</f>
        <v>Bedroom-Adjusted Low-Income Units</v>
      </c>
      <c r="G88" s="1116">
        <f>G29</f>
        <v>130.44999999999999</v>
      </c>
    </row>
    <row r="89" spans="2:9" ht="15" customHeight="1">
      <c r="E89" s="1086" t="s">
        <v>1946</v>
      </c>
      <c r="F89" s="1115" t="s">
        <v>1995</v>
      </c>
      <c r="G89" s="1051">
        <v>20000</v>
      </c>
    </row>
    <row r="90" spans="2:9" ht="15" customHeight="1">
      <c r="E90" s="1120" t="s">
        <v>2274</v>
      </c>
      <c r="F90" s="1047"/>
      <c r="G90" s="1125">
        <f>G86*G89*G88</f>
        <v>2609000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130.44999999999999</v>
      </c>
    </row>
    <row r="97" spans="2:14" ht="15" customHeight="1">
      <c r="E97" s="1120" t="s">
        <v>1963</v>
      </c>
      <c r="F97" s="1047"/>
      <c r="G97" s="1125">
        <f>G94*G95*G96</f>
        <v>3652599.9999999995</v>
      </c>
      <c r="L97" s="1129" t="str">
        <f>'Points System'!H638</f>
        <v>(i)</v>
      </c>
      <c r="M97" s="2653" t="s">
        <v>1406</v>
      </c>
      <c r="N97" s="2654"/>
    </row>
    <row r="98" spans="2:14" ht="15" customHeight="1">
      <c r="C98" s="1078"/>
      <c r="G98" s="1116"/>
      <c r="L98" s="1130" t="str">
        <f>'Points System'!H650</f>
        <v>(i)</v>
      </c>
      <c r="M98" s="2649" t="s">
        <v>1958</v>
      </c>
      <c r="N98" s="2650"/>
    </row>
    <row r="99" spans="2:14" ht="15" customHeight="1">
      <c r="E99" s="1086" t="s">
        <v>2000</v>
      </c>
      <c r="G99" s="1128">
        <f>COUNTIFS(L97:L104,"(i)")</f>
        <v>5</v>
      </c>
      <c r="L99" s="1130" t="str">
        <f>'Points System'!H685</f>
        <v>(ii)</v>
      </c>
      <c r="M99" s="2649" t="s">
        <v>1959</v>
      </c>
      <c r="N99" s="2650"/>
    </row>
    <row r="100" spans="2:14" ht="15" customHeight="1">
      <c r="E100" s="1086" t="s">
        <v>1946</v>
      </c>
      <c r="F100" s="1115" t="s">
        <v>1995</v>
      </c>
      <c r="G100" s="1126">
        <v>4000</v>
      </c>
      <c r="L100" s="1130" t="str">
        <f>IF(OR('Points System'!H709="(ii)",'Points System'!H709="(i)"),"(i)","N/A")</f>
        <v>N/A</v>
      </c>
      <c r="M100" s="2649" t="s">
        <v>1960</v>
      </c>
      <c r="N100" s="2650"/>
    </row>
    <row r="101" spans="2:14" ht="15" customHeight="1">
      <c r="E101" s="1120" t="s">
        <v>1964</v>
      </c>
      <c r="F101" s="1047"/>
      <c r="G101" s="1125">
        <f>G96*G99*G100</f>
        <v>2609000</v>
      </c>
      <c r="L101" s="1131" t="str">
        <f>'Points System'!H723</f>
        <v>N/A</v>
      </c>
      <c r="M101" s="2649" t="s">
        <v>1432</v>
      </c>
      <c r="N101" s="2650"/>
    </row>
    <row r="102" spans="2:14" ht="15" customHeight="1">
      <c r="L102" s="1130" t="str">
        <f>'Points System'!H735</f>
        <v>(i)</v>
      </c>
      <c r="M102" s="2649" t="s">
        <v>1961</v>
      </c>
      <c r="N102" s="2650"/>
    </row>
    <row r="103" spans="2:14" ht="15" customHeight="1">
      <c r="C103" s="1081" t="s">
        <v>1966</v>
      </c>
      <c r="L103" s="1130" t="str">
        <f>'Points System'!H751</f>
        <v>(i)</v>
      </c>
      <c r="M103" s="2649" t="s">
        <v>1962</v>
      </c>
      <c r="N103" s="2650"/>
    </row>
    <row r="104" spans="2:14" ht="15" customHeight="1" thickBot="1">
      <c r="C104" s="1078" t="s">
        <v>1967</v>
      </c>
      <c r="G104" s="1044"/>
      <c r="L104" s="1132" t="str">
        <f>'Points System'!H763</f>
        <v>(i)</v>
      </c>
      <c r="M104" s="2651" t="s">
        <v>1435</v>
      </c>
      <c r="N104" s="2652"/>
    </row>
    <row r="105" spans="2:14" ht="15" customHeight="1">
      <c r="C105" s="1078" t="s">
        <v>1968</v>
      </c>
      <c r="G105" s="1044"/>
    </row>
    <row r="106" spans="2:14" ht="15" customHeight="1">
      <c r="C106" s="1078" t="s">
        <v>2142</v>
      </c>
      <c r="G106" s="1044" t="s">
        <v>546</v>
      </c>
    </row>
    <row r="107" spans="2:14" ht="15" customHeight="1">
      <c r="C107" s="1078" t="s">
        <v>2143</v>
      </c>
      <c r="G107" s="1044" t="s">
        <v>546</v>
      </c>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130.44999999999999</v>
      </c>
    </row>
    <row r="112" spans="2:14" ht="15" customHeight="1">
      <c r="E112" s="1086" t="s">
        <v>1946</v>
      </c>
      <c r="F112" s="1115" t="s">
        <v>1995</v>
      </c>
      <c r="G112" s="1126">
        <v>25000</v>
      </c>
    </row>
    <row r="113" spans="2:9" ht="15" customHeight="1">
      <c r="E113" s="1120" t="s">
        <v>1965</v>
      </c>
      <c r="F113" s="1047"/>
      <c r="G113" s="1125">
        <f>G109*G112*G96</f>
        <v>3261249.9999999995</v>
      </c>
    </row>
    <row r="114" spans="2:9" ht="15" customHeight="1">
      <c r="C114" s="1078"/>
      <c r="E114" s="1078"/>
    </row>
    <row r="115" spans="2:9" ht="15" customHeight="1">
      <c r="E115" s="1120" t="s">
        <v>2275</v>
      </c>
      <c r="G115" s="1125">
        <f>G113+G101+G97</f>
        <v>9522850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4" t="s">
        <v>2230</v>
      </c>
      <c r="D119" s="2684"/>
      <c r="E119" s="2684"/>
      <c r="F119" s="2684"/>
    </row>
    <row r="120" spans="2:9" ht="15" customHeight="1">
      <c r="C120" s="2684"/>
      <c r="D120" s="2684"/>
      <c r="E120" s="2684"/>
      <c r="F120" s="2684"/>
      <c r="G120" s="1044" t="s">
        <v>546</v>
      </c>
    </row>
    <row r="121" spans="2:9" ht="15" customHeight="1"/>
    <row r="122" spans="2:9" ht="15" customHeight="1">
      <c r="C122" s="1045" t="s">
        <v>2232</v>
      </c>
      <c r="G122" s="2686" t="s">
        <v>139</v>
      </c>
      <c r="H122" s="2686"/>
    </row>
    <row r="123" spans="2:9" ht="15" customHeight="1">
      <c r="G123" s="2686"/>
      <c r="H123" s="2686"/>
    </row>
    <row r="124" spans="2:9" ht="15" customHeight="1">
      <c r="G124" s="2687"/>
      <c r="H124" s="2687"/>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2003</v>
      </c>
      <c r="G131" s="1079">
        <f>MEDIAN((Application!CU160:CU217))</f>
        <v>489600</v>
      </c>
    </row>
    <row r="132" spans="2:9" ht="15">
      <c r="D132" s="1047"/>
      <c r="E132" s="1120" t="s">
        <v>2005</v>
      </c>
      <c r="F132" s="1136"/>
      <c r="G132" s="1137">
        <f>((G130-G131)/G131)*0.25</f>
        <v>8.6192810457516339E-2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81" t="s">
        <v>2278</v>
      </c>
      <c r="D138" s="2681"/>
      <c r="E138" s="2681"/>
      <c r="F138" s="2681"/>
    </row>
    <row r="139" spans="2:9">
      <c r="B139" s="1046"/>
      <c r="C139" s="2681"/>
      <c r="D139" s="2681"/>
      <c r="E139" s="2681"/>
      <c r="F139" s="268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4051593.3</v>
      </c>
    </row>
  </sheetData>
  <sheetProtection algorithmName="SHA-512" hashValue="QW+fjJ3SvqeHOxsXzst2GNe/lWCtjwRKPZ9MBL4Rcouckx5QUpe8NDpek0zJTz0DK0MBArrrztwXDX+zboTtvQ==" saltValue="uZBUh4cPrv5Wuej5WRCwq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zoomScale="85" zoomScaleNormal="85" workbookViewId="0">
      <selection activeCell="L31" sqref="L31"/>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8" t="s">
        <v>910</v>
      </c>
      <c r="B1" s="2688"/>
      <c r="C1" s="2688"/>
      <c r="D1" s="2688"/>
      <c r="E1" s="2688"/>
      <c r="F1" s="2688"/>
      <c r="G1" s="2688"/>
      <c r="H1" s="2688"/>
      <c r="I1" s="2688"/>
      <c r="J1" s="2688"/>
      <c r="K1" s="205"/>
      <c r="L1" s="205"/>
    </row>
    <row r="2" spans="1:12">
      <c r="A2" s="211"/>
      <c r="B2" s="211"/>
      <c r="C2" s="211"/>
      <c r="D2" s="211"/>
      <c r="E2" s="211"/>
      <c r="F2" s="211"/>
      <c r="G2" s="211"/>
      <c r="H2" s="211"/>
      <c r="I2" s="211"/>
      <c r="J2" s="211"/>
    </row>
    <row r="3" spans="1:12" ht="100.5">
      <c r="A3" s="427" t="s">
        <v>911</v>
      </c>
      <c r="B3" s="427" t="s">
        <v>2257</v>
      </c>
      <c r="C3" s="427" t="s">
        <v>2258</v>
      </c>
      <c r="D3" s="1148" t="s">
        <v>2259</v>
      </c>
      <c r="E3" s="205"/>
      <c r="F3" s="1148" t="s">
        <v>912</v>
      </c>
      <c r="G3" s="427" t="s">
        <v>913</v>
      </c>
      <c r="H3" s="428"/>
      <c r="I3" s="427" t="s">
        <v>914</v>
      </c>
      <c r="J3" s="427" t="s">
        <v>915</v>
      </c>
      <c r="K3" s="205"/>
      <c r="L3" s="306"/>
    </row>
    <row r="4" spans="1:12">
      <c r="A4" s="429" t="str">
        <f>Application!B718</f>
        <v>SRO/Studio</v>
      </c>
      <c r="B4" s="1084">
        <f>Application!G718</f>
        <v>13</v>
      </c>
      <c r="C4" s="1164" t="s">
        <v>385</v>
      </c>
      <c r="D4" s="429">
        <f>Application!O718</f>
        <v>468.8</v>
      </c>
      <c r="E4" s="430"/>
      <c r="F4" s="1085">
        <f>1846-Application!M832</f>
        <v>1770</v>
      </c>
      <c r="G4" s="429">
        <f>F4*B4</f>
        <v>23010</v>
      </c>
      <c r="H4" s="430"/>
      <c r="I4" s="429">
        <f t="shared" ref="I4:I27" si="0">IF(F4=0,"",(F4-D4))</f>
        <v>1301.2</v>
      </c>
      <c r="J4" s="429">
        <f t="shared" ref="J4:J27" si="1">IF(F4=0,"",(I4*B4))</f>
        <v>16915.600000000002</v>
      </c>
      <c r="K4" s="205"/>
      <c r="L4" s="306"/>
    </row>
    <row r="5" spans="1:12">
      <c r="A5" s="429" t="str">
        <f>Application!B719</f>
        <v>SRO/Studio</v>
      </c>
      <c r="B5" s="1084">
        <f>Application!G719</f>
        <v>3</v>
      </c>
      <c r="C5" s="1164" t="s">
        <v>385</v>
      </c>
      <c r="D5" s="429">
        <f>Application!O719</f>
        <v>741.2</v>
      </c>
      <c r="E5" s="430"/>
      <c r="F5" s="1085">
        <f>1846-Application!M832</f>
        <v>1770</v>
      </c>
      <c r="G5" s="429">
        <f t="shared" ref="G5:G38" si="2">F5*B5</f>
        <v>5310</v>
      </c>
      <c r="H5" s="430"/>
      <c r="I5" s="429">
        <f t="shared" si="0"/>
        <v>1028.8</v>
      </c>
      <c r="J5" s="429">
        <f t="shared" si="1"/>
        <v>3086.3999999999996</v>
      </c>
      <c r="K5" s="205"/>
      <c r="L5" s="306"/>
    </row>
    <row r="6" spans="1:12">
      <c r="A6" s="429" t="str">
        <f>Application!B720</f>
        <v>SRO/Studio</v>
      </c>
      <c r="B6" s="1084">
        <f>Application!G720</f>
        <v>30</v>
      </c>
      <c r="C6" s="1164"/>
      <c r="D6" s="429">
        <f>Application!O720</f>
        <v>196.4</v>
      </c>
      <c r="E6" s="430"/>
      <c r="F6" s="1085"/>
      <c r="G6" s="429">
        <f t="shared" si="2"/>
        <v>0</v>
      </c>
      <c r="H6" s="430"/>
      <c r="I6" s="429" t="str">
        <f t="shared" si="0"/>
        <v/>
      </c>
      <c r="J6" s="429" t="str">
        <f t="shared" si="1"/>
        <v/>
      </c>
      <c r="K6" s="205"/>
      <c r="L6" s="306"/>
    </row>
    <row r="7" spans="1:12">
      <c r="A7" s="429" t="str">
        <f>Application!B721</f>
        <v>SRO/Studio</v>
      </c>
      <c r="B7" s="1084">
        <f>Application!G721</f>
        <v>40</v>
      </c>
      <c r="C7" s="1164"/>
      <c r="D7" s="429">
        <f>Application!O721</f>
        <v>468.8</v>
      </c>
      <c r="E7" s="430"/>
      <c r="F7" s="1085"/>
      <c r="G7" s="429">
        <f t="shared" si="2"/>
        <v>0</v>
      </c>
      <c r="H7" s="430"/>
      <c r="I7" s="429" t="str">
        <f t="shared" si="0"/>
        <v/>
      </c>
      <c r="J7" s="429" t="str">
        <f t="shared" si="1"/>
        <v/>
      </c>
      <c r="K7" s="205"/>
      <c r="L7" s="306"/>
    </row>
    <row r="8" spans="1:12">
      <c r="A8" s="429" t="str">
        <f>Application!B722</f>
        <v>SRO/Studio</v>
      </c>
      <c r="B8" s="1084">
        <f>Application!G722</f>
        <v>52</v>
      </c>
      <c r="C8" s="1164"/>
      <c r="D8" s="429">
        <f>Application!O722</f>
        <v>741.2</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t="str">
        <f>Application!B724</f>
        <v>2 Bedrooms</v>
      </c>
      <c r="B10" s="1084">
        <f>Application!G724</f>
        <v>5</v>
      </c>
      <c r="C10" s="1164" t="s">
        <v>385</v>
      </c>
      <c r="D10" s="429">
        <f>Application!O724</f>
        <v>881.2</v>
      </c>
      <c r="E10" s="430"/>
      <c r="F10" s="1085">
        <f>2729-Application!U832</f>
        <v>2559</v>
      </c>
      <c r="G10" s="429">
        <f t="shared" si="2"/>
        <v>12795</v>
      </c>
      <c r="H10" s="430"/>
      <c r="I10" s="429">
        <f t="shared" si="0"/>
        <v>1677.8</v>
      </c>
      <c r="J10" s="429">
        <f t="shared" si="1"/>
        <v>8389</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75910.399999999994</v>
      </c>
      <c r="E40" s="430"/>
      <c r="F40" s="430"/>
      <c r="G40" s="433">
        <f>SUM(G4:G38)*12</f>
        <v>493380</v>
      </c>
      <c r="H40" s="434"/>
      <c r="I40" s="432"/>
      <c r="J40" s="433">
        <f>SUM(J4:J38)*12</f>
        <v>340692</v>
      </c>
      <c r="K40" s="205"/>
      <c r="L40" s="307"/>
    </row>
    <row r="41" spans="1:12" ht="15">
      <c r="A41" s="431"/>
      <c r="B41" s="432"/>
      <c r="C41" s="432"/>
      <c r="D41" s="434"/>
      <c r="E41" s="430"/>
      <c r="F41" s="430"/>
      <c r="G41" s="434"/>
      <c r="H41" s="434"/>
      <c r="I41" s="432"/>
      <c r="J41" s="434"/>
      <c r="K41" s="205"/>
      <c r="L41" s="307"/>
    </row>
    <row r="42" spans="1:12">
      <c r="A42" s="305" t="s">
        <v>2260</v>
      </c>
    </row>
    <row r="43" spans="1:12">
      <c r="A43" s="2689" t="s">
        <v>2499</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2261</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disablePrompts="1"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E55" sqref="E55"/>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2096</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910924.79999999993</v>
      </c>
      <c r="G4" s="220">
        <f>E4*$C$4</f>
        <v>933697.91999999981</v>
      </c>
      <c r="I4" s="220">
        <f>G4*$C$4</f>
        <v>957040.36799999967</v>
      </c>
      <c r="K4" s="220">
        <f>I4*$C$4</f>
        <v>980966.37719999952</v>
      </c>
      <c r="M4" s="220">
        <f>K4*$C$4</f>
        <v>1005490.5366299994</v>
      </c>
      <c r="O4" s="220">
        <f>M4*$C$4</f>
        <v>1030627.8000457493</v>
      </c>
      <c r="Q4" s="220">
        <f>O4*$C$4</f>
        <v>1056393.4950468929</v>
      </c>
      <c r="S4" s="220">
        <f>Q4*$C$4</f>
        <v>1082803.3324230651</v>
      </c>
      <c r="U4" s="220">
        <f>S4*$C$4</f>
        <v>1109873.4157336417</v>
      </c>
      <c r="W4" s="220">
        <f>U4*$C$4</f>
        <v>1137620.2511269827</v>
      </c>
      <c r="Y4" s="220">
        <f>W4*$C$4</f>
        <v>1166060.7574051572</v>
      </c>
      <c r="AA4" s="220">
        <f>Y4*$C$4</f>
        <v>1195212.276340286</v>
      </c>
      <c r="AC4" s="220">
        <f>AA4*$C$4</f>
        <v>1225092.5832487931</v>
      </c>
      <c r="AE4" s="220">
        <f>AC4*$C$4</f>
        <v>1255719.897830013</v>
      </c>
      <c r="AG4" s="220">
        <f>AE4*$C$4</f>
        <v>1287112.8952757632</v>
      </c>
    </row>
    <row r="5" spans="1:34" s="211" customFormat="1" ht="14.25">
      <c r="B5" s="211" t="s">
        <v>839</v>
      </c>
      <c r="C5" s="239">
        <v>0.1</v>
      </c>
      <c r="E5" s="222">
        <f>-E4*$C$5</f>
        <v>-91092.479999999996</v>
      </c>
      <c r="F5" s="222"/>
      <c r="G5" s="222">
        <f>-G4*$C$5</f>
        <v>-93369.791999999987</v>
      </c>
      <c r="H5" s="222"/>
      <c r="I5" s="222">
        <f>-I4*$C$5</f>
        <v>-95704.036799999973</v>
      </c>
      <c r="J5" s="222"/>
      <c r="K5" s="222">
        <f>-K4*$C$5</f>
        <v>-98096.637719999955</v>
      </c>
      <c r="L5" s="222"/>
      <c r="M5" s="222">
        <f>-M4*$C$5</f>
        <v>-100549.05366299994</v>
      </c>
      <c r="N5" s="222"/>
      <c r="O5" s="222">
        <f>-O4*$C$5</f>
        <v>-103062.78000457493</v>
      </c>
      <c r="P5" s="222"/>
      <c r="Q5" s="222">
        <f>-Q4*$C$5</f>
        <v>-105639.34950468929</v>
      </c>
      <c r="R5" s="222"/>
      <c r="S5" s="222">
        <f>-S4*$C$5</f>
        <v>-108280.33324230651</v>
      </c>
      <c r="T5" s="222"/>
      <c r="U5" s="222">
        <f>-U4*$C$5</f>
        <v>-110987.34157336417</v>
      </c>
      <c r="V5" s="222"/>
      <c r="W5" s="222">
        <f>-W4*$C$5</f>
        <v>-113762.02511269828</v>
      </c>
      <c r="X5" s="222"/>
      <c r="Y5" s="222">
        <f>-Y4*$C$5</f>
        <v>-116606.07574051572</v>
      </c>
      <c r="Z5" s="222"/>
      <c r="AA5" s="222">
        <f>-AA4*$C$5</f>
        <v>-119521.2276340286</v>
      </c>
      <c r="AB5" s="222"/>
      <c r="AC5" s="222">
        <f>-AC4*$C$5</f>
        <v>-122509.25832487932</v>
      </c>
      <c r="AD5" s="222"/>
      <c r="AE5" s="222">
        <f>-AE4*$C$5</f>
        <v>-125571.98978300131</v>
      </c>
      <c r="AF5" s="222"/>
      <c r="AG5" s="222">
        <f>-AG4*$C$5</f>
        <v>-128711.28952757633</v>
      </c>
    </row>
    <row r="6" spans="1:34" s="211" customFormat="1" ht="14.25">
      <c r="A6" s="211" t="s">
        <v>837</v>
      </c>
      <c r="C6" s="238">
        <v>1.02</v>
      </c>
      <c r="E6" s="223">
        <f>Application!Z809</f>
        <v>340692</v>
      </c>
      <c r="F6" s="223"/>
      <c r="G6" s="223">
        <f>E6*$C$6</f>
        <v>347505.84</v>
      </c>
      <c r="H6" s="223"/>
      <c r="I6" s="223">
        <f>G6*$C$6</f>
        <v>354455.95680000004</v>
      </c>
      <c r="J6" s="223"/>
      <c r="K6" s="223">
        <f>I6*$C$6</f>
        <v>361545.07593600004</v>
      </c>
      <c r="L6" s="223"/>
      <c r="M6" s="223">
        <f>K6*$C$6</f>
        <v>368775.97745472006</v>
      </c>
      <c r="N6" s="223"/>
      <c r="O6" s="223">
        <f>M6*$C$6</f>
        <v>376151.4970038145</v>
      </c>
      <c r="P6" s="223"/>
      <c r="Q6" s="223">
        <f>O6*$C$6</f>
        <v>383674.52694389079</v>
      </c>
      <c r="R6" s="223"/>
      <c r="S6" s="223">
        <f>Q6*$C$6</f>
        <v>391348.01748276863</v>
      </c>
      <c r="T6" s="223"/>
      <c r="U6" s="223">
        <f>S6*$C$6</f>
        <v>399174.97783242399</v>
      </c>
      <c r="V6" s="223"/>
      <c r="W6" s="223">
        <f>U6*$C$6</f>
        <v>407158.47738907248</v>
      </c>
      <c r="X6" s="223"/>
      <c r="Y6" s="223">
        <f>W6*$C$6</f>
        <v>415301.64693685394</v>
      </c>
      <c r="Z6" s="223"/>
      <c r="AA6" s="223">
        <f>Y6*$C$6</f>
        <v>423607.67987559101</v>
      </c>
      <c r="AB6" s="223"/>
      <c r="AC6" s="223">
        <f>AA6*$C$6</f>
        <v>432079.83347310283</v>
      </c>
      <c r="AD6" s="223"/>
      <c r="AE6" s="223">
        <f>AC6*$C$6</f>
        <v>440721.43014256487</v>
      </c>
      <c r="AF6" s="223"/>
      <c r="AG6" s="223">
        <f>AE6*$C$6</f>
        <v>449535.85874541616</v>
      </c>
    </row>
    <row r="7" spans="1:34" s="211" customFormat="1" ht="14.25">
      <c r="B7" s="211" t="s">
        <v>839</v>
      </c>
      <c r="C7" s="239">
        <v>0.1</v>
      </c>
      <c r="E7" s="222">
        <f>-E6*$C$7</f>
        <v>-34069.200000000004</v>
      </c>
      <c r="F7" s="222"/>
      <c r="G7" s="222">
        <f>-G6*$C$7</f>
        <v>-34750.584000000003</v>
      </c>
      <c r="H7" s="222"/>
      <c r="I7" s="222">
        <f>-I6*$C$7</f>
        <v>-35445.595680000006</v>
      </c>
      <c r="J7" s="222"/>
      <c r="K7" s="222">
        <f>-K6*$C$7</f>
        <v>-36154.507593600007</v>
      </c>
      <c r="L7" s="222"/>
      <c r="M7" s="222">
        <f>-M6*$C$7</f>
        <v>-36877.597745472005</v>
      </c>
      <c r="N7" s="222"/>
      <c r="O7" s="222">
        <f>-O6*$C$7</f>
        <v>-37615.149700381451</v>
      </c>
      <c r="P7" s="222"/>
      <c r="Q7" s="222">
        <f>-Q6*$C$7</f>
        <v>-38367.452694389081</v>
      </c>
      <c r="R7" s="222"/>
      <c r="S7" s="222">
        <f>-S6*$C$7</f>
        <v>-39134.801748276863</v>
      </c>
      <c r="T7" s="222"/>
      <c r="U7" s="222">
        <f>-U6*$C$7</f>
        <v>-39917.497783242405</v>
      </c>
      <c r="V7" s="222"/>
      <c r="W7" s="222">
        <f>-W6*$C$7</f>
        <v>-40715.84773890725</v>
      </c>
      <c r="X7" s="222"/>
      <c r="Y7" s="222">
        <f>-Y6*$C$7</f>
        <v>-41530.164693685394</v>
      </c>
      <c r="Z7" s="222"/>
      <c r="AA7" s="222">
        <f>-AA6*$C$7</f>
        <v>-42360.767987559106</v>
      </c>
      <c r="AB7" s="222"/>
      <c r="AC7" s="222">
        <f>-AC6*$C$7</f>
        <v>-43207.983347310284</v>
      </c>
      <c r="AD7" s="222"/>
      <c r="AE7" s="222">
        <f>-AE6*$C$7</f>
        <v>-44072.143014256493</v>
      </c>
      <c r="AF7" s="222"/>
      <c r="AG7" s="222">
        <f>-AG6*$C$7</f>
        <v>-44953.585874541619</v>
      </c>
    </row>
    <row r="8" spans="1:34" s="211" customFormat="1" ht="14.25">
      <c r="A8" s="211" t="s">
        <v>288</v>
      </c>
      <c r="C8" s="238">
        <v>1.0249999999999999</v>
      </c>
      <c r="E8" s="223">
        <f>Application!Z817</f>
        <v>21450</v>
      </c>
      <c r="F8" s="223"/>
      <c r="G8" s="223">
        <f>E8*$C$8</f>
        <v>21986.249999999996</v>
      </c>
      <c r="H8" s="223"/>
      <c r="I8" s="223">
        <f>G8*$C$8</f>
        <v>22535.906249999993</v>
      </c>
      <c r="J8" s="223"/>
      <c r="K8" s="223">
        <f>I8*$C$8</f>
        <v>23099.303906249992</v>
      </c>
      <c r="L8" s="223"/>
      <c r="M8" s="223">
        <f>K8*$C$8</f>
        <v>23676.786503906238</v>
      </c>
      <c r="N8" s="223"/>
      <c r="O8" s="223">
        <f>M8*$C$8</f>
        <v>24268.706166503893</v>
      </c>
      <c r="P8" s="223"/>
      <c r="Q8" s="223">
        <f>O8*$C$8</f>
        <v>24875.423820666489</v>
      </c>
      <c r="R8" s="223"/>
      <c r="S8" s="223">
        <f>Q8*$C$8</f>
        <v>25497.309416183147</v>
      </c>
      <c r="T8" s="223"/>
      <c r="U8" s="223">
        <f>S8*$C$8</f>
        <v>26134.742151587725</v>
      </c>
      <c r="V8" s="223"/>
      <c r="W8" s="223">
        <f>U8*$C$8</f>
        <v>26788.110705377414</v>
      </c>
      <c r="X8" s="223"/>
      <c r="Y8" s="223">
        <f>W8*$C$8</f>
        <v>27457.813473011847</v>
      </c>
      <c r="Z8" s="223"/>
      <c r="AA8" s="223">
        <f>Y8*$C$8</f>
        <v>28144.258809837142</v>
      </c>
      <c r="AB8" s="223"/>
      <c r="AC8" s="223">
        <f>AA8*$C$8</f>
        <v>28847.865280083068</v>
      </c>
      <c r="AD8" s="223"/>
      <c r="AE8" s="223">
        <f>AC8*$C$8</f>
        <v>29569.061912085141</v>
      </c>
      <c r="AF8" s="223"/>
      <c r="AG8" s="223">
        <f>AE8*$C$8</f>
        <v>30308.288459887266</v>
      </c>
    </row>
    <row r="9" spans="1:34" s="211" customFormat="1" ht="14.25">
      <c r="B9" s="211" t="s">
        <v>839</v>
      </c>
      <c r="C9" s="239">
        <v>0.1</v>
      </c>
      <c r="E9" s="222">
        <f>-E8*$C$9</f>
        <v>-2145</v>
      </c>
      <c r="F9" s="222"/>
      <c r="G9" s="222">
        <f>-G8*$C$9</f>
        <v>-2198.6249999999995</v>
      </c>
      <c r="H9" s="222"/>
      <c r="I9" s="222">
        <f>-I8*$C$9</f>
        <v>-2253.5906249999994</v>
      </c>
      <c r="J9" s="222"/>
      <c r="K9" s="222">
        <f>-K8*$C$9</f>
        <v>-2309.9303906249993</v>
      </c>
      <c r="L9" s="222"/>
      <c r="M9" s="222">
        <f>-M8*$C$9</f>
        <v>-2367.6786503906237</v>
      </c>
      <c r="N9" s="222"/>
      <c r="O9" s="222">
        <f>-O8*$C$9</f>
        <v>-2426.8706166503894</v>
      </c>
      <c r="P9" s="222"/>
      <c r="Q9" s="222">
        <f>-Q8*$C$9</f>
        <v>-2487.5423820666492</v>
      </c>
      <c r="R9" s="222"/>
      <c r="S9" s="222">
        <f>-S8*$C$9</f>
        <v>-2549.7309416183148</v>
      </c>
      <c r="T9" s="222"/>
      <c r="U9" s="222">
        <f>-U8*$C$9</f>
        <v>-2613.4742151587725</v>
      </c>
      <c r="V9" s="222"/>
      <c r="W9" s="222">
        <f>-W8*$C$9</f>
        <v>-2678.8110705377417</v>
      </c>
      <c r="X9" s="222"/>
      <c r="Y9" s="222">
        <f>-Y8*$C$9</f>
        <v>-2745.7813473011847</v>
      </c>
      <c r="Z9" s="222"/>
      <c r="AA9" s="222">
        <f>-AA8*$C$9</f>
        <v>-2814.4258809837143</v>
      </c>
      <c r="AB9" s="222"/>
      <c r="AC9" s="222">
        <f>-AC8*$C$9</f>
        <v>-2884.786528008307</v>
      </c>
      <c r="AD9" s="222"/>
      <c r="AE9" s="222">
        <f>-AE8*$C$9</f>
        <v>-2956.9061912085144</v>
      </c>
      <c r="AF9" s="222"/>
      <c r="AG9" s="222">
        <f>-AG8*$C$9</f>
        <v>-3030.8288459887267</v>
      </c>
    </row>
    <row r="10" spans="1:34" s="211" customFormat="1" ht="14.25">
      <c r="A10" s="1145" t="s">
        <v>2632</v>
      </c>
      <c r="B10" s="1145"/>
      <c r="C10" s="239"/>
      <c r="E10" s="1146">
        <v>993600</v>
      </c>
      <c r="F10" s="223"/>
      <c r="G10" s="1146">
        <v>1029613</v>
      </c>
      <c r="H10" s="223"/>
      <c r="I10" s="1146">
        <v>1066959</v>
      </c>
      <c r="J10" s="223"/>
      <c r="K10" s="1146">
        <v>1105686</v>
      </c>
      <c r="L10" s="223"/>
      <c r="M10" s="1146">
        <v>1145844</v>
      </c>
      <c r="N10" s="223"/>
      <c r="O10" s="1146">
        <v>1187485</v>
      </c>
      <c r="P10" s="223"/>
      <c r="Q10" s="1146">
        <v>1230662</v>
      </c>
      <c r="R10" s="223"/>
      <c r="S10" s="1146">
        <v>1275430</v>
      </c>
      <c r="T10" s="223"/>
      <c r="U10" s="1146">
        <v>1321847</v>
      </c>
      <c r="V10" s="223"/>
      <c r="W10" s="1146">
        <v>1369971</v>
      </c>
      <c r="X10" s="223"/>
      <c r="Y10" s="1146">
        <v>1419589</v>
      </c>
      <c r="Z10" s="223"/>
      <c r="AA10" s="1146">
        <v>1471589</v>
      </c>
      <c r="AB10" s="223"/>
      <c r="AC10" s="1146">
        <v>1525213</v>
      </c>
      <c r="AD10" s="223"/>
      <c r="AE10" s="1146">
        <v>1580803</v>
      </c>
      <c r="AF10" s="223"/>
      <c r="AG10" s="1146">
        <v>1638431</v>
      </c>
    </row>
    <row r="11" spans="1:34" s="224" customFormat="1" ht="15">
      <c r="A11" s="224" t="s">
        <v>860</v>
      </c>
      <c r="C11" s="217"/>
      <c r="E11" s="224">
        <f>SUM(E4:E10)</f>
        <v>2139360.12</v>
      </c>
      <c r="G11" s="224">
        <f>SUM(G4:G10)</f>
        <v>2202484.0089999996</v>
      </c>
      <c r="I11" s="224">
        <f>SUM(I4:I10)</f>
        <v>2267588.0079449997</v>
      </c>
      <c r="K11" s="224">
        <f>SUM(K4:K10)</f>
        <v>2334735.6813380243</v>
      </c>
      <c r="M11" s="224">
        <f>SUM(M4:M10)</f>
        <v>2403992.970529763</v>
      </c>
      <c r="O11" s="224">
        <f>SUM(O4:O10)</f>
        <v>2475428.2028944609</v>
      </c>
      <c r="Q11" s="224">
        <f>SUM(Q4:Q10)</f>
        <v>2549111.1012303052</v>
      </c>
      <c r="S11" s="224">
        <f>SUM(S4:S10)</f>
        <v>2625113.7933898149</v>
      </c>
      <c r="U11" s="224">
        <f>SUM(U4:U10)</f>
        <v>2703511.8221458877</v>
      </c>
      <c r="W11" s="224">
        <f>SUM(W4:W10)</f>
        <v>2784381.1552992892</v>
      </c>
      <c r="Y11" s="224">
        <f>SUM(Y4:Y10)</f>
        <v>2867527.1960335206</v>
      </c>
      <c r="AA11" s="224">
        <f>SUM(AA4:AA10)</f>
        <v>2953856.793523143</v>
      </c>
      <c r="AC11" s="224">
        <f>SUM(AC4:AC10)</f>
        <v>3042631.2538017817</v>
      </c>
      <c r="AE11" s="224">
        <f>SUM(AE4:AE10)</f>
        <v>3134212.3508961964</v>
      </c>
      <c r="AG11" s="224">
        <f>SUM(AG4:AG10)</f>
        <v>3228692.3382329596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25400</v>
      </c>
      <c r="G15" s="220">
        <f>E15*$C$14</f>
        <v>26288.999999999996</v>
      </c>
      <c r="I15" s="220">
        <f>G15*$C$14</f>
        <v>27209.114999999994</v>
      </c>
      <c r="K15" s="220">
        <f>I15*$C$14</f>
        <v>28161.434024999991</v>
      </c>
      <c r="M15" s="220">
        <f>K15*$C$14</f>
        <v>29147.084215874987</v>
      </c>
      <c r="O15" s="220">
        <f>M15*$C$14</f>
        <v>30167.23216343061</v>
      </c>
      <c r="Q15" s="220">
        <f>O15*$C$14</f>
        <v>31223.08528915068</v>
      </c>
      <c r="S15" s="220">
        <f>Q15*$C$14</f>
        <v>32315.893274270951</v>
      </c>
      <c r="U15" s="220">
        <f>S15*$C$14</f>
        <v>33446.949538870431</v>
      </c>
      <c r="W15" s="220">
        <f>U15*$C$14</f>
        <v>34617.592772730895</v>
      </c>
      <c r="Y15" s="220">
        <f>W15*$C$14</f>
        <v>35829.208519776475</v>
      </c>
      <c r="AA15" s="220">
        <f>Y15*$C$14</f>
        <v>37083.230817968652</v>
      </c>
      <c r="AC15" s="220">
        <f>AA15*$C$14</f>
        <v>38381.143896597554</v>
      </c>
      <c r="AE15" s="220">
        <f>AC15*$C$14</f>
        <v>39724.483932978466</v>
      </c>
      <c r="AG15" s="220">
        <f>AE15*$C$14</f>
        <v>41114.84087063271</v>
      </c>
    </row>
    <row r="16" spans="1:34" s="211" customFormat="1" ht="14.25">
      <c r="A16" s="211" t="s">
        <v>344</v>
      </c>
      <c r="C16" s="234"/>
      <c r="E16" s="223">
        <f>Application!W849</f>
        <v>343432</v>
      </c>
      <c r="F16" s="223"/>
      <c r="G16" s="223">
        <f t="shared" ref="G16:AG21" si="0">E16*$C$14</f>
        <v>355452.12</v>
      </c>
      <c r="H16" s="223"/>
      <c r="I16" s="223">
        <f t="shared" si="0"/>
        <v>367892.94419999997</v>
      </c>
      <c r="J16" s="223"/>
      <c r="K16" s="223">
        <f t="shared" si="0"/>
        <v>380769.19724699995</v>
      </c>
      <c r="L16" s="223"/>
      <c r="M16" s="223">
        <f t="shared" si="0"/>
        <v>394096.11915064492</v>
      </c>
      <c r="N16" s="223"/>
      <c r="O16" s="223">
        <f t="shared" si="0"/>
        <v>407889.48332091747</v>
      </c>
      <c r="P16" s="223"/>
      <c r="Q16" s="223">
        <f t="shared" si="0"/>
        <v>422165.61523714953</v>
      </c>
      <c r="R16" s="223"/>
      <c r="S16" s="223">
        <f t="shared" si="0"/>
        <v>436941.41177044972</v>
      </c>
      <c r="T16" s="223"/>
      <c r="U16" s="223">
        <f t="shared" si="0"/>
        <v>452234.36118241545</v>
      </c>
      <c r="V16" s="223"/>
      <c r="W16" s="223">
        <f t="shared" si="0"/>
        <v>468062.56382379995</v>
      </c>
      <c r="X16" s="223"/>
      <c r="Y16" s="223">
        <f t="shared" si="0"/>
        <v>484444.75355763291</v>
      </c>
      <c r="Z16" s="223"/>
      <c r="AA16" s="223">
        <f t="shared" si="0"/>
        <v>501400.31993215001</v>
      </c>
      <c r="AB16" s="223"/>
      <c r="AC16" s="223">
        <f t="shared" si="0"/>
        <v>518949.33112977521</v>
      </c>
      <c r="AD16" s="223"/>
      <c r="AE16" s="223">
        <f t="shared" si="0"/>
        <v>537112.55771931726</v>
      </c>
      <c r="AF16" s="223"/>
      <c r="AG16" s="223">
        <f t="shared" si="0"/>
        <v>555911.4972394933</v>
      </c>
    </row>
    <row r="17" spans="1:33" s="211" customFormat="1" ht="14.25">
      <c r="A17" s="211" t="s">
        <v>562</v>
      </c>
      <c r="C17" s="234"/>
      <c r="E17" s="223">
        <f>Application!W855</f>
        <v>174000</v>
      </c>
      <c r="F17" s="223"/>
      <c r="G17" s="223">
        <f t="shared" si="0"/>
        <v>180090</v>
      </c>
      <c r="H17" s="223"/>
      <c r="I17" s="223">
        <f t="shared" si="0"/>
        <v>186393.15</v>
      </c>
      <c r="J17" s="223"/>
      <c r="K17" s="223">
        <f t="shared" si="0"/>
        <v>192916.91024999999</v>
      </c>
      <c r="L17" s="223"/>
      <c r="M17" s="223">
        <f t="shared" si="0"/>
        <v>199669.00210874996</v>
      </c>
      <c r="N17" s="223"/>
      <c r="O17" s="223">
        <f t="shared" si="0"/>
        <v>206657.41718255621</v>
      </c>
      <c r="P17" s="223"/>
      <c r="Q17" s="223">
        <f t="shared" si="0"/>
        <v>213890.42678394564</v>
      </c>
      <c r="R17" s="223"/>
      <c r="S17" s="223">
        <f t="shared" si="0"/>
        <v>221376.59172138374</v>
      </c>
      <c r="T17" s="223"/>
      <c r="U17" s="223">
        <f t="shared" si="0"/>
        <v>229124.77243163215</v>
      </c>
      <c r="V17" s="223"/>
      <c r="W17" s="223">
        <f t="shared" si="0"/>
        <v>237144.13946673926</v>
      </c>
      <c r="X17" s="223"/>
      <c r="Y17" s="223">
        <f t="shared" si="0"/>
        <v>245444.18434807513</v>
      </c>
      <c r="Z17" s="223"/>
      <c r="AA17" s="223">
        <f t="shared" si="0"/>
        <v>254034.73080025773</v>
      </c>
      <c r="AB17" s="223"/>
      <c r="AC17" s="223">
        <f t="shared" si="0"/>
        <v>262925.94637826673</v>
      </c>
      <c r="AD17" s="223"/>
      <c r="AE17" s="223">
        <f t="shared" si="0"/>
        <v>272128.35450150602</v>
      </c>
      <c r="AF17" s="223"/>
      <c r="AG17" s="223">
        <f t="shared" si="0"/>
        <v>281652.84690905869</v>
      </c>
    </row>
    <row r="18" spans="1:33" s="211" customFormat="1" ht="14.25">
      <c r="A18" s="211" t="s">
        <v>843</v>
      </c>
      <c r="C18" s="234"/>
      <c r="E18" s="223">
        <f>Application!W862</f>
        <v>344536</v>
      </c>
      <c r="F18" s="223"/>
      <c r="G18" s="223">
        <f t="shared" si="0"/>
        <v>356594.75999999995</v>
      </c>
      <c r="H18" s="223"/>
      <c r="I18" s="223">
        <f t="shared" si="0"/>
        <v>369075.57659999991</v>
      </c>
      <c r="J18" s="223"/>
      <c r="K18" s="223">
        <f t="shared" si="0"/>
        <v>381993.22178099985</v>
      </c>
      <c r="L18" s="223"/>
      <c r="M18" s="223">
        <f t="shared" si="0"/>
        <v>395362.98454333481</v>
      </c>
      <c r="N18" s="223"/>
      <c r="O18" s="223">
        <f t="shared" si="0"/>
        <v>409200.68900235149</v>
      </c>
      <c r="P18" s="223"/>
      <c r="Q18" s="223">
        <f t="shared" si="0"/>
        <v>423522.71311743377</v>
      </c>
      <c r="R18" s="223"/>
      <c r="S18" s="223">
        <f t="shared" si="0"/>
        <v>438346.00807654392</v>
      </c>
      <c r="T18" s="223"/>
      <c r="U18" s="223">
        <f t="shared" si="0"/>
        <v>453688.11835922295</v>
      </c>
      <c r="V18" s="223"/>
      <c r="W18" s="223">
        <f t="shared" si="0"/>
        <v>469567.20250179572</v>
      </c>
      <c r="X18" s="223"/>
      <c r="Y18" s="223">
        <f t="shared" si="0"/>
        <v>486002.05458935851</v>
      </c>
      <c r="Z18" s="223"/>
      <c r="AA18" s="223">
        <f t="shared" si="0"/>
        <v>503012.12649998604</v>
      </c>
      <c r="AB18" s="223"/>
      <c r="AC18" s="223">
        <f t="shared" si="0"/>
        <v>520617.55092748551</v>
      </c>
      <c r="AD18" s="223"/>
      <c r="AE18" s="223">
        <f t="shared" si="0"/>
        <v>538839.1652099475</v>
      </c>
      <c r="AF18" s="223"/>
      <c r="AG18" s="223">
        <f t="shared" si="0"/>
        <v>557698.5359922956</v>
      </c>
    </row>
    <row r="19" spans="1:33" s="211" customFormat="1" ht="14.25">
      <c r="A19" s="211" t="s">
        <v>155</v>
      </c>
      <c r="C19" s="234"/>
      <c r="E19" s="223">
        <f>Application!W863</f>
        <v>100000</v>
      </c>
      <c r="F19" s="223"/>
      <c r="G19" s="223">
        <f t="shared" si="0"/>
        <v>103499.99999999999</v>
      </c>
      <c r="H19" s="223"/>
      <c r="I19" s="223">
        <f t="shared" si="0"/>
        <v>107122.49999999997</v>
      </c>
      <c r="J19" s="223"/>
      <c r="K19" s="223">
        <f t="shared" si="0"/>
        <v>110871.78749999996</v>
      </c>
      <c r="L19" s="223"/>
      <c r="M19" s="223">
        <f t="shared" si="0"/>
        <v>114752.30006249995</v>
      </c>
      <c r="N19" s="223"/>
      <c r="O19" s="223">
        <f t="shared" si="0"/>
        <v>118768.63056468744</v>
      </c>
      <c r="P19" s="223"/>
      <c r="Q19" s="223">
        <f t="shared" si="0"/>
        <v>122925.53263445149</v>
      </c>
      <c r="R19" s="223"/>
      <c r="S19" s="223">
        <f t="shared" si="0"/>
        <v>127227.92627665728</v>
      </c>
      <c r="T19" s="223"/>
      <c r="U19" s="223">
        <f t="shared" si="0"/>
        <v>131680.90369634028</v>
      </c>
      <c r="V19" s="223"/>
      <c r="W19" s="223">
        <f t="shared" si="0"/>
        <v>136289.73532571219</v>
      </c>
      <c r="X19" s="223"/>
      <c r="Y19" s="223">
        <f t="shared" si="0"/>
        <v>141059.8760621121</v>
      </c>
      <c r="Z19" s="223"/>
      <c r="AA19" s="223">
        <f t="shared" si="0"/>
        <v>145996.97172428601</v>
      </c>
      <c r="AB19" s="223"/>
      <c r="AC19" s="223">
        <f t="shared" si="0"/>
        <v>151106.865734636</v>
      </c>
      <c r="AD19" s="223"/>
      <c r="AE19" s="223">
        <f t="shared" si="0"/>
        <v>156395.60603534823</v>
      </c>
      <c r="AF19" s="223"/>
      <c r="AG19" s="223">
        <f t="shared" si="0"/>
        <v>161869.4522465854</v>
      </c>
    </row>
    <row r="20" spans="1:33" s="211" customFormat="1" ht="14.25">
      <c r="A20" s="211" t="s">
        <v>390</v>
      </c>
      <c r="C20" s="234"/>
      <c r="E20" s="223">
        <f>Application!W872</f>
        <v>140575</v>
      </c>
      <c r="F20" s="223"/>
      <c r="G20" s="223">
        <f t="shared" si="0"/>
        <v>145495.125</v>
      </c>
      <c r="H20" s="223"/>
      <c r="I20" s="223">
        <f t="shared" si="0"/>
        <v>150587.454375</v>
      </c>
      <c r="J20" s="223"/>
      <c r="K20" s="223">
        <f t="shared" si="0"/>
        <v>155858.01527812498</v>
      </c>
      <c r="L20" s="223"/>
      <c r="M20" s="223">
        <f t="shared" si="0"/>
        <v>161313.04581285935</v>
      </c>
      <c r="N20" s="223"/>
      <c r="O20" s="223">
        <f t="shared" si="0"/>
        <v>166959.00241630941</v>
      </c>
      <c r="P20" s="223"/>
      <c r="Q20" s="223">
        <f t="shared" si="0"/>
        <v>172802.56750088022</v>
      </c>
      <c r="R20" s="223"/>
      <c r="S20" s="223">
        <f t="shared" si="0"/>
        <v>178850.65736341101</v>
      </c>
      <c r="T20" s="223"/>
      <c r="U20" s="223">
        <f t="shared" si="0"/>
        <v>185110.43037113038</v>
      </c>
      <c r="V20" s="223"/>
      <c r="W20" s="223">
        <f t="shared" si="0"/>
        <v>191589.29543411994</v>
      </c>
      <c r="X20" s="223"/>
      <c r="Y20" s="223">
        <f t="shared" si="0"/>
        <v>198294.92077431412</v>
      </c>
      <c r="Z20" s="223"/>
      <c r="AA20" s="223">
        <f t="shared" si="0"/>
        <v>205235.2430014151</v>
      </c>
      <c r="AB20" s="223"/>
      <c r="AC20" s="223">
        <f t="shared" si="0"/>
        <v>212418.47650646462</v>
      </c>
      <c r="AD20" s="223"/>
      <c r="AE20" s="223">
        <f t="shared" si="0"/>
        <v>219853.12318419086</v>
      </c>
      <c r="AF20" s="223"/>
      <c r="AG20" s="223">
        <f t="shared" si="0"/>
        <v>227547.98249563752</v>
      </c>
    </row>
    <row r="21" spans="1:33" s="211" customFormat="1" ht="14.25">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844</v>
      </c>
      <c r="C22" s="234"/>
      <c r="E22" s="224">
        <f>SUM(E15:E21)</f>
        <v>1127943</v>
      </c>
      <c r="G22" s="224">
        <f>SUM(G15:G21)</f>
        <v>1167421.0049999999</v>
      </c>
      <c r="I22" s="224">
        <f>SUM(I15:I21)</f>
        <v>1208280.7401749997</v>
      </c>
      <c r="K22" s="224">
        <f>SUM(K15:K21)</f>
        <v>1250570.5660811246</v>
      </c>
      <c r="M22" s="224">
        <f>SUM(M15:M21)</f>
        <v>1294340.5358939641</v>
      </c>
      <c r="O22" s="224">
        <f>SUM(O15:O21)</f>
        <v>1339642.4546502528</v>
      </c>
      <c r="Q22" s="224">
        <f>SUM(Q15:Q21)</f>
        <v>1386529.9405630114</v>
      </c>
      <c r="S22" s="224">
        <f>SUM(S15:S21)</f>
        <v>1435058.4884827165</v>
      </c>
      <c r="U22" s="224">
        <f>SUM(U15:U21)</f>
        <v>1485285.5355796115</v>
      </c>
      <c r="W22" s="224">
        <f>SUM(W15:W21)</f>
        <v>1537270.529324898</v>
      </c>
      <c r="Y22" s="224">
        <f>SUM(Y15:Y21)</f>
        <v>1591074.9978512691</v>
      </c>
      <c r="AA22" s="224">
        <f>SUM(AA15:AA21)</f>
        <v>1646762.6227760636</v>
      </c>
      <c r="AC22" s="224">
        <f>SUM(AC15:AC21)</f>
        <v>1704399.3145732258</v>
      </c>
      <c r="AE22" s="224">
        <f>SUM(AE15:AE21)</f>
        <v>1764053.2905832883</v>
      </c>
      <c r="AG22" s="224">
        <f>SUM(AG15:AG21)</f>
        <v>1825795.1557537033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1.0275000000000001</v>
      </c>
      <c r="E27" s="223">
        <f>Application!AC888</f>
        <v>840892</v>
      </c>
      <c r="F27" s="223"/>
      <c r="G27" s="223">
        <f>E27*$C$27</f>
        <v>864016.53</v>
      </c>
      <c r="H27" s="223"/>
      <c r="I27" s="223">
        <f>G27*$C$27</f>
        <v>887776.98457500013</v>
      </c>
      <c r="J27" s="223"/>
      <c r="K27" s="223">
        <f>I27*$C$27</f>
        <v>912190.85165081266</v>
      </c>
      <c r="L27" s="223"/>
      <c r="M27" s="223">
        <f>K27*$C$27</f>
        <v>937276.10007121006</v>
      </c>
      <c r="N27" s="223"/>
      <c r="O27" s="223">
        <f>M27*$C$27</f>
        <v>963051.19282316847</v>
      </c>
      <c r="P27" s="223"/>
      <c r="Q27" s="223">
        <f>O27*$C$27</f>
        <v>989535.10062580567</v>
      </c>
      <c r="R27" s="223"/>
      <c r="S27" s="223">
        <f>Q27*$C$27</f>
        <v>1016747.3158930154</v>
      </c>
      <c r="T27" s="223"/>
      <c r="U27" s="223">
        <f>S27*$C$27</f>
        <v>1044707.8670800733</v>
      </c>
      <c r="V27" s="223"/>
      <c r="W27" s="223">
        <f>U27*$C$27</f>
        <v>1073437.3334247754</v>
      </c>
      <c r="X27" s="223"/>
      <c r="Y27" s="223">
        <f>W27*$C$27</f>
        <v>1102956.8600939568</v>
      </c>
      <c r="Z27" s="223"/>
      <c r="AA27" s="223">
        <f>Y27*$C$27</f>
        <v>1133288.1737465407</v>
      </c>
      <c r="AB27" s="223"/>
      <c r="AC27" s="223">
        <f>AA27*$C$27</f>
        <v>1164453.5985245707</v>
      </c>
      <c r="AD27" s="223"/>
      <c r="AE27" s="223">
        <f>AC27*$C$27</f>
        <v>1196476.0724839964</v>
      </c>
      <c r="AF27" s="223"/>
      <c r="AG27" s="223">
        <f>AE27*$C$27</f>
        <v>1229379.1644773064</v>
      </c>
    </row>
    <row r="28" spans="1:33" s="211" customFormat="1" ht="14.25">
      <c r="A28" s="211" t="s">
        <v>847</v>
      </c>
      <c r="C28" s="238"/>
      <c r="E28" s="223">
        <f>Application!AC889</f>
        <v>72000</v>
      </c>
      <c r="F28" s="223"/>
      <c r="G28" s="223">
        <f>$E$28</f>
        <v>72000</v>
      </c>
      <c r="H28" s="223"/>
      <c r="I28" s="223">
        <f>$E$28</f>
        <v>72000</v>
      </c>
      <c r="J28" s="223"/>
      <c r="K28" s="223">
        <f>$E$28</f>
        <v>72000</v>
      </c>
      <c r="L28" s="223"/>
      <c r="M28" s="223">
        <f>$E$28</f>
        <v>72000</v>
      </c>
      <c r="N28" s="223"/>
      <c r="O28" s="223">
        <f>$E$28</f>
        <v>72000</v>
      </c>
      <c r="P28" s="223"/>
      <c r="Q28" s="223">
        <f>$E$28</f>
        <v>72000</v>
      </c>
      <c r="R28" s="223"/>
      <c r="S28" s="223">
        <f>$E$28</f>
        <v>72000</v>
      </c>
      <c r="T28" s="223"/>
      <c r="U28" s="223">
        <f>$E$28</f>
        <v>72000</v>
      </c>
      <c r="V28" s="223"/>
      <c r="W28" s="223">
        <f>$E$28</f>
        <v>72000</v>
      </c>
      <c r="X28" s="223"/>
      <c r="Y28" s="223">
        <f>$E$28</f>
        <v>72000</v>
      </c>
      <c r="Z28" s="223"/>
      <c r="AA28" s="223">
        <f>$E$28</f>
        <v>72000</v>
      </c>
      <c r="AB28" s="223"/>
      <c r="AC28" s="223">
        <f>$E$28</f>
        <v>72000</v>
      </c>
      <c r="AD28" s="223"/>
      <c r="AE28" s="223">
        <f>$E$28</f>
        <v>72000</v>
      </c>
      <c r="AF28" s="223"/>
      <c r="AG28" s="223">
        <f>$E$28</f>
        <v>72000</v>
      </c>
    </row>
    <row r="29" spans="1:33" s="211" customFormat="1" ht="14.25">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40000</v>
      </c>
      <c r="F30" s="223"/>
      <c r="G30" s="223">
        <f>E30*$C$30</f>
        <v>40800</v>
      </c>
      <c r="H30" s="223"/>
      <c r="I30" s="223">
        <f>G30*$C$30</f>
        <v>41616</v>
      </c>
      <c r="J30" s="223"/>
      <c r="K30" s="223">
        <f>I30*$C$30</f>
        <v>42448.32</v>
      </c>
      <c r="L30" s="223"/>
      <c r="M30" s="223">
        <f>K30*$C$30</f>
        <v>43297.286399999997</v>
      </c>
      <c r="N30" s="223"/>
      <c r="O30" s="223">
        <f>M30*$C$30</f>
        <v>44163.232127999996</v>
      </c>
      <c r="P30" s="223"/>
      <c r="Q30" s="223">
        <f>O30*$C$30</f>
        <v>45046.496770559999</v>
      </c>
      <c r="R30" s="223"/>
      <c r="S30" s="223">
        <f>Q30*$C$30</f>
        <v>45947.4267059712</v>
      </c>
      <c r="T30" s="223"/>
      <c r="U30" s="223">
        <f>S30*$C$30</f>
        <v>46866.375240090623</v>
      </c>
      <c r="V30" s="223"/>
      <c r="W30" s="223">
        <f>U30*$C$30</f>
        <v>47803.702744892435</v>
      </c>
      <c r="X30" s="223"/>
      <c r="Y30" s="223">
        <f>W30*$C$30</f>
        <v>48759.776799790285</v>
      </c>
      <c r="Z30" s="223"/>
      <c r="AA30" s="223">
        <f>Y30*$C$30</f>
        <v>49734.972335786093</v>
      </c>
      <c r="AB30" s="223"/>
      <c r="AC30" s="223">
        <f>AA30*$C$30</f>
        <v>50729.671782501813</v>
      </c>
      <c r="AD30" s="223"/>
      <c r="AE30" s="223">
        <f>AC30*$C$30</f>
        <v>51744.26521815185</v>
      </c>
      <c r="AF30" s="223"/>
      <c r="AG30" s="223">
        <f>AE30*$C$30</f>
        <v>52779.150522514887</v>
      </c>
    </row>
    <row r="31" spans="1:33" s="211" customFormat="1" ht="14.25">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Bond Issuer Fees</v>
      </c>
      <c r="C32" s="317">
        <v>1</v>
      </c>
      <c r="E32" s="223">
        <f>Application!AC894</f>
        <v>13525</v>
      </c>
      <c r="F32" s="223"/>
      <c r="G32" s="223">
        <f>E32*$C$32</f>
        <v>13525</v>
      </c>
      <c r="H32" s="223"/>
      <c r="I32" s="223">
        <f>G32*$C$32</f>
        <v>13525</v>
      </c>
      <c r="J32" s="223"/>
      <c r="K32" s="223">
        <f>I32*$C$32</f>
        <v>13525</v>
      </c>
      <c r="L32" s="223"/>
      <c r="M32" s="223">
        <f>K32*$C$32</f>
        <v>13525</v>
      </c>
      <c r="N32" s="223"/>
      <c r="O32" s="223">
        <f>M32*$C$32</f>
        <v>13525</v>
      </c>
      <c r="P32" s="223"/>
      <c r="Q32" s="223">
        <f>O32*$C$32</f>
        <v>13525</v>
      </c>
      <c r="R32" s="223"/>
      <c r="S32" s="223">
        <f>Q32*$C$32</f>
        <v>13525</v>
      </c>
      <c r="T32" s="223"/>
      <c r="U32" s="223">
        <f>S32*$C$32</f>
        <v>13525</v>
      </c>
      <c r="V32" s="223"/>
      <c r="W32" s="223">
        <f>U32*$C$32</f>
        <v>13525</v>
      </c>
      <c r="X32" s="223"/>
      <c r="Y32" s="223">
        <f>W32*$C$32</f>
        <v>13525</v>
      </c>
      <c r="Z32" s="223"/>
      <c r="AA32" s="223">
        <f>Y32*$C$32</f>
        <v>13525</v>
      </c>
      <c r="AB32" s="223"/>
      <c r="AC32" s="223">
        <f>AA32*$C$32</f>
        <v>13525</v>
      </c>
      <c r="AD32" s="223"/>
      <c r="AE32" s="223">
        <f>AC32*$C$32</f>
        <v>13525</v>
      </c>
      <c r="AF32" s="223"/>
      <c r="AG32" s="223">
        <f>AE32*$C$32</f>
        <v>13525</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2094360</v>
      </c>
      <c r="G35" s="224">
        <f>SUM(G22:G33)</f>
        <v>2157762.5350000001</v>
      </c>
      <c r="I35" s="224">
        <f>SUM(I22:I33)</f>
        <v>2223198.7247500001</v>
      </c>
      <c r="K35" s="224">
        <f>SUM(K22:K33)</f>
        <v>2290734.7377319369</v>
      </c>
      <c r="M35" s="224">
        <f>SUM(M22:M33)</f>
        <v>2360438.9223651742</v>
      </c>
      <c r="O35" s="224">
        <f>SUM(O22:O33)</f>
        <v>2432381.8796014213</v>
      </c>
      <c r="Q35" s="224">
        <f>SUM(Q22:Q33)</f>
        <v>2506636.5379593768</v>
      </c>
      <c r="S35" s="224">
        <f>SUM(S22:S33)</f>
        <v>2583278.2310817032</v>
      </c>
      <c r="U35" s="224">
        <f>SUM(U22:U33)</f>
        <v>2662384.7778997757</v>
      </c>
      <c r="W35" s="224">
        <f>SUM(W22:W33)</f>
        <v>2744036.5654945658</v>
      </c>
      <c r="Y35" s="224">
        <f>SUM(Y22:Y33)</f>
        <v>2828316.6347450162</v>
      </c>
      <c r="AA35" s="224">
        <f>SUM(AA22:AA33)</f>
        <v>2915310.7688583904</v>
      </c>
      <c r="AC35" s="224">
        <f>SUM(AC22:AC33)</f>
        <v>3005107.5848802985</v>
      </c>
      <c r="AE35" s="224">
        <f>SUM(AE22:AE33)</f>
        <v>3097798.6282854364</v>
      </c>
      <c r="AG35" s="224">
        <f>SUM(AG22:AG33)</f>
        <v>3193478.4707535245</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45000.120000000112</v>
      </c>
      <c r="G37" s="224">
        <f>G11-G35</f>
        <v>44721.473999999464</v>
      </c>
      <c r="I37" s="224">
        <f>I11-I35</f>
        <v>44389.283194999676</v>
      </c>
      <c r="K37" s="224">
        <f>K11-K35</f>
        <v>44000.943606087472</v>
      </c>
      <c r="M37" s="224">
        <f>M11-M35</f>
        <v>43554.048164588865</v>
      </c>
      <c r="O37" s="224">
        <f>O11-O35</f>
        <v>43046.323293039575</v>
      </c>
      <c r="Q37" s="224">
        <f>Q11-Q35</f>
        <v>42474.563270928338</v>
      </c>
      <c r="S37" s="224">
        <f>S11-S35</f>
        <v>41835.562308111694</v>
      </c>
      <c r="U37" s="224">
        <f>U11-U35</f>
        <v>41127.044246111996</v>
      </c>
      <c r="W37" s="224">
        <f>W11-W35</f>
        <v>40344.589804723393</v>
      </c>
      <c r="Y37" s="224">
        <f>Y11-Y35</f>
        <v>39210.561288504396</v>
      </c>
      <c r="AA37" s="224">
        <f>AA11-AA35</f>
        <v>38546.024664752651</v>
      </c>
      <c r="AC37" s="224">
        <f>AC11-AC35</f>
        <v>37523.668921483215</v>
      </c>
      <c r="AE37" s="224">
        <f>AE11-AE35</f>
        <v>36413.722610760015</v>
      </c>
      <c r="AG37" s="224">
        <f>AG11-AG35</f>
        <v>35213.867479435168</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HomeKey Capital</v>
      </c>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45000.120000000112</v>
      </c>
      <c r="G45" s="224">
        <f>G37-G43</f>
        <v>44721.473999999464</v>
      </c>
      <c r="I45" s="224">
        <f>I37-I43</f>
        <v>44389.283194999676</v>
      </c>
      <c r="K45" s="224">
        <f>K37-K43</f>
        <v>44000.943606087472</v>
      </c>
      <c r="M45" s="224">
        <f>M37-M43</f>
        <v>43554.048164588865</v>
      </c>
      <c r="O45" s="224">
        <f>O37-O43</f>
        <v>43046.323293039575</v>
      </c>
      <c r="Q45" s="224">
        <f>Q37-Q43</f>
        <v>42474.563270928338</v>
      </c>
      <c r="S45" s="224">
        <f>S37-S43</f>
        <v>41835.562308111694</v>
      </c>
      <c r="U45" s="224">
        <f>U37-U43</f>
        <v>41127.044246111996</v>
      </c>
      <c r="W45" s="224">
        <f>W37-W43</f>
        <v>40344.589804723393</v>
      </c>
      <c r="Y45" s="224">
        <f>Y37-Y43</f>
        <v>39210.561288504396</v>
      </c>
      <c r="AA45" s="224">
        <f>AA37-AA43</f>
        <v>38546.024664752651</v>
      </c>
      <c r="AC45" s="224">
        <f>AC37-AC43</f>
        <v>37523.668921483215</v>
      </c>
      <c r="AE45" s="224">
        <f>AE37-AE43</f>
        <v>36413.722610760015</v>
      </c>
      <c r="AG45" s="224">
        <f>AG37-AG43</f>
        <v>35213.867479435168</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3.5347807357791527E-2</v>
      </c>
      <c r="G47" s="228">
        <f>G45/(G4+G6+G8)</f>
        <v>3.4316925127441292E-2</v>
      </c>
      <c r="I47" s="228">
        <f>I45/(I4+I6+I8)</f>
        <v>3.3274520781301845E-2</v>
      </c>
      <c r="K47" s="228">
        <f>K45/(K4+K6+K8)</f>
        <v>3.22207066539138E-2</v>
      </c>
      <c r="M47" s="228">
        <f>M45/(M4+M6+M8)</f>
        <v>3.1155804492392331E-2</v>
      </c>
      <c r="O47" s="228">
        <f>O45/(O4+O6+O8)</f>
        <v>3.0080279065621388E-2</v>
      </c>
      <c r="Q47" s="228">
        <f>Q45/(Q4+Q6+Q8)</f>
        <v>2.8993995223754971E-2</v>
      </c>
      <c r="S47" s="228">
        <f>S45/(S4+S6+S8)</f>
        <v>2.7896909084708769E-2</v>
      </c>
      <c r="U47" s="228">
        <f>U45/(U4+U6+U8)</f>
        <v>2.6789666515510738E-2</v>
      </c>
      <c r="W47" s="228">
        <f>W45/(W4+W6+W8)</f>
        <v>2.567157107025142E-2</v>
      </c>
      <c r="Y47" s="228">
        <f>Y45/(Y4+Y6+Y8)</f>
        <v>2.4372245484182934E-2</v>
      </c>
      <c r="AA47" s="228">
        <f>AA45/(AA4+AA6+AA8)</f>
        <v>2.3404287909285771E-2</v>
      </c>
      <c r="AC47" s="228">
        <f>AC45/(AC4+AC6+AC8)</f>
        <v>2.2255763659573324E-2</v>
      </c>
      <c r="AE47" s="228">
        <f>AE45/(AE4+AE6+AE8)</f>
        <v>2.1097047169683192E-2</v>
      </c>
      <c r="AG47" s="228">
        <f>AG45/(AG4+AG6+AG8)</f>
        <v>1.9929102198200436E-2</v>
      </c>
    </row>
    <row r="48" spans="1:33" s="228" customFormat="1" ht="14.25">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25">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2" t="s">
        <v>1185</v>
      </c>
      <c r="B52" s="2692"/>
      <c r="C52" s="269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v>1.03</v>
      </c>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45000.120000000112</v>
      </c>
      <c r="G60" s="963">
        <f>G45-G58</f>
        <v>44721.473999999464</v>
      </c>
      <c r="I60" s="963">
        <f>I45-I58</f>
        <v>44389.283194999676</v>
      </c>
      <c r="K60" s="963">
        <f>K45-K58</f>
        <v>44000.943606087472</v>
      </c>
      <c r="M60" s="963">
        <f>M45-M58</f>
        <v>43554.048164588865</v>
      </c>
      <c r="O60" s="963">
        <f>O45-O58</f>
        <v>43046.323293039575</v>
      </c>
      <c r="Q60" s="963">
        <f>Q45-Q58</f>
        <v>42474.563270928338</v>
      </c>
      <c r="S60" s="963">
        <f>S45-S58</f>
        <v>41835.562308111694</v>
      </c>
      <c r="U60" s="963">
        <f>U45-U58</f>
        <v>41127.044246111996</v>
      </c>
      <c r="W60" s="963">
        <f>W45-W58</f>
        <v>40344.589804723393</v>
      </c>
      <c r="Y60" s="963">
        <f>Y45-Y58</f>
        <v>39210.561288504396</v>
      </c>
      <c r="AA60" s="963">
        <f>AA45-AA58</f>
        <v>38546.024664752651</v>
      </c>
      <c r="AC60" s="963">
        <f>AC45-AC58</f>
        <v>37523.668921483215</v>
      </c>
      <c r="AE60" s="963">
        <f>AE45-AE58</f>
        <v>36413.722610760015</v>
      </c>
      <c r="AG60" s="963">
        <f>AG45-AG58</f>
        <v>35213.867479435168</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row>
    <row r="63" spans="1:34" s="963" customFormat="1">
      <c r="A63" s="2692" t="s">
        <v>1185</v>
      </c>
      <c r="B63" s="2692"/>
      <c r="C63" s="269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45000.120000000112</v>
      </c>
      <c r="G72" s="963">
        <f>G60-G62-G70</f>
        <v>44721.473999999464</v>
      </c>
      <c r="I72" s="963">
        <f>I60-I62-I70</f>
        <v>44389.283194999676</v>
      </c>
      <c r="K72" s="963">
        <f>K60-K62-K70</f>
        <v>44000.943606087472</v>
      </c>
      <c r="M72" s="963">
        <f>M60-M62-M70</f>
        <v>43554.048164588865</v>
      </c>
      <c r="O72" s="963">
        <f>O60-O62-O70</f>
        <v>43046.323293039575</v>
      </c>
      <c r="Q72" s="963">
        <f>Q60-Q62-Q70</f>
        <v>42474.563270928338</v>
      </c>
      <c r="S72" s="963">
        <f>S60-S62-S70</f>
        <v>41835.562308111694</v>
      </c>
      <c r="U72" s="963">
        <f>U60-U62-U70</f>
        <v>41127.044246111996</v>
      </c>
      <c r="W72" s="963">
        <f>W60-W62-W70</f>
        <v>40344.589804723393</v>
      </c>
      <c r="Y72" s="963">
        <f>Y60-Y62-Y70</f>
        <v>39210.561288504396</v>
      </c>
      <c r="AA72" s="963">
        <f>AA60-AA62-AA70</f>
        <v>38546.024664752651</v>
      </c>
      <c r="AC72" s="963">
        <f>AC60-AC62-AC70</f>
        <v>37523.668921483215</v>
      </c>
      <c r="AE72" s="963">
        <f>AE60-AE62-AE70</f>
        <v>36413.722610760015</v>
      </c>
      <c r="AG72" s="963">
        <f>AG60-AG62-AG70</f>
        <v>35213.867479435168</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2570000</v>
      </c>
      <c r="C5" s="267">
        <f>'Sources and Uses Budget'!$C4</f>
        <v>2570000</v>
      </c>
      <c r="D5" s="271">
        <f>C5-B5</f>
        <v>0</v>
      </c>
      <c r="E5" s="269"/>
      <c r="F5" s="268"/>
    </row>
    <row r="6" spans="1:6" s="353" customFormat="1">
      <c r="A6" s="365" t="s">
        <v>28</v>
      </c>
      <c r="B6" s="267">
        <f>'Sources and Uses Budget'!$C5</f>
        <v>166057</v>
      </c>
      <c r="C6" s="267">
        <f>'Sources and Uses Budget'!$C5</f>
        <v>166057</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2736057</v>
      </c>
      <c r="C9" s="271">
        <f>SUM(C5:C8)</f>
        <v>2736057</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2736057</v>
      </c>
      <c r="C13" s="271">
        <f>SUM(C9+C12)</f>
        <v>2736057</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Security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500000</v>
      </c>
      <c r="C30" s="267">
        <f>'Sources and Uses Budget'!$C29</f>
        <v>500000</v>
      </c>
      <c r="D30" s="271">
        <f t="shared" si="0"/>
        <v>0</v>
      </c>
      <c r="E30" s="269"/>
      <c r="F30" s="268"/>
    </row>
    <row r="31" spans="1:6" s="353" customFormat="1">
      <c r="A31" s="145" t="s">
        <v>600</v>
      </c>
      <c r="B31" s="267">
        <f>'Sources and Uses Budget'!$C30</f>
        <v>39263943</v>
      </c>
      <c r="C31" s="267">
        <f>'Sources and Uses Budget'!$C30</f>
        <v>39263943</v>
      </c>
      <c r="D31" s="271">
        <f t="shared" si="0"/>
        <v>0</v>
      </c>
      <c r="E31" s="269"/>
      <c r="F31" s="268"/>
    </row>
    <row r="32" spans="1:6" s="353" customFormat="1">
      <c r="A32" s="145" t="s">
        <v>601</v>
      </c>
      <c r="B32" s="267">
        <f>'Sources and Uses Budget'!$C31</f>
        <v>125550</v>
      </c>
      <c r="C32" s="267">
        <f>'Sources and Uses Budget'!$C31</f>
        <v>125550</v>
      </c>
      <c r="D32" s="271">
        <f t="shared" si="0"/>
        <v>0</v>
      </c>
      <c r="E32" s="269"/>
      <c r="F32" s="268"/>
    </row>
    <row r="33" spans="1:6" s="353" customFormat="1">
      <c r="A33" s="145" t="s">
        <v>137</v>
      </c>
      <c r="B33" s="267">
        <f>'Sources and Uses Budget'!$C32</f>
        <v>135000</v>
      </c>
      <c r="C33" s="267">
        <f>'Sources and Uses Budget'!$C32</f>
        <v>135000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25000</v>
      </c>
      <c r="C36" s="267">
        <f>'Sources and Uses Budget'!$C35</f>
        <v>25000</v>
      </c>
      <c r="D36" s="271">
        <f t="shared" si="0"/>
        <v>0</v>
      </c>
      <c r="E36" s="269"/>
      <c r="F36" s="268"/>
    </row>
    <row r="37" spans="1:6" s="353" customFormat="1">
      <c r="A37" s="284" t="s">
        <v>1641</v>
      </c>
      <c r="B37" s="267">
        <f>'Sources and Uses Budget'!$C36</f>
        <v>60000</v>
      </c>
      <c r="C37" s="267">
        <f>'Sources and Uses Budget'!$C36</f>
        <v>60000</v>
      </c>
      <c r="D37" s="271"/>
      <c r="E37" s="269"/>
      <c r="F37" s="268"/>
    </row>
    <row r="38" spans="1:6" s="353" customFormat="1">
      <c r="A38" s="155" t="str">
        <f>'Sources and Uses Budget'!A37</f>
        <v>Security</v>
      </c>
      <c r="B38" s="267">
        <f>'Sources and Uses Budget'!$C37</f>
        <v>10000</v>
      </c>
      <c r="C38" s="267">
        <f>'Sources and Uses Budget'!$C37</f>
        <v>10000</v>
      </c>
      <c r="D38" s="271">
        <f t="shared" si="0"/>
        <v>0</v>
      </c>
      <c r="E38" s="269"/>
      <c r="F38" s="268"/>
    </row>
    <row r="39" spans="1:6" s="353" customFormat="1">
      <c r="A39" s="272" t="s">
        <v>143</v>
      </c>
      <c r="B39" s="271">
        <f>SUM(B30:B38)</f>
        <v>40119493</v>
      </c>
      <c r="C39" s="271">
        <f>SUM(C30:C38)</f>
        <v>40119493</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30000</v>
      </c>
      <c r="C41" s="267">
        <f>'Sources and Uses Budget'!$C40</f>
        <v>30000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30000</v>
      </c>
      <c r="C43" s="271">
        <f>SUM(C41:C42)</f>
        <v>30000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4181987</v>
      </c>
      <c r="C46" s="267">
        <f>'Sources and Uses Budget'!$C45</f>
        <v>4181987</v>
      </c>
      <c r="D46" s="271">
        <f t="shared" si="0"/>
        <v>0</v>
      </c>
      <c r="E46" s="269"/>
      <c r="F46" s="268"/>
    </row>
    <row r="47" spans="1:6" s="353" customFormat="1">
      <c r="A47" s="145" t="s">
        <v>151</v>
      </c>
      <c r="B47" s="267">
        <f>'Sources and Uses Budget'!$C46</f>
        <v>300000</v>
      </c>
      <c r="C47" s="267">
        <f>'Sources and Uses Budget'!$C46</f>
        <v>300000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25106</v>
      </c>
      <c r="C49" s="267">
        <f>'Sources and Uses Budget'!$C48</f>
        <v>25106</v>
      </c>
      <c r="D49" s="271">
        <f t="shared" si="0"/>
        <v>0</v>
      </c>
      <c r="E49" s="269"/>
      <c r="F49" s="268"/>
    </row>
    <row r="50" spans="1:6" s="353" customFormat="1">
      <c r="A50" s="145" t="s">
        <v>57</v>
      </c>
      <c r="B50" s="267">
        <f>'Sources and Uses Budget'!$C49</f>
        <v>125000</v>
      </c>
      <c r="C50" s="267">
        <f>'Sources and Uses Budget'!$C49</f>
        <v>125000</v>
      </c>
      <c r="D50" s="271">
        <f t="shared" si="0"/>
        <v>0</v>
      </c>
      <c r="E50" s="269"/>
      <c r="F50" s="268"/>
    </row>
    <row r="51" spans="1:6" s="353" customFormat="1">
      <c r="A51" s="145" t="s">
        <v>156</v>
      </c>
      <c r="B51" s="267">
        <f>'Sources and Uses Budget'!$C50</f>
        <v>30000</v>
      </c>
      <c r="C51" s="267">
        <f>'Sources and Uses Budget'!$C50</f>
        <v>30000</v>
      </c>
      <c r="D51" s="271">
        <f t="shared" si="0"/>
        <v>0</v>
      </c>
      <c r="E51" s="269"/>
      <c r="F51" s="268"/>
    </row>
    <row r="52" spans="1:6" s="353" customFormat="1">
      <c r="A52" s="284" t="s">
        <v>154</v>
      </c>
      <c r="B52" s="267">
        <f>'Sources and Uses Budget'!$C51</f>
        <v>2000</v>
      </c>
      <c r="C52" s="267">
        <f>'Sources and Uses Budget'!$C51</f>
        <v>2000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4664093</v>
      </c>
      <c r="C55" s="274">
        <f>SUM(C46:C54)</f>
        <v>4664093</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40000</v>
      </c>
      <c r="C59" s="267">
        <f>'Sources and Uses Budget'!$C58</f>
        <v>40000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40000</v>
      </c>
      <c r="C63" s="271">
        <f>SUM(C57:C62)</f>
        <v>40000</v>
      </c>
      <c r="D63" s="271">
        <f t="shared" si="0"/>
        <v>0</v>
      </c>
      <c r="E63" s="269"/>
      <c r="F63" s="268"/>
    </row>
    <row r="64" spans="1:6" s="353" customFormat="1">
      <c r="A64" s="275" t="s">
        <v>302</v>
      </c>
      <c r="B64" s="271">
        <f>SUM(B9+B12+B14+B15+B17+B26+B28+B39+B43+B44+B55+B63)</f>
        <v>47589643</v>
      </c>
      <c r="C64" s="271">
        <f>SUM(C9+C12+C14+C15+C17+C26+C28+C39+C43+C44+C55+C63)</f>
        <v>47589643</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450000</v>
      </c>
      <c r="C66" s="267">
        <f>'Sources and Uses Budget'!$C65</f>
        <v>450000</v>
      </c>
      <c r="D66" s="271">
        <f t="shared" si="0"/>
        <v>0</v>
      </c>
      <c r="E66" s="269"/>
      <c r="F66" s="268"/>
    </row>
    <row r="67" spans="1:6" s="353" customFormat="1" ht="24">
      <c r="A67" s="284" t="s">
        <v>1642</v>
      </c>
      <c r="B67" s="267">
        <f>'Sources and Uses Budget'!$C66</f>
        <v>250000</v>
      </c>
      <c r="C67" s="267">
        <f>'Sources and Uses Budget'!$C66</f>
        <v>250000</v>
      </c>
      <c r="D67" s="271"/>
      <c r="E67" s="269"/>
      <c r="F67" s="268"/>
    </row>
    <row r="68" spans="1:6" s="353" customFormat="1" ht="24">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700000</v>
      </c>
      <c r="C71" s="271">
        <f>SUM(C66:C70)</f>
        <v>700000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523590</v>
      </c>
      <c r="C76" s="267">
        <f>'Sources and Uses Budget'!$C75</f>
        <v>523590</v>
      </c>
      <c r="D76" s="271">
        <f t="shared" si="0"/>
        <v>0</v>
      </c>
      <c r="E76" s="269"/>
      <c r="F76" s="268"/>
    </row>
    <row r="77" spans="1:6" s="353" customFormat="1">
      <c r="A77" s="273" t="s">
        <v>34</v>
      </c>
      <c r="B77" s="267">
        <f>'Sources and Uses Budget'!$C76</f>
        <v>14750000</v>
      </c>
      <c r="C77" s="267">
        <f>'Sources and Uses Budget'!$C76</f>
        <v>14750000</v>
      </c>
      <c r="D77" s="271">
        <f t="shared" si="0"/>
        <v>0</v>
      </c>
      <c r="E77" s="269"/>
      <c r="F77" s="268"/>
    </row>
    <row r="78" spans="1:6" s="353" customFormat="1">
      <c r="A78" s="272" t="s">
        <v>607</v>
      </c>
      <c r="B78" s="271">
        <f>SUM(B73:B77)</f>
        <v>15273590</v>
      </c>
      <c r="C78" s="271">
        <f>SUM(C73:C77)</f>
        <v>15273590</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126783</v>
      </c>
      <c r="C80" s="267">
        <f>'Sources and Uses Budget'!$C79</f>
        <v>126783</v>
      </c>
      <c r="D80" s="271">
        <f t="shared" si="1"/>
        <v>0</v>
      </c>
      <c r="E80" s="269"/>
      <c r="F80" s="268"/>
    </row>
    <row r="81" spans="1:6" s="353" customFormat="1">
      <c r="A81" s="511" t="s">
        <v>58</v>
      </c>
      <c r="B81" s="267">
        <f>'Sources and Uses Budget'!$C80</f>
        <v>1000000</v>
      </c>
      <c r="C81" s="267">
        <f>'Sources and Uses Budget'!$C80</f>
        <v>1000000</v>
      </c>
      <c r="D81" s="271">
        <f>C81-B81</f>
        <v>0</v>
      </c>
      <c r="E81" s="269"/>
      <c r="F81" s="268"/>
    </row>
    <row r="82" spans="1:6" s="353" customFormat="1">
      <c r="A82" s="272" t="s">
        <v>1210</v>
      </c>
      <c r="B82" s="271">
        <f>SUM(B80:B81)</f>
        <v>1126783</v>
      </c>
      <c r="C82" s="271">
        <f>SUM(C80:C81)</f>
        <v>1126783</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230650</v>
      </c>
      <c r="C84" s="267">
        <f>'Sources and Uses Budget'!$C83</f>
        <v>230650</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100000</v>
      </c>
      <c r="C89" s="267">
        <f>'Sources and Uses Budget'!$C88</f>
        <v>100000</v>
      </c>
      <c r="D89" s="271">
        <f t="shared" si="1"/>
        <v>0</v>
      </c>
      <c r="E89" s="269"/>
      <c r="F89" s="268"/>
    </row>
    <row r="90" spans="1:6" s="353" customFormat="1">
      <c r="A90" s="270" t="s">
        <v>773</v>
      </c>
      <c r="B90" s="267">
        <f>'Sources and Uses Budget'!$C89</f>
        <v>1003000</v>
      </c>
      <c r="C90" s="267">
        <f>'Sources and Uses Budget'!$C89</f>
        <v>1003000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30000</v>
      </c>
      <c r="C92" s="267">
        <f>'Sources and Uses Budget'!$C91</f>
        <v>30000</v>
      </c>
      <c r="D92" s="271">
        <f t="shared" si="1"/>
        <v>0</v>
      </c>
      <c r="E92" s="269"/>
      <c r="F92" s="268"/>
    </row>
    <row r="93" spans="1:6" s="353" customFormat="1">
      <c r="A93" s="511" t="s">
        <v>1212</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1383650</v>
      </c>
      <c r="C97" s="271">
        <f>SUM(C84:C96)</f>
        <v>1383650</v>
      </c>
      <c r="D97" s="271">
        <f t="shared" si="1"/>
        <v>0</v>
      </c>
      <c r="E97" s="269"/>
      <c r="F97" s="268"/>
    </row>
    <row r="98" spans="1:6" s="353" customFormat="1">
      <c r="A98" s="272" t="s">
        <v>776</v>
      </c>
      <c r="B98" s="271">
        <f>SUM(B64+B71+B78+B82+B97)</f>
        <v>66073666</v>
      </c>
      <c r="C98" s="271">
        <f>SUM(C64+C71+C78+C82+C97)</f>
        <v>66073666</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6385360</v>
      </c>
      <c r="C100" s="267">
        <f>'Sources and Uses Budget'!$C99</f>
        <v>6385360</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6385360</v>
      </c>
      <c r="C105" s="271">
        <f>SUM(C100:C104)</f>
        <v>6385360</v>
      </c>
      <c r="D105" s="271">
        <f t="shared" si="1"/>
        <v>0</v>
      </c>
      <c r="E105" s="269"/>
      <c r="F105" s="268"/>
    </row>
    <row r="106" spans="1:6" s="353" customFormat="1">
      <c r="A106" s="272" t="s">
        <v>781</v>
      </c>
      <c r="B106" s="274">
        <f>SUM(B98+B105)</f>
        <v>72459026</v>
      </c>
      <c r="C106" s="274">
        <f>SUM(C98+C105)</f>
        <v>72459026</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2.75"/>
    <row r="4" spans="1:10" ht="12.75" customHeight="1">
      <c r="A4" s="1275" t="s">
        <v>2049</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75"/>
    <row r="10" spans="1:10" ht="12.75" customHeight="1">
      <c r="A10" s="1279" t="s">
        <v>1875</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1874</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1871</v>
      </c>
      <c r="B71" s="1276"/>
      <c r="C71" s="1276"/>
      <c r="D71" s="1276"/>
      <c r="E71" s="1276"/>
      <c r="F71" s="1276"/>
      <c r="G71" s="1276"/>
      <c r="H71" s="1276"/>
      <c r="I71" s="1276"/>
    </row>
    <row r="72" spans="1:9" ht="12.75">
      <c r="A72" s="1268" t="s">
        <v>2047</v>
      </c>
      <c r="B72" s="1268"/>
      <c r="C72" s="1268"/>
      <c r="D72" s="1268"/>
      <c r="E72" s="1268"/>
    </row>
    <row r="73" spans="1:9" ht="12.75">
      <c r="A73" s="1268" t="s">
        <v>2048</v>
      </c>
      <c r="B73" s="1268"/>
      <c r="C73" s="1268"/>
      <c r="D73" s="1268"/>
      <c r="E73" s="1268"/>
    </row>
    <row r="74" spans="1:9" ht="12.75">
      <c r="A74" s="1268" t="s">
        <v>1872</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17" zoomScale="85" zoomScaleNormal="85" workbookViewId="0">
      <selection activeCell="D1054" sqref="D1054:F1057"/>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2461</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ht="14.25">
      <c r="A15" s="485"/>
      <c r="B15" s="486" t="s">
        <v>2633</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ht="14.25">
      <c r="A20" s="485"/>
      <c r="B20" s="486" t="s">
        <v>2633</v>
      </c>
      <c r="D20" s="1300" t="s">
        <v>1924</v>
      </c>
      <c r="E20" s="1300"/>
      <c r="F20" s="1300"/>
      <c r="I20" s="491"/>
    </row>
    <row r="21" spans="1:9" ht="14.25">
      <c r="A21" s="485"/>
      <c r="D21" s="1300"/>
      <c r="E21" s="1300"/>
      <c r="F21" s="1300"/>
      <c r="I21" s="491"/>
    </row>
    <row r="22" spans="1:9" ht="14.25">
      <c r="A22" s="485"/>
      <c r="D22" s="393"/>
      <c r="E22" s="96" t="s">
        <v>1920</v>
      </c>
      <c r="F22" s="393"/>
      <c r="I22" s="491"/>
    </row>
    <row r="23" spans="1:9" ht="14.25">
      <c r="A23" s="485"/>
      <c r="B23" s="485"/>
      <c r="D23" s="447"/>
      <c r="I23" s="491"/>
    </row>
    <row r="24" spans="1:9" ht="14.25">
      <c r="A24" s="485"/>
      <c r="B24" s="486" t="s">
        <v>2634</v>
      </c>
      <c r="D24" s="1300" t="s">
        <v>1092</v>
      </c>
      <c r="E24" s="1300"/>
      <c r="F24" s="1300"/>
      <c r="I24" s="491"/>
    </row>
    <row r="25" spans="1:9" ht="14.25">
      <c r="A25" s="485"/>
      <c r="B25" s="485"/>
      <c r="D25" s="1300"/>
      <c r="E25" s="1300"/>
      <c r="F25" s="1300"/>
      <c r="I25" s="491"/>
    </row>
    <row r="26" spans="1:9">
      <c r="I26" s="491"/>
    </row>
    <row r="27" spans="1:9" ht="14.25">
      <c r="A27" s="485"/>
      <c r="B27" s="486" t="s">
        <v>2633</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2633</v>
      </c>
      <c r="D33" s="1300" t="s">
        <v>2051</v>
      </c>
      <c r="E33" s="1300"/>
      <c r="F33" s="1300"/>
      <c r="I33" s="491"/>
    </row>
    <row r="34" spans="1:9">
      <c r="D34" s="1300"/>
      <c r="E34" s="1300"/>
      <c r="F34" s="1300"/>
      <c r="I34" s="491"/>
    </row>
    <row r="35" spans="1:9" ht="14.25">
      <c r="A35" s="485"/>
      <c r="B35" s="485"/>
      <c r="D35" s="448"/>
      <c r="I35" s="491"/>
    </row>
    <row r="36" spans="1:9" ht="14.45" customHeight="1">
      <c r="A36" s="485"/>
      <c r="B36" s="486" t="s">
        <v>2633</v>
      </c>
      <c r="D36" s="1300" t="s">
        <v>1215</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2634</v>
      </c>
      <c r="D41" s="1300" t="s">
        <v>1093</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2633</v>
      </c>
      <c r="D47" s="1300" t="s">
        <v>1094</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2634</v>
      </c>
      <c r="D52" s="1300" t="s">
        <v>1095</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2633</v>
      </c>
      <c r="D56" s="1323" t="s">
        <v>1096</v>
      </c>
      <c r="E56" s="1323"/>
      <c r="F56" s="1323"/>
      <c r="I56" s="491"/>
    </row>
    <row r="57" spans="1:9" ht="14.25">
      <c r="A57" s="485"/>
      <c r="B57" s="485"/>
      <c r="D57" s="1323"/>
      <c r="E57" s="1323"/>
      <c r="F57" s="1323"/>
      <c r="I57" s="491"/>
    </row>
    <row r="58" spans="1:9" ht="14.25">
      <c r="A58" s="485"/>
      <c r="B58" s="485"/>
      <c r="D58" s="393" t="s">
        <v>1922</v>
      </c>
      <c r="E58" s="446"/>
      <c r="F58" s="446"/>
      <c r="I58" s="491"/>
    </row>
    <row r="59" spans="1:9" ht="14.25">
      <c r="A59" s="485"/>
      <c r="B59" s="485"/>
      <c r="D59" s="446"/>
      <c r="E59" s="313" t="s">
        <v>1921</v>
      </c>
      <c r="F59" s="446"/>
      <c r="I59" s="491"/>
    </row>
    <row r="60" spans="1:9">
      <c r="D60" s="448"/>
      <c r="I60" s="491"/>
    </row>
    <row r="61" spans="1:9" ht="14.25">
      <c r="A61" s="485"/>
      <c r="B61" s="486" t="s">
        <v>2634</v>
      </c>
      <c r="D61" s="1300" t="s">
        <v>1097</v>
      </c>
      <c r="E61" s="1300"/>
      <c r="F61" s="1300"/>
      <c r="I61" s="491"/>
    </row>
    <row r="62" spans="1:9">
      <c r="D62" s="1300"/>
      <c r="E62" s="1300"/>
      <c r="F62" s="1300"/>
      <c r="I62" s="491"/>
    </row>
    <row r="63" spans="1:9">
      <c r="D63" s="1300"/>
      <c r="E63" s="1300"/>
      <c r="F63" s="1300"/>
      <c r="I63" s="491"/>
    </row>
    <row r="64" spans="1:9">
      <c r="I64" s="491"/>
    </row>
    <row r="65" spans="1:9" ht="14.25">
      <c r="A65" s="485"/>
      <c r="B65" s="486" t="s">
        <v>2634</v>
      </c>
      <c r="D65" s="1300" t="s">
        <v>1098</v>
      </c>
      <c r="E65" s="1300"/>
      <c r="F65" s="1300"/>
      <c r="I65" s="491"/>
    </row>
    <row r="66" spans="1:9">
      <c r="D66" s="1300"/>
      <c r="E66" s="1300"/>
      <c r="F66" s="1300"/>
      <c r="I66" s="491"/>
    </row>
    <row r="67" spans="1:9">
      <c r="I67" s="491"/>
    </row>
    <row r="68" spans="1:9" ht="14.25">
      <c r="A68" s="485"/>
      <c r="B68" s="486" t="s">
        <v>2633</v>
      </c>
      <c r="D68" s="1300" t="s">
        <v>1099</v>
      </c>
      <c r="E68" s="1300"/>
      <c r="F68" s="1300"/>
      <c r="I68" s="491"/>
    </row>
    <row r="69" spans="1:9">
      <c r="D69" s="1300"/>
      <c r="E69" s="1300"/>
      <c r="F69" s="1300"/>
      <c r="I69" s="491"/>
    </row>
    <row r="70" spans="1:9">
      <c r="D70" s="1300"/>
      <c r="E70" s="1300"/>
      <c r="F70" s="1300"/>
      <c r="I70" s="491"/>
    </row>
    <row r="71" spans="1:9">
      <c r="I71" s="491"/>
    </row>
    <row r="72" spans="1:9" ht="14.25">
      <c r="A72" s="485"/>
      <c r="B72" s="486" t="s">
        <v>2633</v>
      </c>
      <c r="D72" s="1300" t="s">
        <v>1100</v>
      </c>
      <c r="E72" s="1300"/>
      <c r="F72" s="1300"/>
      <c r="I72" s="491"/>
    </row>
    <row r="73" spans="1:9">
      <c r="D73" s="1300"/>
      <c r="E73" s="1300"/>
      <c r="F73" s="1300"/>
      <c r="I73" s="491"/>
    </row>
    <row r="74" spans="1:9" ht="14.25">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 customHeight="1">
      <c r="A80" s="485"/>
      <c r="B80" s="486" t="s">
        <v>2633</v>
      </c>
      <c r="D80" s="1300" t="s">
        <v>1246</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2633</v>
      </c>
      <c r="D89" s="1300" t="s">
        <v>1743</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2633</v>
      </c>
      <c r="D92" s="1300" t="s">
        <v>1746</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2633</v>
      </c>
      <c r="D96" s="1300" t="s">
        <v>1745</v>
      </c>
      <c r="E96" s="1300"/>
      <c r="F96" s="1300"/>
      <c r="I96" s="491"/>
    </row>
    <row r="97" spans="1:9" s="988" customFormat="1" ht="14.25">
      <c r="A97" s="986"/>
      <c r="B97" s="986"/>
      <c r="C97" s="987"/>
      <c r="D97" s="1300"/>
      <c r="E97" s="1300"/>
      <c r="F97" s="1300"/>
      <c r="I97" s="1156"/>
    </row>
    <row r="98" spans="1:9" ht="14.25">
      <c r="A98" s="485"/>
      <c r="B98" s="485"/>
      <c r="D98" s="393"/>
      <c r="E98" s="313" t="s">
        <v>1925</v>
      </c>
      <c r="F98" s="446"/>
      <c r="I98" s="491"/>
    </row>
    <row r="99" spans="1:9" ht="14.25">
      <c r="A99" s="485"/>
      <c r="B99" s="485"/>
      <c r="D99" s="386"/>
      <c r="E99" s="386"/>
      <c r="F99" s="386"/>
      <c r="I99" s="491"/>
    </row>
    <row r="100" spans="1:9" ht="14.25">
      <c r="A100" s="485"/>
      <c r="B100" s="486" t="s">
        <v>2634</v>
      </c>
      <c r="D100" s="1300" t="s">
        <v>1744</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2634</v>
      </c>
      <c r="D103" s="1300" t="s">
        <v>1195</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2634</v>
      </c>
      <c r="D119" s="1322" t="s">
        <v>1104</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2633</v>
      </c>
      <c r="C128" s="403"/>
      <c r="D128" s="1322" t="s">
        <v>2052</v>
      </c>
      <c r="E128" s="1322"/>
      <c r="F128" s="1322"/>
      <c r="I128" s="491"/>
    </row>
    <row r="129" spans="1:9" ht="14.25">
      <c r="A129" s="485"/>
      <c r="B129" s="485"/>
      <c r="C129" s="403"/>
      <c r="D129" s="1322"/>
      <c r="E129" s="1322"/>
      <c r="F129" s="1322"/>
      <c r="I129" s="491"/>
    </row>
    <row r="130" spans="1:9">
      <c r="I130" s="491"/>
    </row>
    <row r="131" spans="1:9" ht="14.25">
      <c r="A131" s="485"/>
      <c r="B131" s="486" t="s">
        <v>2633</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2633</v>
      </c>
      <c r="D137" s="1300" t="s">
        <v>1106</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2634</v>
      </c>
      <c r="D151" s="1300" t="s">
        <v>1178</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2075</v>
      </c>
      <c r="E169" s="1319"/>
      <c r="F169" s="1319"/>
      <c r="G169" s="508"/>
      <c r="I169" s="491"/>
    </row>
    <row r="170" spans="1:9" ht="13.7" customHeight="1">
      <c r="D170" s="1317"/>
      <c r="E170" s="1317"/>
      <c r="F170" s="1317"/>
      <c r="G170" s="1317"/>
      <c r="I170" s="491"/>
    </row>
    <row r="171" spans="1:9" ht="14.45" customHeight="1">
      <c r="A171" s="490"/>
      <c r="B171" s="486" t="s">
        <v>2633</v>
      </c>
      <c r="C171" s="477"/>
      <c r="D171" s="1271" t="s">
        <v>2215</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2634</v>
      </c>
      <c r="C177" s="477"/>
      <c r="D177" s="1271" t="s">
        <v>1107</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2634</v>
      </c>
      <c r="D182" s="1312" t="s">
        <v>2053</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2634</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2634</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2633</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2634</v>
      </c>
      <c r="D209" s="387" t="s">
        <v>1896</v>
      </c>
      <c r="E209" s="386"/>
      <c r="F209" s="386"/>
      <c r="I209" s="491"/>
    </row>
    <row r="210" spans="1:9" ht="14.25">
      <c r="A210" s="485"/>
      <c r="B210" s="485"/>
      <c r="D210" s="1287" t="s">
        <v>1903</v>
      </c>
      <c r="E210" s="1287"/>
      <c r="F210" s="1287"/>
      <c r="I210" s="491"/>
    </row>
    <row r="211" spans="1:9">
      <c r="D211" s="386"/>
      <c r="E211" s="1324" t="s">
        <v>1929</v>
      </c>
      <c r="F211" s="1324"/>
      <c r="I211" s="491"/>
    </row>
    <row r="212" spans="1:9">
      <c r="D212" s="448"/>
      <c r="I212" s="491"/>
    </row>
    <row r="213" spans="1:9">
      <c r="B213" s="486" t="s">
        <v>2634</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ht="14.25">
      <c r="A217" s="485"/>
      <c r="B217" s="486" t="s">
        <v>2634</v>
      </c>
      <c r="D217" s="1300" t="s">
        <v>1217</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 customHeight="1">
      <c r="A227" s="491"/>
      <c r="C227" s="491"/>
      <c r="D227" s="1308" t="s">
        <v>547</v>
      </c>
      <c r="E227" s="1308"/>
      <c r="F227" s="1308"/>
      <c r="I227" s="491"/>
    </row>
    <row r="228" spans="1:9" ht="14.25">
      <c r="A228" s="485"/>
      <c r="B228" s="486" t="s">
        <v>2633</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2633</v>
      </c>
      <c r="D233" s="1300" t="s">
        <v>1755</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1119</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2634</v>
      </c>
      <c r="D245" s="1300" t="s">
        <v>2055</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1897</v>
      </c>
      <c r="I248" s="491"/>
    </row>
    <row r="249" spans="1:9" ht="14.25">
      <c r="A249" s="485"/>
      <c r="B249" s="485"/>
      <c r="D249" s="447"/>
      <c r="E249" s="447"/>
      <c r="F249" s="447"/>
      <c r="I249" s="491"/>
    </row>
    <row r="250" spans="1:9" ht="14.45" customHeight="1">
      <c r="A250" s="485"/>
      <c r="B250" s="486" t="s">
        <v>2634</v>
      </c>
      <c r="D250" s="1300" t="s">
        <v>2056</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2633</v>
      </c>
      <c r="D256" s="393" t="s">
        <v>2057</v>
      </c>
      <c r="E256" s="446"/>
      <c r="F256" s="446"/>
      <c r="I256" s="491"/>
    </row>
    <row r="257" spans="1:9" ht="14.25">
      <c r="A257" s="485"/>
      <c r="B257" s="485"/>
      <c r="E257" s="1037" t="s">
        <v>1898</v>
      </c>
      <c r="I257" s="491"/>
    </row>
    <row r="258" spans="1:9">
      <c r="D258" s="447"/>
      <c r="E258" s="447"/>
      <c r="F258" s="447"/>
      <c r="I258" s="491"/>
    </row>
    <row r="259" spans="1:9" ht="14.25">
      <c r="A259" s="485"/>
      <c r="B259" s="486" t="s">
        <v>2633</v>
      </c>
      <c r="D259" s="1300" t="s">
        <v>1120</v>
      </c>
      <c r="E259" s="1300"/>
      <c r="F259" s="1300"/>
      <c r="I259" s="491"/>
    </row>
    <row r="260" spans="1:9" ht="14.25">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5" customHeight="1">
      <c r="A267" s="485"/>
      <c r="B267" s="486" t="s">
        <v>2633</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45" customHeight="1">
      <c r="A271" s="485"/>
      <c r="B271" s="486" t="s">
        <v>2634</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2634</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ht="14.25">
      <c r="A290" s="485"/>
      <c r="B290" s="486" t="s">
        <v>2634</v>
      </c>
      <c r="D290" s="1300" t="s">
        <v>1126</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2634</v>
      </c>
      <c r="D293" s="1300" t="s">
        <v>1127</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2634</v>
      </c>
      <c r="D297" s="1300" t="s">
        <v>1128</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2634</v>
      </c>
      <c r="D305" s="1298" t="s">
        <v>1130</v>
      </c>
      <c r="E305" s="1298"/>
      <c r="F305" s="1298"/>
      <c r="I305" s="491"/>
    </row>
    <row r="306" spans="1:9" ht="14.25">
      <c r="A306" s="485"/>
      <c r="B306" s="485"/>
      <c r="D306" s="495"/>
      <c r="E306" s="496"/>
      <c r="F306" s="496"/>
      <c r="I306" s="491"/>
    </row>
    <row r="307" spans="1:9" ht="13.7" customHeight="1">
      <c r="B307" s="486" t="s">
        <v>2634</v>
      </c>
      <c r="D307" s="1309" t="s">
        <v>1220</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2634</v>
      </c>
      <c r="D313" s="1309" t="s">
        <v>1131</v>
      </c>
      <c r="E313" s="1309"/>
      <c r="F313" s="1309"/>
      <c r="I313" s="491"/>
    </row>
    <row r="314" spans="1:9">
      <c r="D314" s="1309"/>
      <c r="E314" s="1309"/>
      <c r="F314" s="1309"/>
      <c r="I314" s="491"/>
    </row>
    <row r="315" spans="1:9" ht="14.25">
      <c r="A315" s="485"/>
      <c r="B315" s="485"/>
      <c r="D315" s="495"/>
      <c r="E315" s="496"/>
      <c r="F315" s="496"/>
      <c r="I315" s="491"/>
    </row>
    <row r="316" spans="1:9">
      <c r="B316" s="486" t="s">
        <v>2634</v>
      </c>
      <c r="D316" s="1298" t="s">
        <v>1132</v>
      </c>
      <c r="E316" s="1298"/>
      <c r="F316" s="1298"/>
      <c r="I316" s="491"/>
    </row>
    <row r="317" spans="1:9">
      <c r="E317" s="447"/>
      <c r="F317" s="447"/>
      <c r="I317" s="491"/>
    </row>
    <row r="318" spans="1:9" ht="14.25">
      <c r="A318" s="485"/>
      <c r="B318" s="486" t="s">
        <v>2634</v>
      </c>
      <c r="D318" s="1300" t="s">
        <v>2248</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2634</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2634</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2634</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ht="14.25">
      <c r="A360" s="485"/>
      <c r="B360" s="486" t="s">
        <v>2634</v>
      </c>
      <c r="C360" s="477"/>
      <c r="D360" s="1317" t="s">
        <v>2059</v>
      </c>
      <c r="E360" s="1317"/>
      <c r="F360" s="1317"/>
      <c r="I360" s="481"/>
    </row>
    <row r="361" spans="1:9">
      <c r="A361" s="477"/>
      <c r="B361" s="477"/>
      <c r="C361" s="477"/>
      <c r="D361" s="448"/>
      <c r="E361" s="448"/>
      <c r="F361" s="447"/>
      <c r="I361" s="491"/>
    </row>
    <row r="362" spans="1:9">
      <c r="A362" s="477"/>
      <c r="B362" s="486" t="s">
        <v>2634</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2634</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2634</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25">
      <c r="A387" s="485"/>
      <c r="B387" s="486" t="s">
        <v>2634</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2634</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2634</v>
      </c>
      <c r="D423" s="1271" t="s">
        <v>1883</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2634</v>
      </c>
      <c r="C429" s="477"/>
      <c r="D429" s="1271" t="s">
        <v>1241</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ht="14.25">
      <c r="A435" s="485"/>
      <c r="B435" s="486" t="s">
        <v>2634</v>
      </c>
      <c r="C435" s="488"/>
      <c r="D435" s="1300" t="s">
        <v>2061</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2634</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2634</v>
      </c>
      <c r="C471" s="485"/>
      <c r="D471" s="1300" t="s">
        <v>1198</v>
      </c>
      <c r="E471" s="1300"/>
      <c r="F471" s="1300"/>
      <c r="I471" s="491"/>
    </row>
    <row r="472" spans="1:9">
      <c r="D472" s="1300"/>
      <c r="E472" s="1300"/>
      <c r="F472" s="1300"/>
      <c r="I472" s="491"/>
    </row>
    <row r="473" spans="1:9">
      <c r="D473" s="447"/>
      <c r="E473" s="447"/>
      <c r="F473" s="447"/>
      <c r="I473" s="491"/>
    </row>
    <row r="474" spans="1:9" ht="14.25">
      <c r="B474" s="486" t="s">
        <v>2634</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2634</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2634</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2634</v>
      </c>
      <c r="C486" s="403"/>
      <c r="D486" s="1300"/>
      <c r="E486" s="1300"/>
      <c r="F486" s="1300"/>
      <c r="I486" s="491"/>
    </row>
    <row r="487" spans="1:9">
      <c r="A487" s="403"/>
      <c r="C487" s="403"/>
      <c r="D487" s="1300"/>
      <c r="E487" s="1300"/>
      <c r="F487" s="1300"/>
      <c r="I487" s="491"/>
    </row>
    <row r="488" spans="1:9">
      <c r="A488" s="403"/>
      <c r="B488" s="486" t="s">
        <v>2634</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2634</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ht="14.25">
      <c r="A499" s="485"/>
      <c r="B499" s="485"/>
      <c r="D499" s="1317" t="s">
        <v>1142</v>
      </c>
      <c r="E499" s="1317"/>
      <c r="F499" s="1317"/>
      <c r="I499" s="491"/>
    </row>
    <row r="500" spans="1:9" ht="14.25">
      <c r="A500" s="485"/>
      <c r="B500" s="485"/>
      <c r="D500" s="448"/>
      <c r="I500" s="491"/>
    </row>
    <row r="501" spans="1:9" ht="14.25">
      <c r="A501" s="485"/>
      <c r="B501" s="486" t="s">
        <v>2634</v>
      </c>
      <c r="D501" s="1271" t="s">
        <v>1143</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2634</v>
      </c>
      <c r="D504" s="1312" t="s">
        <v>1274</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2634</v>
      </c>
      <c r="D509" s="1298" t="s">
        <v>1144</v>
      </c>
      <c r="E509" s="1298"/>
      <c r="F509" s="1298"/>
      <c r="I509" s="491"/>
    </row>
    <row r="510" spans="1:9" ht="14.25">
      <c r="A510" s="485"/>
      <c r="B510" s="485"/>
      <c r="D510" s="447"/>
      <c r="I510" s="491"/>
    </row>
    <row r="511" spans="1:9" ht="14.25">
      <c r="A511" s="485"/>
      <c r="B511" s="486" t="s">
        <v>2634</v>
      </c>
      <c r="D511" s="1300" t="s">
        <v>1145</v>
      </c>
      <c r="E511" s="1300"/>
      <c r="F511" s="1300"/>
      <c r="I511" s="491"/>
    </row>
    <row r="512" spans="1:9" ht="14.25">
      <c r="A512" s="485"/>
      <c r="D512" s="1300"/>
      <c r="E512" s="1300"/>
      <c r="F512" s="1300"/>
      <c r="I512" s="491"/>
    </row>
    <row r="513" spans="1:9">
      <c r="A513" s="491"/>
      <c r="B513" s="491"/>
      <c r="D513" s="448"/>
      <c r="I513" s="491"/>
    </row>
    <row r="514" spans="1:9">
      <c r="A514" s="491"/>
      <c r="B514" s="486" t="s">
        <v>2634</v>
      </c>
      <c r="D514" s="1298" t="s">
        <v>1146</v>
      </c>
      <c r="E514" s="1298"/>
      <c r="F514" s="1298"/>
      <c r="I514" s="491"/>
    </row>
    <row r="515" spans="1:9">
      <c r="D515" s="447"/>
      <c r="E515" s="447"/>
      <c r="F515" s="447"/>
      <c r="I515" s="491"/>
    </row>
    <row r="516" spans="1:9">
      <c r="B516" s="486" t="s">
        <v>2634</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2633</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2633</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2633</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 customHeight="1">
      <c r="A548" s="485"/>
      <c r="B548" s="486" t="s">
        <v>2633</v>
      </c>
      <c r="C548" s="488"/>
      <c r="D548" s="1298" t="s">
        <v>885</v>
      </c>
      <c r="E548" s="1298"/>
      <c r="F548" s="1298"/>
      <c r="I548" s="491"/>
    </row>
    <row r="549" spans="1:9" ht="13.7" customHeight="1">
      <c r="A549" s="488"/>
      <c r="B549" s="488"/>
      <c r="C549" s="488"/>
      <c r="D549" s="447"/>
      <c r="I549" s="491"/>
    </row>
    <row r="550" spans="1:9" ht="14.25">
      <c r="A550" s="485"/>
      <c r="B550" s="486" t="s">
        <v>2633</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2633</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2633</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2633</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2634</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2633</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2633</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ht="14.25">
      <c r="A572" s="485"/>
      <c r="B572" s="485"/>
      <c r="C572" s="488"/>
      <c r="E572" s="447"/>
      <c r="F572" s="447"/>
      <c r="I572" s="491"/>
    </row>
    <row r="573" spans="1:9" ht="14.25">
      <c r="A573" s="485"/>
      <c r="B573" s="486" t="s">
        <v>2633</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2633</v>
      </c>
      <c r="C578" s="488"/>
      <c r="D578" s="1300" t="s">
        <v>2065</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2633</v>
      </c>
      <c r="D588" s="1312" t="s">
        <v>889</v>
      </c>
      <c r="E588" s="1312"/>
      <c r="F588" s="1312"/>
      <c r="I588" s="491"/>
    </row>
    <row r="589" spans="1:9">
      <c r="A589" s="491"/>
      <c r="B589" s="491"/>
      <c r="D589" s="477"/>
      <c r="I589" s="491"/>
    </row>
    <row r="590" spans="1:9">
      <c r="A590" s="491"/>
      <c r="B590" s="486" t="s">
        <v>2633</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2634</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2633</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2634</v>
      </c>
      <c r="D602" s="1312" t="s">
        <v>1070</v>
      </c>
      <c r="E602" s="1312"/>
      <c r="F602" s="1312"/>
      <c r="I602" s="491"/>
    </row>
    <row r="603" spans="1:9">
      <c r="A603" s="491"/>
      <c r="B603" s="491"/>
      <c r="D603" s="1312"/>
      <c r="E603" s="1312"/>
      <c r="F603" s="1312"/>
      <c r="I603" s="491"/>
    </row>
    <row r="604" spans="1:9" ht="14.25">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2633</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2633</v>
      </c>
      <c r="D620" s="1306" t="s">
        <v>1112</v>
      </c>
      <c r="E620" s="1306"/>
      <c r="F620" s="1306"/>
      <c r="I620" s="491"/>
    </row>
    <row r="621" spans="1:9">
      <c r="D621" s="1306"/>
      <c r="E621" s="1306"/>
      <c r="F621" s="1306"/>
      <c r="I621" s="491"/>
    </row>
    <row r="622" spans="1:9">
      <c r="I622" s="491"/>
    </row>
    <row r="623" spans="1:9">
      <c r="B623" s="486" t="s">
        <v>2633</v>
      </c>
      <c r="D623" s="1306" t="s">
        <v>1113</v>
      </c>
      <c r="E623" s="1306"/>
      <c r="F623" s="1306"/>
      <c r="I623" s="491"/>
    </row>
    <row r="624" spans="1:9">
      <c r="C624" s="501"/>
      <c r="D624" s="1306"/>
      <c r="E624" s="1306"/>
      <c r="F624" s="1306"/>
      <c r="I624" s="491"/>
    </row>
    <row r="625" spans="1:9">
      <c r="C625" s="501"/>
      <c r="I625" s="491"/>
    </row>
    <row r="626" spans="1:9">
      <c r="B626" s="486" t="s">
        <v>2634</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2633</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2634</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2634</v>
      </c>
      <c r="C643" s="488"/>
      <c r="D643" s="1300" t="s">
        <v>1226</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2634</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2633</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2634</v>
      </c>
      <c r="C658" s="488"/>
      <c r="D658" s="1300" t="s">
        <v>1284</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2633</v>
      </c>
      <c r="C664" s="488"/>
      <c r="D664" s="1300" t="s">
        <v>1283</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2633</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ht="14.25">
      <c r="A685" s="485"/>
      <c r="B685" s="486" t="s">
        <v>2633</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25">
      <c r="A690" s="485"/>
      <c r="B690" s="486" t="s">
        <v>2633</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2633</v>
      </c>
      <c r="C694" s="484"/>
      <c r="D694" s="1298" t="s">
        <v>918</v>
      </c>
      <c r="E694" s="1298"/>
      <c r="F694" s="1298"/>
      <c r="H694" s="502"/>
      <c r="I694" s="484"/>
      <c r="J694" s="502"/>
      <c r="K694" s="502"/>
    </row>
    <row r="695" spans="1:11" ht="14.25">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25">
      <c r="A698" s="485"/>
      <c r="B698" s="486" t="s">
        <v>2634</v>
      </c>
      <c r="C698" s="484"/>
      <c r="D698" s="1298" t="s">
        <v>2472</v>
      </c>
      <c r="E698" s="1298"/>
      <c r="F698" s="1298"/>
      <c r="H698" s="502"/>
      <c r="I698" s="484"/>
      <c r="J698" s="502"/>
      <c r="K698" s="502"/>
    </row>
    <row r="699" spans="1:11" ht="14.25">
      <c r="A699" s="485"/>
      <c r="B699" s="485"/>
      <c r="C699" s="484"/>
      <c r="D699" s="1298" t="s">
        <v>895</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2634</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2634</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2634</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2634</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2634</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2634</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2634</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2634</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2633</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2633</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2633</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2634</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2634</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2633</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2634</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2634</v>
      </c>
      <c r="C794" s="990"/>
      <c r="D794" s="1293" t="s">
        <v>1759</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2634</v>
      </c>
      <c r="C798" s="990"/>
      <c r="D798" s="1293" t="s">
        <v>1760</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1803</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2634</v>
      </c>
      <c r="C808" s="990"/>
      <c r="D808" s="1293" t="s">
        <v>1761</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2634</v>
      </c>
      <c r="C815" s="990"/>
      <c r="D815" s="1293" t="s">
        <v>1762</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2634</v>
      </c>
      <c r="C822" s="990"/>
      <c r="D822" s="1288" t="s">
        <v>1763</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2633</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2633</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2634</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2634</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2634</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2633</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2633</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2634</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2634</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2634</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2633</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2633</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2633</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2634</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2634</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2634</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2634</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2634</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2633</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2633</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2634</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2634</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2634</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2634</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2633</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2634</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2634</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2634</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2634</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2634</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2633</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2634</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2634</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2633</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2634</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2633</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2634</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2634</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2633</v>
      </c>
      <c r="C1062" s="403"/>
      <c r="D1062" s="403" t="s">
        <v>1813</v>
      </c>
      <c r="I1062" s="491"/>
    </row>
    <row r="1063" spans="1:9">
      <c r="A1063" s="403"/>
      <c r="B1063" s="403"/>
      <c r="C1063" s="403"/>
      <c r="I1063" s="491"/>
    </row>
    <row r="1064" spans="1:9">
      <c r="A1064" s="403"/>
      <c r="B1064" s="486" t="s">
        <v>2633</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2633</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2634</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2634</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2634</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2634</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2634</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2634</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2634</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2634</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2633</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2633</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6" zoomScale="85" zoomScaleNormal="85" workbookViewId="0">
      <selection activeCell="AU696"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Bay Area ((Alameda, Contra Costa, Marin, San Francisco, San Mateo, Santa Clara, and Santa Cruz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143</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2513</v>
      </c>
      <c r="BE8" s="1253">
        <f>SUMIF($AC$718:$AC$752,"&lt;=35%",$G$718:G$752)-SUM($BE$5:BE7)</f>
        <v>0</v>
      </c>
    </row>
    <row r="9" spans="1:58" ht="12.95" customHeight="1">
      <c r="A9" s="1371" t="s">
        <v>2079</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2505</v>
      </c>
      <c r="BE9" s="1253">
        <f>SUMIF($AC$718:$AC$752,"&lt;=40%",$G$718:G$752)-SUM($BE$5:BE8)</f>
        <v>0</v>
      </c>
    </row>
    <row r="10" spans="1:58" ht="12.95" customHeight="1">
      <c r="A10" s="1371" t="s">
        <v>2462</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2514</v>
      </c>
      <c r="BE10" s="1253">
        <f>SUMIF($AC$718:$AC$752,"&lt;=45%",$G$718:G$752)-SUM($BE$5:BE9)</f>
        <v>0</v>
      </c>
    </row>
    <row r="11" spans="1:58" ht="12.95" customHeight="1">
      <c r="A11" s="1371" t="s">
        <v>2608</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2506</v>
      </c>
      <c r="BE11" s="1253">
        <f>SUMIF($AC$718:$AC$752,"&lt;=50%",$G$718:G$752)-SUM($BE$5:BE10)</f>
        <v>0</v>
      </c>
    </row>
    <row r="12" spans="1:58" ht="12.95" customHeight="1">
      <c r="A12" s="1410" t="s">
        <v>2609</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2515</v>
      </c>
      <c r="BE12" s="1253">
        <f>SUMIF($AC$718:$AC$752,"&lt;=55%",$G$718:G$752)-SUM($BE$5:BE11)</f>
        <v>0</v>
      </c>
    </row>
    <row r="13" spans="1:58" ht="12.95"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0</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2081</v>
      </c>
      <c r="C16" s="4"/>
      <c r="D16" s="4"/>
      <c r="E16" s="4"/>
      <c r="F16" s="4"/>
      <c r="G16" s="4"/>
      <c r="H16" s="1418" t="s">
        <v>2610</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657</v>
      </c>
      <c r="BE16" s="1253" t="str">
        <f>Application!H18</f>
        <v>The Refuge</v>
      </c>
    </row>
    <row r="17" spans="1:58" ht="12.95" customHeight="1">
      <c r="BD17" s="1251" t="s">
        <v>2522</v>
      </c>
      <c r="BE17" s="1253">
        <f>Application!AA934</f>
        <v>0</v>
      </c>
    </row>
    <row r="18" spans="1:58" ht="12.95" customHeight="1">
      <c r="A18" s="57" t="s">
        <v>101</v>
      </c>
      <c r="C18" s="4"/>
      <c r="D18" s="4"/>
      <c r="E18" s="4"/>
      <c r="F18" s="4"/>
      <c r="G18" s="4"/>
      <c r="H18" s="1415" t="s">
        <v>2611</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2523</v>
      </c>
      <c r="BE18" s="1253">
        <f>'CalHFA Addendum'!N11</f>
        <v>0</v>
      </c>
    </row>
    <row r="19" spans="1:58" ht="12.95" customHeight="1">
      <c r="BD19" s="1251" t="s">
        <v>2524</v>
      </c>
      <c r="BE19" s="1253">
        <f>Application!M26</f>
        <v>1958177</v>
      </c>
    </row>
    <row r="20" spans="1:58" ht="12.95" customHeight="1">
      <c r="A20" s="1411" t="s">
        <v>874</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2525</v>
      </c>
      <c r="BE20" s="1253">
        <f>Application!M27</f>
        <v>0</v>
      </c>
    </row>
    <row r="21" spans="1:58" ht="12.95" customHeight="1">
      <c r="A21" s="1420" t="s">
        <v>1010</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2526</v>
      </c>
      <c r="BE21" s="1253">
        <f>Application!AM554</f>
        <v>27010622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72459026</v>
      </c>
      <c r="BF22" s="3" t="s">
        <v>2599</v>
      </c>
    </row>
    <row r="23" spans="1:58" ht="12.95"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2570000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81333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417">
        <f>'Basis &amp; Credits'!AB56</f>
        <v>1958177</v>
      </c>
      <c r="N26" s="1417"/>
      <c r="O26" s="1417"/>
      <c r="P26" s="1417"/>
      <c r="Q26" s="1417"/>
      <c r="R26" s="4" t="s">
        <v>760</v>
      </c>
      <c r="S26" s="4"/>
      <c r="T26" s="4"/>
      <c r="U26" s="4"/>
      <c r="V26" s="4"/>
      <c r="W26" s="4"/>
      <c r="X26" s="4"/>
      <c r="Y26" s="4"/>
      <c r="Z26" s="4"/>
      <c r="AF26" s="4"/>
      <c r="AG26" s="4"/>
      <c r="AH26" s="4"/>
      <c r="AI26" s="4"/>
      <c r="AJ26" s="4"/>
      <c r="AK26" s="4"/>
      <c r="BD26" s="1252" t="s">
        <v>1640</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412" t="s">
        <v>2150</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2531</v>
      </c>
      <c r="BE29" s="1253" t="b">
        <f>Application!M358="Yes"</f>
        <v>0</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1</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2532</v>
      </c>
      <c r="BE31" s="125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143</v>
      </c>
    </row>
    <row r="33" spans="1:57" ht="12.95" customHeight="1">
      <c r="A33" s="520" t="s">
        <v>1279</v>
      </c>
      <c r="C33" s="520"/>
      <c r="D33" s="520"/>
      <c r="E33" s="520"/>
      <c r="F33" s="520"/>
      <c r="G33" s="520"/>
      <c r="H33" s="520"/>
      <c r="I33" s="520"/>
      <c r="J33" s="520"/>
      <c r="K33" s="520"/>
      <c r="L33" s="520"/>
      <c r="M33" s="520"/>
      <c r="N33" s="520"/>
      <c r="O33" s="1331" t="s">
        <v>670</v>
      </c>
      <c r="P33" s="1331"/>
      <c r="Q33" s="1413" t="s">
        <v>2151</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2600</v>
      </c>
      <c r="BE33" s="1253" t="str">
        <f>Application!D220</f>
        <v>East Bay Region: Alameda and Contra Costa Counties</v>
      </c>
    </row>
    <row r="34" spans="1:57" ht="12.95" customHeight="1">
      <c r="A34" s="1412" t="s">
        <v>2152</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2534</v>
      </c>
      <c r="BE34" s="1253" t="str">
        <f>Application!I185</f>
        <v>4400 Martin Luther King Jr Way</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2535</v>
      </c>
      <c r="BE35" s="1253"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2536</v>
      </c>
      <c r="BE36" s="1253" t="str">
        <f>Application!I189</f>
        <v>Oakland</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2537</v>
      </c>
      <c r="BE37" s="1253" t="str">
        <f>Application!T189</f>
        <v>Alameda</v>
      </c>
    </row>
    <row r="38" spans="1:57" ht="12.95" customHeight="1">
      <c r="A38" s="3"/>
      <c r="AZ38" s="20"/>
      <c r="BD38" s="1252" t="s">
        <v>2538</v>
      </c>
      <c r="BE38" s="1253">
        <f>Application!I190</f>
        <v>94609</v>
      </c>
    </row>
    <row r="39" spans="1:57" ht="12.95"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144</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143</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0.29999999999999993</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0.22097902097902103</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503187.68055555556</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Kingdom AF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William Leach</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Kingdom Development, Inc.</v>
      </c>
    </row>
    <row r="51" spans="1:57" ht="12.95"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MBP MLK,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Max Mellman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2.95"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Hybridge Capital Management</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8447 Wilshire Blvd</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Beverly Hills, CA 90211</v>
      </c>
    </row>
    <row r="60" spans="1:57" ht="12.95"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Max Mellman</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mm@hybridgecap.com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0.87991197935630949</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414" t="s">
        <v>2159</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2597</v>
      </c>
      <c r="BE65" s="1253" t="str">
        <f>Z205</f>
        <v>(select)</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2562</v>
      </c>
      <c r="BE66" s="125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414" t="s">
        <v>2160</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2565</v>
      </c>
      <c r="BE69" s="1253" t="str">
        <f>Application!W700</f>
        <v>CMFA</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2566</v>
      </c>
      <c r="BE70" s="1253">
        <f>'Points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412" t="s">
        <v>2161</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2568</v>
      </c>
      <c r="BE72" s="1253">
        <f>'Points System'!AF805</f>
        <v>10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2569</v>
      </c>
      <c r="BE73" s="1253">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785" t="s">
        <v>2162</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2571</v>
      </c>
      <c r="BE75" s="1253">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2572</v>
      </c>
      <c r="BE76" s="1253">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414" t="s">
        <v>2163</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2575</v>
      </c>
      <c r="BE79" s="1253">
        <f>'Points System'!AF815</f>
        <v>9</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2576</v>
      </c>
      <c r="BE80" s="1253">
        <f>'Points System'!AF817</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2.2056425459880122</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Oakland, Community &amp; Economic 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Michelle Byrd</v>
      </c>
    </row>
    <row r="86" spans="1:57" ht="12.95"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Oakland</v>
      </c>
    </row>
    <row r="89" spans="1:57" ht="12.95" customHeight="1">
      <c r="A89" s="1784" t="s">
        <v>2166</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2585</v>
      </c>
      <c r="BE89" s="1253">
        <f>Application!O158</f>
        <v>94612</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2586</v>
      </c>
      <c r="BE90" s="1253" t="str">
        <f>Application!H16</f>
        <v>HCM Refuge,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8447 Wilshire Blvd</v>
      </c>
    </row>
    <row r="92" spans="1:57" ht="12.95" customHeight="1">
      <c r="A92" s="1785" t="s">
        <v>2167</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2588</v>
      </c>
      <c r="BE92" s="1253" t="str">
        <f>Application!M234</f>
        <v>Beverly Hills</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2589</v>
      </c>
      <c r="BE93" s="1253"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2590</v>
      </c>
      <c r="BE94" s="1253">
        <f>Application!AC234</f>
        <v>90211</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2591</v>
      </c>
      <c r="BE95" s="1253" t="str">
        <f>Application!M235</f>
        <v>Max Mellman</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2592</v>
      </c>
      <c r="BE96" s="1253" t="str">
        <f>Application!M237</f>
        <v>mm@hybridgecap.com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2593</v>
      </c>
      <c r="BE97" s="1253" t="str">
        <f>Application!M248</f>
        <v>william@kingdomdevelopment.net</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2594</v>
      </c>
      <c r="BE98" s="1253" t="str">
        <f>Application!M256</f>
        <v>mm@hybridgecap.com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786" t="s">
        <v>2168</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2596</v>
      </c>
      <c r="BE100" s="1253" t="str">
        <f>Application!L279</f>
        <v>william@kingdomdevelopment.net</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2601</v>
      </c>
      <c r="BE101">
        <f>'Sources and Uses Budget'!C105</f>
        <v>72459026</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2602</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2169</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87">
        <v>22</v>
      </c>
      <c r="H113" s="1787"/>
      <c r="I113" s="3" t="s">
        <v>182</v>
      </c>
      <c r="L113" s="1787" t="s">
        <v>2723</v>
      </c>
      <c r="M113" s="1787"/>
      <c r="N113" s="1787"/>
      <c r="O113" s="1787"/>
      <c r="P113" s="1794" t="s">
        <v>2243</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2637</v>
      </c>
      <c r="D115" s="1800"/>
      <c r="E115" s="1800"/>
      <c r="F115" s="1800"/>
      <c r="G115" s="1800"/>
      <c r="H115" s="1800"/>
      <c r="I115" s="1800"/>
      <c r="J115" s="1800"/>
      <c r="K115" s="1800"/>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2612</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Alameda</v>
      </c>
      <c r="DH122" s="1654"/>
      <c r="DI122" s="1654"/>
      <c r="DJ122" s="1654"/>
      <c r="DK122" s="1654"/>
      <c r="DL122" s="1654"/>
      <c r="DM122" s="1655"/>
    </row>
    <row r="123" spans="1:117" ht="12.95" customHeight="1">
      <c r="A123" s="3"/>
      <c r="B123" s="3"/>
      <c r="T123" s="3"/>
      <c r="U123" s="3"/>
      <c r="V123" s="3"/>
      <c r="W123" s="3"/>
      <c r="X123" s="3"/>
      <c r="Y123" s="1787" t="s">
        <v>2613</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646</v>
      </c>
      <c r="O153" s="1416" t="s">
        <v>2614</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440</v>
      </c>
      <c r="O154" s="1436" t="s">
        <v>2615</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2471</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CR155" s="31"/>
      <c r="CS155" s="32"/>
      <c r="CT155" s="32"/>
      <c r="CU155" s="32"/>
      <c r="CV155" s="32"/>
      <c r="CW155" s="32"/>
      <c r="CX155" s="14"/>
      <c r="CY155" s="31"/>
      <c r="CZ155" s="14"/>
      <c r="DA155" s="14"/>
      <c r="DB155" s="14"/>
      <c r="DC155" s="14"/>
      <c r="DD155" s="14"/>
    </row>
    <row r="156" spans="1:108" ht="12.95" customHeight="1">
      <c r="D156" t="s">
        <v>313</v>
      </c>
      <c r="O156" s="1370" t="s">
        <v>2616</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5" t="s">
        <v>2617</v>
      </c>
      <c r="P157" s="1416"/>
      <c r="Q157" s="1416"/>
      <c r="R157" s="1416"/>
      <c r="S157" s="1416"/>
      <c r="T157" s="1416"/>
      <c r="U157" s="1416"/>
      <c r="V157" s="1416"/>
      <c r="W157" s="1416"/>
      <c r="X157" s="1416"/>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0">
        <v>94612</v>
      </c>
      <c r="P158" s="1790"/>
      <c r="Q158" s="1790"/>
      <c r="R158" s="179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v>5102382087</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v>5102383714</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783" t="s">
        <v>2618</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801" t="s">
        <v>2219</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421" t="s">
        <v>540</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370" t="s">
        <v>2104</v>
      </c>
      <c r="K174" s="1370"/>
      <c r="L174" s="1370"/>
      <c r="M174" s="1370"/>
      <c r="N174" s="1370"/>
      <c r="O174" s="1370"/>
      <c r="P174" s="1370"/>
      <c r="Q174" s="1370"/>
      <c r="R174" s="1370"/>
      <c r="S174" s="1370"/>
      <c r="T174" s="1370"/>
      <c r="U174" s="1370"/>
      <c r="V174" s="1370"/>
      <c r="W174" s="1370"/>
      <c r="X174" s="1370"/>
      <c r="Y174" s="1370"/>
      <c r="Z174" s="1370"/>
      <c r="AA174" s="1370"/>
      <c r="AB174" s="1370"/>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1" t="s">
        <v>546</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2082</v>
      </c>
      <c r="T176" s="27" t="s">
        <v>305</v>
      </c>
      <c r="U176" s="1425">
        <v>24</v>
      </c>
      <c r="V176" s="1425"/>
      <c r="W176" s="1" t="s">
        <v>306</v>
      </c>
      <c r="X176" s="1782">
        <v>454</v>
      </c>
      <c r="Y176" s="1782"/>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2082</v>
      </c>
      <c r="AE178" s="27" t="s">
        <v>305</v>
      </c>
      <c r="AF178" s="1781"/>
      <c r="AG178" s="1781"/>
      <c r="AH178" s="1" t="s">
        <v>306</v>
      </c>
      <c r="AI178" s="1805"/>
      <c r="AJ178" s="1805"/>
      <c r="AK178" s="1805"/>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2083</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357" t="str">
        <f>H18</f>
        <v>The Refuge</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47" t="s">
        <v>2635</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15" t="s">
        <v>2617</v>
      </c>
      <c r="J189" s="1370"/>
      <c r="K189" s="1370"/>
      <c r="L189" s="1370"/>
      <c r="M189" s="1370"/>
      <c r="N189" s="1370"/>
      <c r="O189" s="1370"/>
      <c r="P189" s="1370"/>
      <c r="Q189" t="s">
        <v>583</v>
      </c>
      <c r="T189" s="1370" t="s">
        <v>477</v>
      </c>
      <c r="U189" s="1370"/>
      <c r="V189" s="1370"/>
      <c r="W189" s="1370"/>
      <c r="X189" s="1370"/>
      <c r="Y189" s="1370"/>
      <c r="Z189" s="1370"/>
      <c r="AA189" s="1370"/>
      <c r="AB189" s="1370"/>
      <c r="AC189" s="1370"/>
      <c r="AD189" s="1370"/>
      <c r="AE189" s="137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47">
        <v>94609</v>
      </c>
      <c r="J190" s="1347"/>
      <c r="K190" s="1347"/>
      <c r="L190" s="1347"/>
      <c r="M190" s="1347"/>
      <c r="N190" s="1347"/>
      <c r="O190" t="s">
        <v>586</v>
      </c>
      <c r="T190" s="1788">
        <v>6001401000</v>
      </c>
      <c r="U190" s="1788"/>
      <c r="V190" s="1788"/>
      <c r="W190" s="1788"/>
      <c r="X190" s="1788"/>
      <c r="Y190" s="1788"/>
      <c r="Z190" s="1788"/>
      <c r="AA190" s="1788"/>
      <c r="AB190" s="1788"/>
      <c r="AC190" s="1788"/>
      <c r="AD190" s="1788"/>
      <c r="AE190" s="178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803" t="s">
        <v>2724</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2084</v>
      </c>
      <c r="M193" s="40"/>
      <c r="N193" s="895"/>
      <c r="O193" s="895"/>
      <c r="P193" s="895"/>
      <c r="Q193" s="895"/>
      <c r="R193" s="895"/>
      <c r="S193" s="895"/>
      <c r="T193" s="1792" t="s">
        <v>1972</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331" t="s">
        <v>670</v>
      </c>
      <c r="U195" s="1331"/>
      <c r="W195" t="s">
        <v>685</v>
      </c>
      <c r="AH195" s="1331">
        <v>12</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1" t="s">
        <v>670</v>
      </c>
      <c r="U196" s="1401"/>
      <c r="W196" t="s">
        <v>686</v>
      </c>
      <c r="AH196" s="1331">
        <v>18</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1" t="s">
        <v>670</v>
      </c>
      <c r="U197" s="1401"/>
      <c r="W197" t="s">
        <v>687</v>
      </c>
      <c r="AH197" s="1331">
        <v>9</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1653</v>
      </c>
      <c r="E198"/>
      <c r="F198"/>
      <c r="G198"/>
      <c r="H198"/>
      <c r="I198"/>
      <c r="J198"/>
      <c r="K198"/>
      <c r="L198"/>
      <c r="M198"/>
      <c r="N198"/>
      <c r="O198"/>
      <c r="P198"/>
      <c r="Q198"/>
      <c r="R198"/>
      <c r="S198"/>
      <c r="T198" s="1401" t="s">
        <v>670</v>
      </c>
      <c r="U198" s="1401"/>
      <c r="V198"/>
      <c r="X198" s="1412" t="s">
        <v>2517</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331" t="s">
        <v>670</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2518</v>
      </c>
      <c r="T200" s="1331" t="s">
        <v>670</v>
      </c>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357" t="s">
        <v>385</v>
      </c>
      <c r="E204" s="1357"/>
      <c r="F204" s="1357"/>
      <c r="G204" s="1357"/>
      <c r="H204" s="1357"/>
      <c r="I204" s="1357"/>
      <c r="J204" s="1357"/>
      <c r="K204" s="1357"/>
      <c r="L204" s="1357"/>
      <c r="M204" s="1357"/>
      <c r="P204" s="1802">
        <f>M26</f>
        <v>1958177</v>
      </c>
      <c r="Q204" s="1780"/>
      <c r="R204" s="1780"/>
      <c r="S204" s="1780"/>
      <c r="T204" s="1780"/>
      <c r="U204" s="178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812" t="s">
        <v>1248</v>
      </c>
      <c r="E205" s="1357"/>
      <c r="F205" s="1357"/>
      <c r="G205" s="1357"/>
      <c r="H205" s="1357"/>
      <c r="I205" s="1357"/>
      <c r="J205" s="1357"/>
      <c r="K205" s="1357"/>
      <c r="L205" s="1357"/>
      <c r="M205" s="1357"/>
      <c r="P205" s="1780">
        <f>M27</f>
        <v>0</v>
      </c>
      <c r="Q205" s="1780"/>
      <c r="R205" s="1780"/>
      <c r="S205" s="1780"/>
      <c r="T205" s="1780"/>
      <c r="U205" s="1780"/>
      <c r="V205" s="28"/>
      <c r="W205" s="3" t="s">
        <v>1721</v>
      </c>
      <c r="Z205" s="1810" t="s">
        <v>1185</v>
      </c>
      <c r="AA205" s="1810"/>
      <c r="AB205" s="1810"/>
      <c r="AC205" s="1810"/>
      <c r="AD205" s="1810"/>
      <c r="AE205" s="1810"/>
      <c r="AF205" s="1810"/>
      <c r="AG205" s="1810"/>
      <c r="AH205" s="1810"/>
      <c r="AI205" s="1810"/>
      <c r="AJ205" s="1810"/>
      <c r="AK205" s="1810"/>
      <c r="AL205" s="1810"/>
      <c r="AM205" s="1810"/>
      <c r="AN205" s="1810"/>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416" t="s">
        <v>2619</v>
      </c>
      <c r="E208" s="1416"/>
      <c r="F208" s="1416"/>
      <c r="G208" s="1416"/>
      <c r="H208" s="1416"/>
      <c r="I208" s="1416"/>
      <c r="J208" s="1416"/>
      <c r="K208" s="1416"/>
      <c r="L208" s="1416"/>
      <c r="M208" s="1416"/>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6" t="s">
        <v>1044</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798">
        <v>143</v>
      </c>
      <c r="R212" s="1331"/>
      <c r="T212" s="1795">
        <f>IFERROR(Q212/AG440,0)</f>
        <v>1</v>
      </c>
      <c r="U212" s="1796"/>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527</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2237</v>
      </c>
      <c r="D218" s="28"/>
      <c r="AC218" s="2" t="s">
        <v>2466</v>
      </c>
      <c r="BC218" t="s">
        <v>530</v>
      </c>
    </row>
    <row r="219" spans="1:108" ht="12.95" customHeight="1">
      <c r="A219" s="2"/>
      <c r="C219" s="2"/>
      <c r="D219" s="3" t="s">
        <v>2467</v>
      </c>
      <c r="AZ219" s="3"/>
      <c r="BA219" s="3"/>
      <c r="BC219" t="s">
        <v>377</v>
      </c>
    </row>
    <row r="220" spans="1:108" ht="12.95" customHeight="1">
      <c r="A220" s="2"/>
      <c r="C220" s="2"/>
      <c r="D220" s="1416" t="s">
        <v>1064</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1" t="s">
        <v>2469</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1" t="s">
        <v>541</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546</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2</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789" t="str">
        <f>H16</f>
        <v>HCM Refuge,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539</v>
      </c>
      <c r="BG232" s="242">
        <f>IF(AND(AND($M$249="nonprofit",$M$257="nonprofit",$M$265="for profit")),2,0)</f>
        <v>0</v>
      </c>
    </row>
    <row r="233" spans="1:59" ht="12.95" customHeight="1">
      <c r="D233" s="4" t="s">
        <v>85</v>
      </c>
      <c r="E233" s="4"/>
      <c r="F233" s="4"/>
      <c r="G233" s="4"/>
      <c r="H233" s="4"/>
      <c r="I233" s="4"/>
      <c r="J233" s="4"/>
      <c r="K233" s="4"/>
      <c r="M233" s="1416" t="s">
        <v>2636</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539</v>
      </c>
      <c r="BG233" s="242">
        <f>IF(AND(AND($M$249="nonprofit",$M$257="for profit",$M$265="nonprofit")),2,0)</f>
        <v>0</v>
      </c>
    </row>
    <row r="234" spans="1:59" ht="12.95" customHeight="1">
      <c r="D234" s="4" t="s">
        <v>581</v>
      </c>
      <c r="E234" s="4"/>
      <c r="M234" s="1415" t="s">
        <v>2637</v>
      </c>
      <c r="N234" s="1416"/>
      <c r="O234" s="1416"/>
      <c r="P234" s="1416"/>
      <c r="Q234" s="1416"/>
      <c r="R234" s="1416"/>
      <c r="S234" s="1416"/>
      <c r="T234" s="1416"/>
      <c r="V234" s="33" t="s">
        <v>86</v>
      </c>
      <c r="W234" s="1545" t="s">
        <v>2638</v>
      </c>
      <c r="X234" s="1436"/>
      <c r="Y234" s="4" t="s">
        <v>584</v>
      </c>
      <c r="AC234" s="1416">
        <v>90211</v>
      </c>
      <c r="AD234" s="1416"/>
      <c r="AE234" s="1416"/>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15" t="s">
        <v>2612</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5" customHeight="1">
      <c r="D236" s="4" t="s">
        <v>88</v>
      </c>
      <c r="E236" s="4"/>
      <c r="F236" s="4"/>
      <c r="M236" s="1680" t="s">
        <v>2639</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5" customHeight="1">
      <c r="D237" s="4" t="s">
        <v>90</v>
      </c>
      <c r="E237" s="4"/>
      <c r="F237" s="4"/>
      <c r="M237" s="1783" t="s">
        <v>2640</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47" t="s">
        <v>529</v>
      </c>
      <c r="N238" s="1347"/>
      <c r="O238" s="1347"/>
      <c r="P238" s="1347"/>
      <c r="Q238" s="1347"/>
      <c r="R238" s="1347"/>
      <c r="S238" s="1347"/>
      <c r="T238" s="1347"/>
      <c r="U238" s="205" t="s">
        <v>907</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8" t="s">
        <v>2641</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2643</v>
      </c>
      <c r="AG243" s="1419"/>
      <c r="AH243" s="1419"/>
      <c r="AI243" s="1419"/>
      <c r="AJ243" s="1419"/>
      <c r="AK243" s="1419"/>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5" t="s">
        <v>2642</v>
      </c>
      <c r="N244" s="1416"/>
      <c r="O244" s="1416"/>
      <c r="P244" s="1416"/>
      <c r="Q244" s="1416"/>
      <c r="R244" s="1416"/>
      <c r="S244" s="1416"/>
      <c r="T244" s="1416"/>
      <c r="U244" s="1416"/>
      <c r="V244" s="1416"/>
      <c r="W244" s="1416"/>
      <c r="X244" s="1416"/>
      <c r="Y244" s="1416"/>
      <c r="Z244" s="1416"/>
      <c r="AA244" s="1416"/>
      <c r="AB244" s="1416"/>
      <c r="AC244" s="1416"/>
      <c r="AD244" s="1416"/>
      <c r="AE244" s="141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5" t="s">
        <v>67</v>
      </c>
      <c r="N245" s="1416"/>
      <c r="O245" s="1416"/>
      <c r="P245" s="1416"/>
      <c r="Q245" s="1416"/>
      <c r="R245" s="1416"/>
      <c r="S245" s="1416"/>
      <c r="T245" s="1416"/>
      <c r="V245" s="33" t="s">
        <v>86</v>
      </c>
      <c r="W245" s="1545" t="s">
        <v>2638</v>
      </c>
      <c r="X245" s="1436"/>
      <c r="Y245" s="4" t="s">
        <v>584</v>
      </c>
      <c r="AC245" s="1416">
        <v>92507</v>
      </c>
      <c r="AD245" s="1416"/>
      <c r="AE245" s="1416"/>
      <c r="AF245" s="3" t="s">
        <v>1181</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415" t="s">
        <v>2644</v>
      </c>
      <c r="N246" s="1416"/>
      <c r="O246" s="1416"/>
      <c r="P246" s="1416"/>
      <c r="Q246" s="1416"/>
      <c r="R246" s="1416"/>
      <c r="S246" s="1416"/>
      <c r="T246" s="1416"/>
      <c r="U246" s="1416"/>
      <c r="V246" s="1416"/>
      <c r="W246" s="1416"/>
      <c r="X246" s="1416"/>
      <c r="Y246" s="1416"/>
      <c r="Z246" s="1416"/>
      <c r="AA246" s="1416"/>
      <c r="AB246" s="1416"/>
      <c r="AC246" s="1416"/>
      <c r="AD246" s="1416"/>
      <c r="AE246" s="1416"/>
      <c r="AH246" s="1777">
        <v>1E-3</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80" t="s">
        <v>2645</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83" t="s">
        <v>2646</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7" t="s">
        <v>535</v>
      </c>
      <c r="N249" s="1347"/>
      <c r="O249" s="1347"/>
      <c r="P249" s="1347"/>
      <c r="Q249" s="1347"/>
      <c r="R249" s="1347"/>
      <c r="S249" s="1347"/>
      <c r="T249" s="1347"/>
      <c r="U249" s="205" t="s">
        <v>907</v>
      </c>
      <c r="V249" s="205"/>
      <c r="W249" s="205"/>
      <c r="X249" s="205"/>
      <c r="Y249" s="205"/>
      <c r="Z249" s="205"/>
      <c r="AA249" s="1793" t="s">
        <v>2647</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2648</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2649</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2636</v>
      </c>
      <c r="N252" s="1416"/>
      <c r="O252" s="1416"/>
      <c r="P252" s="1416"/>
      <c r="Q252" s="1416"/>
      <c r="R252" s="1416"/>
      <c r="S252" s="1416"/>
      <c r="T252" s="1416"/>
      <c r="U252" s="1416"/>
      <c r="V252" s="1416"/>
      <c r="W252" s="1416"/>
      <c r="X252" s="1416"/>
      <c r="Y252" s="1416"/>
      <c r="Z252" s="1416"/>
      <c r="AA252" s="1416"/>
      <c r="AB252" s="1416"/>
      <c r="AC252" s="1416"/>
      <c r="AD252" s="1416"/>
      <c r="AE252" s="1416"/>
      <c r="AF252" s="3" t="s">
        <v>1180</v>
      </c>
      <c r="AL252" s="4"/>
      <c r="AM252" s="4"/>
      <c r="AN252" s="4"/>
      <c r="AO252" s="4"/>
      <c r="AP252" s="4"/>
      <c r="AQ252" s="4"/>
      <c r="AR252" s="4"/>
      <c r="AS252" s="4"/>
      <c r="AT252" s="4"/>
      <c r="BN252" s="34"/>
    </row>
    <row r="253" spans="1:67" ht="12.95" customHeight="1">
      <c r="A253" s="19"/>
      <c r="B253" s="4"/>
      <c r="C253" s="4"/>
      <c r="D253" s="4" t="s">
        <v>581</v>
      </c>
      <c r="E253" s="4"/>
      <c r="M253" s="1415" t="s">
        <v>2637</v>
      </c>
      <c r="N253" s="1416"/>
      <c r="O253" s="1416"/>
      <c r="P253" s="1416"/>
      <c r="Q253" s="1416"/>
      <c r="R253" s="1416"/>
      <c r="S253" s="1416"/>
      <c r="T253" s="1416"/>
      <c r="V253" s="33" t="s">
        <v>86</v>
      </c>
      <c r="W253" s="1545" t="s">
        <v>2638</v>
      </c>
      <c r="X253" s="1436"/>
      <c r="Y253" s="4" t="s">
        <v>584</v>
      </c>
      <c r="AC253" s="1416">
        <v>90211</v>
      </c>
      <c r="AD253" s="1416"/>
      <c r="AE253" s="141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5" t="s">
        <v>2612</v>
      </c>
      <c r="N254" s="1416"/>
      <c r="O254" s="1416"/>
      <c r="P254" s="1416"/>
      <c r="Q254" s="1416"/>
      <c r="R254" s="1416"/>
      <c r="S254" s="1416"/>
      <c r="T254" s="1416"/>
      <c r="U254" s="1416"/>
      <c r="V254" s="1416"/>
      <c r="W254" s="1416"/>
      <c r="X254" s="1416"/>
      <c r="Y254" s="1416"/>
      <c r="Z254" s="1416"/>
      <c r="AA254" s="1416"/>
      <c r="AB254" s="1416"/>
      <c r="AC254" s="1416"/>
      <c r="AD254" s="1416"/>
      <c r="AE254" s="1416"/>
      <c r="AH254" s="1777">
        <v>8.9999999999999993E-3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680" t="s">
        <v>2639</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83" t="s">
        <v>2640</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7" t="s">
        <v>537</v>
      </c>
      <c r="N257" s="1347"/>
      <c r="O257" s="1347"/>
      <c r="P257" s="1347"/>
      <c r="Q257" s="1347"/>
      <c r="R257" s="1347"/>
      <c r="S257" s="1347"/>
      <c r="T257" s="1347"/>
      <c r="U257" s="205" t="s">
        <v>907</v>
      </c>
      <c r="V257" s="205"/>
      <c r="W257" s="205"/>
      <c r="X257" s="205"/>
      <c r="Y257" s="205"/>
      <c r="Z257" s="205"/>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6"/>
      <c r="N261" s="1416"/>
      <c r="O261" s="1416"/>
      <c r="P261" s="1416"/>
      <c r="Q261" s="1416"/>
      <c r="R261" s="1416"/>
      <c r="S261" s="1416"/>
      <c r="T261" s="1416"/>
      <c r="V261" s="33" t="s">
        <v>86</v>
      </c>
      <c r="W261" s="1436"/>
      <c r="X261" s="1436"/>
      <c r="Y261" s="4" t="s">
        <v>584</v>
      </c>
      <c r="AC261" s="1416"/>
      <c r="AD261" s="1416"/>
      <c r="AE261" s="141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416" t="s">
        <v>280</v>
      </c>
      <c r="E270" s="1416"/>
      <c r="F270" s="1416"/>
      <c r="G270" s="1416"/>
      <c r="H270" s="1416"/>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8" t="s">
        <v>2647</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5" t="s">
        <v>2642</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581</v>
      </c>
      <c r="E276" s="4"/>
      <c r="L276" s="1415" t="s">
        <v>67</v>
      </c>
      <c r="M276" s="1416"/>
      <c r="N276" s="1416"/>
      <c r="O276" s="1416"/>
      <c r="P276" s="1416"/>
      <c r="Q276" s="1416"/>
      <c r="R276" s="1416"/>
      <c r="S276" s="1416"/>
      <c r="U276" s="33" t="s">
        <v>86</v>
      </c>
      <c r="V276" s="1545" t="s">
        <v>2638</v>
      </c>
      <c r="W276" s="1436"/>
      <c r="X276" s="4" t="s">
        <v>584</v>
      </c>
      <c r="AB276" s="1416">
        <v>92507</v>
      </c>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5" t="s">
        <v>2644</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680" t="s">
        <v>2645</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2.95" customHeight="1">
      <c r="D279" s="4" t="s">
        <v>90</v>
      </c>
      <c r="E279" s="4"/>
      <c r="F279" s="4"/>
      <c r="L279" s="1783" t="s">
        <v>2646</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5" t="s">
        <v>2650</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1" t="s">
        <v>542</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0" t="s">
        <v>2651</v>
      </c>
      <c r="I287" s="1370"/>
      <c r="J287" s="1370"/>
      <c r="K287" s="1370"/>
      <c r="L287" s="1370"/>
      <c r="M287" s="1370"/>
      <c r="N287" s="1370"/>
      <c r="O287" s="1370"/>
      <c r="P287" s="1370"/>
      <c r="Q287" s="1370"/>
      <c r="R287" s="1370"/>
      <c r="T287" s="3" t="s">
        <v>568</v>
      </c>
      <c r="V287" s="3"/>
      <c r="W287" s="3"/>
      <c r="X287" s="3"/>
      <c r="Y287" s="3"/>
      <c r="AA287" s="1370" t="s">
        <v>2713</v>
      </c>
      <c r="AB287" s="1370"/>
      <c r="AC287" s="1370"/>
      <c r="AD287" s="1370"/>
      <c r="AE287" s="1370"/>
      <c r="AF287" s="1370"/>
      <c r="AG287" s="1370"/>
      <c r="AH287" s="1370"/>
      <c r="AI287" s="1370"/>
      <c r="AJ287" s="1370"/>
      <c r="AK287" s="1370"/>
    </row>
    <row r="288" spans="1:51" ht="12.95" customHeight="1">
      <c r="B288" s="3" t="s">
        <v>472</v>
      </c>
      <c r="C288" s="3"/>
      <c r="D288" s="3"/>
      <c r="E288" s="3"/>
      <c r="F288" s="3"/>
      <c r="H288" s="1347" t="s">
        <v>2636</v>
      </c>
      <c r="I288" s="1347"/>
      <c r="J288" s="1347"/>
      <c r="K288" s="1347"/>
      <c r="L288" s="1347"/>
      <c r="M288" s="1347"/>
      <c r="N288" s="1347"/>
      <c r="O288" s="1347"/>
      <c r="P288" s="1347"/>
      <c r="Q288" s="1347"/>
      <c r="R288" s="1347"/>
      <c r="T288" s="3" t="s">
        <v>472</v>
      </c>
      <c r="V288" s="3"/>
      <c r="W288" s="3"/>
      <c r="X288" s="3"/>
      <c r="Y288" s="3"/>
      <c r="AA288" s="1347" t="s">
        <v>2714</v>
      </c>
      <c r="AB288" s="1347"/>
      <c r="AC288" s="1347"/>
      <c r="AD288" s="1347"/>
      <c r="AE288" s="1347"/>
      <c r="AF288" s="1347"/>
      <c r="AG288" s="1347"/>
      <c r="AH288" s="1347"/>
      <c r="AI288" s="1347"/>
      <c r="AJ288" s="1347"/>
      <c r="AK288" s="1347"/>
    </row>
    <row r="289" spans="2:37" ht="12.95" customHeight="1">
      <c r="B289" s="3" t="s">
        <v>473</v>
      </c>
      <c r="C289" s="3"/>
      <c r="D289" s="3"/>
      <c r="E289" s="3"/>
      <c r="F289" s="3"/>
      <c r="H289" s="1347" t="s">
        <v>2652</v>
      </c>
      <c r="I289" s="1347"/>
      <c r="J289" s="1347"/>
      <c r="K289" s="1347"/>
      <c r="L289" s="1347"/>
      <c r="M289" s="1347"/>
      <c r="N289" s="1347"/>
      <c r="O289" s="1347"/>
      <c r="P289" s="1347"/>
      <c r="Q289" s="1347"/>
      <c r="R289" s="1347"/>
      <c r="T289" s="3" t="s">
        <v>75</v>
      </c>
      <c r="V289" s="3"/>
      <c r="W289" s="3"/>
      <c r="X289" s="3"/>
      <c r="Y289" s="3"/>
      <c r="AA289" s="1347" t="s">
        <v>2715</v>
      </c>
      <c r="AB289" s="1347"/>
      <c r="AC289" s="1347"/>
      <c r="AD289" s="1347"/>
      <c r="AE289" s="1347"/>
      <c r="AF289" s="1347"/>
      <c r="AG289" s="1347"/>
      <c r="AH289" s="1347"/>
      <c r="AI289" s="1347"/>
      <c r="AJ289" s="1347"/>
      <c r="AK289" s="1347"/>
    </row>
    <row r="290" spans="2:37" ht="12.95" customHeight="1">
      <c r="B290" s="3" t="s">
        <v>87</v>
      </c>
      <c r="C290" s="3"/>
      <c r="D290" s="3"/>
      <c r="E290" s="3"/>
      <c r="F290" s="3"/>
      <c r="H290" s="1347" t="s">
        <v>2612</v>
      </c>
      <c r="I290" s="1347"/>
      <c r="J290" s="1347"/>
      <c r="K290" s="1347"/>
      <c r="L290" s="1347"/>
      <c r="M290" s="1347"/>
      <c r="N290" s="1347"/>
      <c r="O290" s="1347"/>
      <c r="P290" s="1347"/>
      <c r="Q290" s="1347"/>
      <c r="R290" s="1347"/>
      <c r="T290" s="3" t="s">
        <v>87</v>
      </c>
      <c r="V290" s="3"/>
      <c r="W290" s="3"/>
      <c r="X290" s="3"/>
      <c r="Y290" s="3"/>
      <c r="AA290" s="1347" t="s">
        <v>2716</v>
      </c>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t="s">
        <v>2639</v>
      </c>
      <c r="I291" s="1423"/>
      <c r="J291" s="1423"/>
      <c r="K291" s="1423"/>
      <c r="L291" s="1423"/>
      <c r="M291" s="1423"/>
      <c r="N291" s="4" t="s">
        <v>206</v>
      </c>
      <c r="O291" s="4"/>
      <c r="P291" s="1416"/>
      <c r="Q291" s="1416"/>
      <c r="R291" s="1416"/>
      <c r="S291" s="3"/>
      <c r="T291" s="3" t="s">
        <v>88</v>
      </c>
      <c r="V291" s="3"/>
      <c r="W291" s="3"/>
      <c r="X291" s="3"/>
      <c r="Y291" s="3"/>
      <c r="AA291" s="1422" t="s">
        <v>2717</v>
      </c>
      <c r="AB291" s="1423"/>
      <c r="AC291" s="1423"/>
      <c r="AD291" s="1423"/>
      <c r="AE291" s="1423"/>
      <c r="AF291" s="1423"/>
      <c r="AG291" s="4" t="s">
        <v>206</v>
      </c>
      <c r="AH291" s="4"/>
      <c r="AI291" s="1416"/>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t="s">
        <v>2640</v>
      </c>
      <c r="I293" s="1347"/>
      <c r="J293" s="1347"/>
      <c r="K293" s="1347"/>
      <c r="L293" s="1347"/>
      <c r="M293" s="1347"/>
      <c r="N293" s="1370"/>
      <c r="O293" s="1370"/>
      <c r="P293" s="1370"/>
      <c r="Q293" s="1370"/>
      <c r="R293" s="1370"/>
      <c r="S293" s="3"/>
      <c r="T293" s="3" t="s">
        <v>76</v>
      </c>
      <c r="V293" s="3"/>
      <c r="W293" s="3"/>
      <c r="X293" s="3"/>
      <c r="Y293" s="3"/>
      <c r="AA293" s="1347" t="s">
        <v>2718</v>
      </c>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t="s">
        <v>2653</v>
      </c>
      <c r="I295" s="1370"/>
      <c r="J295" s="1370"/>
      <c r="K295" s="1370"/>
      <c r="L295" s="1370"/>
      <c r="M295" s="1370"/>
      <c r="N295" s="1370"/>
      <c r="O295" s="1370"/>
      <c r="P295" s="1370"/>
      <c r="Q295" s="1370"/>
      <c r="R295" s="1370"/>
      <c r="T295" s="3" t="s">
        <v>364</v>
      </c>
      <c r="V295" s="3"/>
      <c r="W295" s="3"/>
      <c r="X295" s="3"/>
      <c r="Y295" s="3"/>
      <c r="AA295" s="1415" t="s">
        <v>2725</v>
      </c>
      <c r="AB295" s="1370"/>
      <c r="AC295" s="1370"/>
      <c r="AD295" s="1370"/>
      <c r="AE295" s="1370"/>
      <c r="AF295" s="1370"/>
      <c r="AG295" s="1370"/>
      <c r="AH295" s="1370"/>
      <c r="AI295" s="1370"/>
      <c r="AJ295" s="1370"/>
      <c r="AK295" s="1370"/>
    </row>
    <row r="296" spans="2:37" ht="12.95" customHeight="1">
      <c r="B296" s="3" t="s">
        <v>472</v>
      </c>
      <c r="C296" s="3"/>
      <c r="D296" s="3"/>
      <c r="E296" s="3"/>
      <c r="F296" s="3"/>
      <c r="H296" s="1347" t="s">
        <v>2654</v>
      </c>
      <c r="I296" s="1347"/>
      <c r="J296" s="1347"/>
      <c r="K296" s="1347"/>
      <c r="L296" s="1347"/>
      <c r="M296" s="1347"/>
      <c r="N296" s="1347"/>
      <c r="O296" s="1347"/>
      <c r="P296" s="1347"/>
      <c r="Q296" s="1347"/>
      <c r="R296" s="1347"/>
      <c r="T296" s="3" t="s">
        <v>472</v>
      </c>
      <c r="V296" s="3"/>
      <c r="W296" s="3"/>
      <c r="X296" s="3"/>
      <c r="Y296" s="3"/>
      <c r="AA296" s="1347"/>
      <c r="AB296" s="1347"/>
      <c r="AC296" s="1347"/>
      <c r="AD296" s="1347"/>
      <c r="AE296" s="1347"/>
      <c r="AF296" s="1347"/>
      <c r="AG296" s="1347"/>
      <c r="AH296" s="1347"/>
      <c r="AI296" s="1347"/>
      <c r="AJ296" s="1347"/>
      <c r="AK296" s="1347"/>
    </row>
    <row r="297" spans="2:37" ht="12.95" customHeight="1">
      <c r="B297" s="3" t="s">
        <v>473</v>
      </c>
      <c r="C297" s="3"/>
      <c r="D297" s="3"/>
      <c r="E297" s="3"/>
      <c r="F297" s="3"/>
      <c r="H297" s="1347" t="s">
        <v>2655</v>
      </c>
      <c r="I297" s="1347"/>
      <c r="J297" s="1347"/>
      <c r="K297" s="1347"/>
      <c r="L297" s="1347"/>
      <c r="M297" s="1347"/>
      <c r="N297" s="1347"/>
      <c r="O297" s="1347"/>
      <c r="P297" s="1347"/>
      <c r="Q297" s="1347"/>
      <c r="R297" s="1347"/>
      <c r="T297" s="3" t="s">
        <v>75</v>
      </c>
      <c r="V297" s="3"/>
      <c r="W297" s="3"/>
      <c r="X297" s="3"/>
      <c r="Y297" s="3"/>
      <c r="AA297" s="1347"/>
      <c r="AB297" s="1347"/>
      <c r="AC297" s="1347"/>
      <c r="AD297" s="1347"/>
      <c r="AE297" s="1347"/>
      <c r="AF297" s="1347"/>
      <c r="AG297" s="1347"/>
      <c r="AH297" s="1347"/>
      <c r="AI297" s="1347"/>
      <c r="AJ297" s="1347"/>
      <c r="AK297" s="1347"/>
    </row>
    <row r="298" spans="2:37" ht="12.95" customHeight="1">
      <c r="B298" s="3" t="s">
        <v>87</v>
      </c>
      <c r="C298" s="3"/>
      <c r="D298" s="3"/>
      <c r="E298" s="3"/>
      <c r="F298" s="3"/>
      <c r="H298" s="1347" t="s">
        <v>2656</v>
      </c>
      <c r="I298" s="1347"/>
      <c r="J298" s="1347"/>
      <c r="K298" s="1347"/>
      <c r="L298" s="1347"/>
      <c r="M298" s="1347"/>
      <c r="N298" s="1347"/>
      <c r="O298" s="1347"/>
      <c r="P298" s="1347"/>
      <c r="Q298" s="1347"/>
      <c r="R298" s="1347"/>
      <c r="T298" s="3" t="s">
        <v>87</v>
      </c>
      <c r="V298" s="3"/>
      <c r="W298" s="3"/>
      <c r="X298" s="3"/>
      <c r="Y298" s="3"/>
      <c r="AA298" s="1347"/>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2" t="s">
        <v>2719</v>
      </c>
      <c r="I299" s="1423"/>
      <c r="J299" s="1423"/>
      <c r="K299" s="1423"/>
      <c r="L299" s="1423"/>
      <c r="M299" s="1423"/>
      <c r="N299" s="4" t="s">
        <v>206</v>
      </c>
      <c r="O299" s="4"/>
      <c r="P299" s="1416"/>
      <c r="Q299" s="1416"/>
      <c r="R299" s="1416"/>
      <c r="S299" s="3"/>
      <c r="T299" s="3" t="s">
        <v>88</v>
      </c>
      <c r="V299" s="3"/>
      <c r="W299" s="3"/>
      <c r="X299" s="3"/>
      <c r="Y299" s="3"/>
      <c r="AA299" s="1423"/>
      <c r="AB299" s="1423"/>
      <c r="AC299" s="1423"/>
      <c r="AD299" s="1423"/>
      <c r="AE299" s="1423"/>
      <c r="AF299" s="1423"/>
      <c r="AG299" s="4" t="s">
        <v>206</v>
      </c>
      <c r="AH299" s="4"/>
      <c r="AI299" s="1416"/>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t="s">
        <v>2720</v>
      </c>
      <c r="I301" s="1347"/>
      <c r="J301" s="1347"/>
      <c r="K301" s="1347"/>
      <c r="L301" s="1347"/>
      <c r="M301" s="1347"/>
      <c r="N301" s="1370"/>
      <c r="O301" s="1370"/>
      <c r="P301" s="1370"/>
      <c r="Q301" s="1370"/>
      <c r="R301" s="1370"/>
      <c r="S301" s="3"/>
      <c r="T301" s="3" t="s">
        <v>76</v>
      </c>
      <c r="V301" s="3"/>
      <c r="W301" s="3"/>
      <c r="X301" s="3"/>
      <c r="Y301" s="3"/>
      <c r="AA301" s="1347"/>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t="s">
        <v>2657</v>
      </c>
      <c r="I303" s="1370"/>
      <c r="J303" s="1370"/>
      <c r="K303" s="1370"/>
      <c r="L303" s="1370"/>
      <c r="M303" s="1370"/>
      <c r="N303" s="1370"/>
      <c r="O303" s="1370"/>
      <c r="P303" s="1370"/>
      <c r="Q303" s="1370"/>
      <c r="R303" s="1370"/>
      <c r="T303" s="4" t="s">
        <v>879</v>
      </c>
      <c r="V303" s="3"/>
      <c r="W303" s="3"/>
      <c r="X303" s="3"/>
      <c r="Y303" s="3"/>
      <c r="AA303" s="1370"/>
      <c r="AB303" s="1370"/>
      <c r="AC303" s="1370"/>
      <c r="AD303" s="1370"/>
      <c r="AE303" s="1370"/>
      <c r="AF303" s="1370"/>
      <c r="AG303" s="1370"/>
      <c r="AH303" s="1370"/>
      <c r="AI303" s="1370"/>
      <c r="AJ303" s="1370"/>
      <c r="AK303" s="1370"/>
    </row>
    <row r="304" spans="2:37" ht="12.95" customHeight="1">
      <c r="B304" s="3" t="s">
        <v>472</v>
      </c>
      <c r="C304" s="3"/>
      <c r="D304" s="3"/>
      <c r="E304" s="3"/>
      <c r="F304" s="3"/>
      <c r="H304" s="1347" t="s">
        <v>2658</v>
      </c>
      <c r="I304" s="1347"/>
      <c r="J304" s="1347"/>
      <c r="K304" s="1347"/>
      <c r="L304" s="1347"/>
      <c r="M304" s="1347"/>
      <c r="N304" s="1347"/>
      <c r="O304" s="1347"/>
      <c r="P304" s="1347"/>
      <c r="Q304" s="1347"/>
      <c r="R304" s="1347"/>
      <c r="T304" s="3" t="s">
        <v>472</v>
      </c>
      <c r="V304" s="3"/>
      <c r="W304" s="3"/>
      <c r="X304" s="3"/>
      <c r="Y304" s="3"/>
      <c r="AA304" s="1347"/>
      <c r="AB304" s="1347"/>
      <c r="AC304" s="1347"/>
      <c r="AD304" s="1347"/>
      <c r="AE304" s="1347"/>
      <c r="AF304" s="1347"/>
      <c r="AG304" s="1347"/>
      <c r="AH304" s="1347"/>
      <c r="AI304" s="1347"/>
      <c r="AJ304" s="1347"/>
      <c r="AK304" s="1347"/>
    </row>
    <row r="305" spans="2:37" ht="12.95" customHeight="1">
      <c r="B305" s="3" t="s">
        <v>473</v>
      </c>
      <c r="C305" s="3"/>
      <c r="D305" s="3"/>
      <c r="E305" s="3"/>
      <c r="F305" s="3"/>
      <c r="H305" s="1347" t="s">
        <v>2659</v>
      </c>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2.95" customHeight="1">
      <c r="B306" s="3" t="s">
        <v>87</v>
      </c>
      <c r="C306" s="3"/>
      <c r="D306" s="3"/>
      <c r="E306" s="3"/>
      <c r="F306" s="3"/>
      <c r="H306" s="1347" t="s">
        <v>2660</v>
      </c>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t="s">
        <v>2673</v>
      </c>
      <c r="I307" s="1423"/>
      <c r="J307" s="1423"/>
      <c r="K307" s="1423"/>
      <c r="L307" s="1423"/>
      <c r="M307" s="1423"/>
      <c r="N307" s="4" t="s">
        <v>206</v>
      </c>
      <c r="O307" s="4"/>
      <c r="P307" s="1416"/>
      <c r="Q307" s="1416"/>
      <c r="R307" s="1416"/>
      <c r="S307" s="3"/>
      <c r="T307" s="3" t="s">
        <v>88</v>
      </c>
      <c r="V307" s="3"/>
      <c r="W307" s="3"/>
      <c r="X307" s="3"/>
      <c r="Y307" s="3"/>
      <c r="AA307" s="1423"/>
      <c r="AB307" s="1423"/>
      <c r="AC307" s="1423"/>
      <c r="AD307" s="1423"/>
      <c r="AE307" s="1423"/>
      <c r="AF307" s="1423"/>
      <c r="AG307" s="4" t="s">
        <v>206</v>
      </c>
      <c r="AH307" s="4"/>
      <c r="AI307" s="1416"/>
      <c r="AJ307" s="1416"/>
      <c r="AK307" s="1416"/>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t="s">
        <v>2674</v>
      </c>
      <c r="I309" s="1347"/>
      <c r="J309" s="1347"/>
      <c r="K309" s="1347"/>
      <c r="L309" s="1347"/>
      <c r="M309" s="1347"/>
      <c r="N309" s="1370"/>
      <c r="O309" s="1370"/>
      <c r="P309" s="1370"/>
      <c r="Q309" s="1370"/>
      <c r="R309" s="1370"/>
      <c r="S309" s="3"/>
      <c r="T309" s="3" t="s">
        <v>76</v>
      </c>
      <c r="V309" s="3"/>
      <c r="W309" s="3"/>
      <c r="X309" s="3"/>
      <c r="Y309" s="3"/>
      <c r="AA309" s="1347"/>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0" t="s">
        <v>2661</v>
      </c>
      <c r="I311" s="1370"/>
      <c r="J311" s="1370"/>
      <c r="K311" s="1370"/>
      <c r="L311" s="1370"/>
      <c r="M311" s="1370"/>
      <c r="N311" s="1370"/>
      <c r="O311" s="1370"/>
      <c r="P311" s="1370"/>
      <c r="Q311" s="1370"/>
      <c r="R311" s="1370"/>
      <c r="S311" s="3"/>
      <c r="T311" s="3" t="s">
        <v>365</v>
      </c>
      <c r="V311" s="3"/>
      <c r="W311" s="3"/>
      <c r="X311" s="3"/>
      <c r="Y311" s="3"/>
      <c r="AA311" s="1370" t="s">
        <v>2665</v>
      </c>
      <c r="AB311" s="1370"/>
      <c r="AC311" s="1370"/>
      <c r="AD311" s="1370"/>
      <c r="AE311" s="1370"/>
      <c r="AF311" s="1370"/>
      <c r="AG311" s="1370"/>
      <c r="AH311" s="1370"/>
      <c r="AI311" s="1370"/>
      <c r="AJ311" s="1370"/>
      <c r="AK311" s="1370"/>
    </row>
    <row r="312" spans="2:37" ht="12.95" customHeight="1">
      <c r="B312" s="3" t="s">
        <v>472</v>
      </c>
      <c r="C312" s="3"/>
      <c r="D312" s="3"/>
      <c r="E312" s="3"/>
      <c r="F312" s="3"/>
      <c r="H312" s="1347" t="s">
        <v>2662</v>
      </c>
      <c r="I312" s="1347"/>
      <c r="J312" s="1347"/>
      <c r="K312" s="1347"/>
      <c r="L312" s="1347"/>
      <c r="M312" s="1347"/>
      <c r="N312" s="1347"/>
      <c r="O312" s="1347"/>
      <c r="P312" s="1347"/>
      <c r="Q312" s="1347"/>
      <c r="R312" s="1347"/>
      <c r="S312" s="3"/>
      <c r="T312" s="3" t="s">
        <v>472</v>
      </c>
      <c r="V312" s="3"/>
      <c r="W312" s="3"/>
      <c r="X312" s="3"/>
      <c r="Y312" s="3"/>
      <c r="AA312" s="1347" t="s">
        <v>2666</v>
      </c>
      <c r="AB312" s="1347"/>
      <c r="AC312" s="1347"/>
      <c r="AD312" s="1347"/>
      <c r="AE312" s="1347"/>
      <c r="AF312" s="1347"/>
      <c r="AG312" s="1347"/>
      <c r="AH312" s="1347"/>
      <c r="AI312" s="1347"/>
      <c r="AJ312" s="1347"/>
      <c r="AK312" s="1347"/>
    </row>
    <row r="313" spans="2:37" ht="12.95" customHeight="1">
      <c r="B313" s="3" t="s">
        <v>473</v>
      </c>
      <c r="C313" s="3"/>
      <c r="D313" s="3"/>
      <c r="E313" s="3"/>
      <c r="F313" s="3"/>
      <c r="H313" s="1347" t="s">
        <v>2663</v>
      </c>
      <c r="I313" s="1347"/>
      <c r="J313" s="1347"/>
      <c r="K313" s="1347"/>
      <c r="L313" s="1347"/>
      <c r="M313" s="1347"/>
      <c r="N313" s="1347"/>
      <c r="O313" s="1347"/>
      <c r="P313" s="1347"/>
      <c r="Q313" s="1347"/>
      <c r="R313" s="1347"/>
      <c r="S313" s="3"/>
      <c r="T313" s="3" t="s">
        <v>75</v>
      </c>
      <c r="V313" s="3"/>
      <c r="W313" s="3"/>
      <c r="X313" s="3"/>
      <c r="Y313" s="3"/>
      <c r="AA313" s="1347" t="s">
        <v>2667</v>
      </c>
      <c r="AB313" s="1347"/>
      <c r="AC313" s="1347"/>
      <c r="AD313" s="1347"/>
      <c r="AE313" s="1347"/>
      <c r="AF313" s="1347"/>
      <c r="AG313" s="1347"/>
      <c r="AH313" s="1347"/>
      <c r="AI313" s="1347"/>
      <c r="AJ313" s="1347"/>
      <c r="AK313" s="1347"/>
    </row>
    <row r="314" spans="2:37" ht="12.95" customHeight="1">
      <c r="B314" s="3" t="s">
        <v>87</v>
      </c>
      <c r="C314" s="3"/>
      <c r="D314" s="3"/>
      <c r="E314" s="3"/>
      <c r="F314" s="3"/>
      <c r="H314" s="1347" t="s">
        <v>2664</v>
      </c>
      <c r="I314" s="1347"/>
      <c r="J314" s="1347"/>
      <c r="K314" s="1347"/>
      <c r="L314" s="1347"/>
      <c r="M314" s="1347"/>
      <c r="N314" s="1347"/>
      <c r="O314" s="1347"/>
      <c r="P314" s="1347"/>
      <c r="Q314" s="1347"/>
      <c r="R314" s="1347"/>
      <c r="S314" s="3"/>
      <c r="T314" s="3" t="s">
        <v>87</v>
      </c>
      <c r="V314" s="3"/>
      <c r="W314" s="3"/>
      <c r="X314" s="3"/>
      <c r="Y314" s="3"/>
      <c r="AA314" s="1347" t="s">
        <v>2668</v>
      </c>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2" t="s">
        <v>2671</v>
      </c>
      <c r="I315" s="1423"/>
      <c r="J315" s="1423"/>
      <c r="K315" s="1423"/>
      <c r="L315" s="1423"/>
      <c r="M315" s="1423"/>
      <c r="N315" s="4" t="s">
        <v>206</v>
      </c>
      <c r="O315" s="4"/>
      <c r="P315" s="1416"/>
      <c r="Q315" s="1416"/>
      <c r="R315" s="1416"/>
      <c r="S315" s="3"/>
      <c r="T315" s="3" t="s">
        <v>88</v>
      </c>
      <c r="V315" s="3"/>
      <c r="W315" s="3"/>
      <c r="X315" s="3"/>
      <c r="Y315" s="3"/>
      <c r="AA315" s="1422" t="s">
        <v>2672</v>
      </c>
      <c r="AB315" s="1423"/>
      <c r="AC315" s="1423"/>
      <c r="AD315" s="1423"/>
      <c r="AE315" s="1423"/>
      <c r="AF315" s="1423"/>
      <c r="AG315" s="4" t="s">
        <v>206</v>
      </c>
      <c r="AH315" s="4"/>
      <c r="AI315" s="1416"/>
      <c r="AJ315" s="1416"/>
      <c r="AK315" s="1416"/>
    </row>
    <row r="316" spans="2:37" ht="12.95"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t="s">
        <v>2669</v>
      </c>
      <c r="I317" s="1347"/>
      <c r="J317" s="1347"/>
      <c r="K317" s="1347"/>
      <c r="L317" s="1347"/>
      <c r="M317" s="1347"/>
      <c r="N317" s="1370"/>
      <c r="O317" s="1370"/>
      <c r="P317" s="1370"/>
      <c r="Q317" s="1370"/>
      <c r="R317" s="1370"/>
      <c r="S317" s="3"/>
      <c r="T317" s="3" t="s">
        <v>76</v>
      </c>
      <c r="V317" s="3"/>
      <c r="W317" s="3"/>
      <c r="X317" s="3"/>
      <c r="Y317" s="3"/>
      <c r="AA317" s="1347" t="s">
        <v>2670</v>
      </c>
      <c r="AB317" s="1347"/>
      <c r="AC317" s="1347"/>
      <c r="AD317" s="1347"/>
      <c r="AE317" s="1347"/>
      <c r="AF317" s="1347"/>
      <c r="AG317" s="1370"/>
      <c r="AH317" s="1370"/>
      <c r="AI317" s="1370"/>
      <c r="AJ317" s="1370"/>
      <c r="AK317" s="1370"/>
    </row>
    <row r="318" spans="2:37" ht="12.95" customHeight="1"/>
    <row r="319" spans="2:37" ht="12.95" customHeight="1">
      <c r="B319" s="4" t="s">
        <v>909</v>
      </c>
      <c r="C319" s="3"/>
      <c r="D319" s="3"/>
      <c r="E319" s="3"/>
      <c r="F319" s="3"/>
      <c r="H319" s="1370" t="s">
        <v>2647</v>
      </c>
      <c r="I319" s="1370"/>
      <c r="J319" s="1370"/>
      <c r="K319" s="1370"/>
      <c r="L319" s="1370"/>
      <c r="M319" s="1370"/>
      <c r="N319" s="1370"/>
      <c r="O319" s="1370"/>
      <c r="P319" s="1370"/>
      <c r="Q319" s="1370"/>
      <c r="R319" s="1370"/>
      <c r="T319" s="3" t="s">
        <v>366</v>
      </c>
      <c r="V319" s="3"/>
      <c r="W319" s="3"/>
      <c r="X319" s="3"/>
      <c r="Y319" s="3"/>
      <c r="AA319" s="1370" t="s">
        <v>2661</v>
      </c>
      <c r="AB319" s="1370"/>
      <c r="AC319" s="1370"/>
      <c r="AD319" s="1370"/>
      <c r="AE319" s="1370"/>
      <c r="AF319" s="1370"/>
      <c r="AG319" s="1370"/>
      <c r="AH319" s="1370"/>
      <c r="AI319" s="1370"/>
      <c r="AJ319" s="1370"/>
      <c r="AK319" s="1370"/>
    </row>
    <row r="320" spans="2:37" ht="12.95" customHeight="1">
      <c r="B320" s="3" t="s">
        <v>472</v>
      </c>
      <c r="C320" s="3"/>
      <c r="D320" s="3"/>
      <c r="E320" s="3"/>
      <c r="F320" s="3"/>
      <c r="H320" s="1347" t="s">
        <v>2675</v>
      </c>
      <c r="I320" s="1347"/>
      <c r="J320" s="1347"/>
      <c r="K320" s="1347"/>
      <c r="L320" s="1347"/>
      <c r="M320" s="1347"/>
      <c r="N320" s="1347"/>
      <c r="O320" s="1347"/>
      <c r="P320" s="1347"/>
      <c r="Q320" s="1347"/>
      <c r="R320" s="1347"/>
      <c r="T320" s="3" t="s">
        <v>472</v>
      </c>
      <c r="V320" s="3"/>
      <c r="W320" s="3"/>
      <c r="X320" s="3"/>
      <c r="Y320" s="3"/>
      <c r="AA320" s="1347" t="s">
        <v>2677</v>
      </c>
      <c r="AB320" s="1347"/>
      <c r="AC320" s="1347"/>
      <c r="AD320" s="1347"/>
      <c r="AE320" s="1347"/>
      <c r="AF320" s="1347"/>
      <c r="AG320" s="1347"/>
      <c r="AH320" s="1347"/>
      <c r="AI320" s="1347"/>
      <c r="AJ320" s="1347"/>
      <c r="AK320" s="1347"/>
    </row>
    <row r="321" spans="2:37" ht="12.95" customHeight="1">
      <c r="B321" s="3" t="s">
        <v>473</v>
      </c>
      <c r="C321" s="3"/>
      <c r="D321" s="3"/>
      <c r="E321" s="3"/>
      <c r="F321" s="3"/>
      <c r="H321" s="1347" t="s">
        <v>2676</v>
      </c>
      <c r="I321" s="1347"/>
      <c r="J321" s="1347"/>
      <c r="K321" s="1347"/>
      <c r="L321" s="1347"/>
      <c r="M321" s="1347"/>
      <c r="N321" s="1347"/>
      <c r="O321" s="1347"/>
      <c r="P321" s="1347"/>
      <c r="Q321" s="1347"/>
      <c r="R321" s="1347"/>
      <c r="T321" s="3" t="s">
        <v>75</v>
      </c>
      <c r="V321" s="3"/>
      <c r="W321" s="3"/>
      <c r="X321" s="3"/>
      <c r="Y321" s="3"/>
      <c r="AA321" s="1347" t="s">
        <v>2678</v>
      </c>
      <c r="AB321" s="1347"/>
      <c r="AC321" s="1347"/>
      <c r="AD321" s="1347"/>
      <c r="AE321" s="1347"/>
      <c r="AF321" s="1347"/>
      <c r="AG321" s="1347"/>
      <c r="AH321" s="1347"/>
      <c r="AI321" s="1347"/>
      <c r="AJ321" s="1347"/>
      <c r="AK321" s="1347"/>
    </row>
    <row r="322" spans="2:37" ht="12.95" customHeight="1">
      <c r="B322" s="3" t="s">
        <v>87</v>
      </c>
      <c r="C322" s="3"/>
      <c r="D322" s="3"/>
      <c r="E322" s="3"/>
      <c r="F322" s="3"/>
      <c r="H322" s="1347" t="s">
        <v>2644</v>
      </c>
      <c r="I322" s="1347"/>
      <c r="J322" s="1347"/>
      <c r="K322" s="1347"/>
      <c r="L322" s="1347"/>
      <c r="M322" s="1347"/>
      <c r="N322" s="1347"/>
      <c r="O322" s="1347"/>
      <c r="P322" s="1347"/>
      <c r="Q322" s="1347"/>
      <c r="R322" s="1347"/>
      <c r="T322" s="3" t="s">
        <v>87</v>
      </c>
      <c r="V322" s="3"/>
      <c r="W322" s="3"/>
      <c r="X322" s="3"/>
      <c r="Y322" s="3"/>
      <c r="AA322" s="1347" t="s">
        <v>2679</v>
      </c>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2" t="s">
        <v>2645</v>
      </c>
      <c r="I323" s="1423"/>
      <c r="J323" s="1423"/>
      <c r="K323" s="1423"/>
      <c r="L323" s="1423"/>
      <c r="M323" s="1423"/>
      <c r="N323" s="4" t="s">
        <v>206</v>
      </c>
      <c r="O323" s="4"/>
      <c r="P323" s="1416"/>
      <c r="Q323" s="1416"/>
      <c r="R323" s="1416"/>
      <c r="S323" s="3"/>
      <c r="T323" s="3" t="s">
        <v>88</v>
      </c>
      <c r="V323" s="3"/>
      <c r="W323" s="3"/>
      <c r="X323" s="3"/>
      <c r="Y323" s="3"/>
      <c r="AA323" s="1422" t="s">
        <v>2680</v>
      </c>
      <c r="AB323" s="1423"/>
      <c r="AC323" s="1423"/>
      <c r="AD323" s="1423"/>
      <c r="AE323" s="1423"/>
      <c r="AF323" s="1423"/>
      <c r="AG323" s="4" t="s">
        <v>206</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680" t="s">
        <v>2681</v>
      </c>
      <c r="AB324" s="1345"/>
      <c r="AC324" s="1345"/>
      <c r="AD324" s="1345"/>
      <c r="AE324" s="1345"/>
      <c r="AF324" s="1345"/>
      <c r="AG324" s="4"/>
      <c r="AH324" s="4"/>
      <c r="AI324" s="35"/>
      <c r="AJ324" s="35"/>
      <c r="AK324" s="35"/>
    </row>
    <row r="325" spans="2:37" ht="12.95" customHeight="1">
      <c r="B325" s="3" t="s">
        <v>76</v>
      </c>
      <c r="C325" s="3"/>
      <c r="D325" s="3"/>
      <c r="E325" s="3"/>
      <c r="F325" s="3"/>
      <c r="G325" s="3"/>
      <c r="H325" s="1347" t="s">
        <v>2646</v>
      </c>
      <c r="I325" s="1347"/>
      <c r="J325" s="1347"/>
      <c r="K325" s="1347"/>
      <c r="L325" s="1347"/>
      <c r="M325" s="1347"/>
      <c r="N325" s="1370"/>
      <c r="O325" s="1370"/>
      <c r="P325" s="1370"/>
      <c r="Q325" s="1370"/>
      <c r="R325" s="1370"/>
      <c r="S325" s="3"/>
      <c r="T325" s="3" t="s">
        <v>76</v>
      </c>
      <c r="V325" s="3"/>
      <c r="W325" s="3"/>
      <c r="X325" s="3"/>
      <c r="Y325" s="3"/>
      <c r="AA325" s="1347" t="s">
        <v>2682</v>
      </c>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0" t="s">
        <v>2661</v>
      </c>
      <c r="I327" s="1370"/>
      <c r="J327" s="1370"/>
      <c r="K327" s="1370"/>
      <c r="L327" s="1370"/>
      <c r="M327" s="1370"/>
      <c r="N327" s="1370"/>
      <c r="O327" s="1370"/>
      <c r="P327" s="1370"/>
      <c r="Q327" s="1370"/>
      <c r="R327" s="1370"/>
      <c r="T327" s="3" t="s">
        <v>368</v>
      </c>
      <c r="V327" s="3"/>
      <c r="W327" s="3"/>
      <c r="X327" s="3"/>
      <c r="Y327" s="3"/>
      <c r="AA327" s="1370"/>
      <c r="AB327" s="1370"/>
      <c r="AC327" s="1370"/>
      <c r="AD327" s="1370"/>
      <c r="AE327" s="1370"/>
      <c r="AF327" s="1370"/>
      <c r="AG327" s="1370"/>
      <c r="AH327" s="1370"/>
      <c r="AI327" s="1370"/>
      <c r="AJ327" s="1370"/>
      <c r="AK327" s="1370"/>
    </row>
    <row r="328" spans="2:37" ht="12.95" customHeight="1">
      <c r="B328" s="3" t="s">
        <v>472</v>
      </c>
      <c r="C328" s="3"/>
      <c r="D328" s="3"/>
      <c r="E328" s="3"/>
      <c r="F328" s="3"/>
      <c r="H328" s="1347" t="s">
        <v>2677</v>
      </c>
      <c r="I328" s="1347"/>
      <c r="J328" s="1347"/>
      <c r="K328" s="1347"/>
      <c r="L328" s="1347"/>
      <c r="M328" s="1347"/>
      <c r="N328" s="1347"/>
      <c r="O328" s="1347"/>
      <c r="P328" s="1347"/>
      <c r="Q328" s="1347"/>
      <c r="R328" s="1347"/>
      <c r="T328" s="3" t="s">
        <v>472</v>
      </c>
      <c r="V328" s="3"/>
      <c r="W328" s="3"/>
      <c r="X328" s="3"/>
      <c r="Y328" s="3"/>
      <c r="AA328" s="1347"/>
      <c r="AB328" s="1347"/>
      <c r="AC328" s="1347"/>
      <c r="AD328" s="1347"/>
      <c r="AE328" s="1347"/>
      <c r="AF328" s="1347"/>
      <c r="AG328" s="1347"/>
      <c r="AH328" s="1347"/>
      <c r="AI328" s="1347"/>
      <c r="AJ328" s="1347"/>
      <c r="AK328" s="1347"/>
    </row>
    <row r="329" spans="2:37" ht="12.95" customHeight="1">
      <c r="B329" s="3" t="s">
        <v>473</v>
      </c>
      <c r="C329" s="3"/>
      <c r="D329" s="3"/>
      <c r="E329" s="3"/>
      <c r="F329" s="3"/>
      <c r="H329" s="1347" t="s">
        <v>2678</v>
      </c>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5" customHeight="1">
      <c r="B330" s="3" t="s">
        <v>87</v>
      </c>
      <c r="C330" s="3"/>
      <c r="D330" s="3"/>
      <c r="E330" s="3"/>
      <c r="F330" s="3"/>
      <c r="H330" s="1347" t="s">
        <v>2679</v>
      </c>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3" t="s">
        <v>2680</v>
      </c>
      <c r="I331" s="1423"/>
      <c r="J331" s="1423"/>
      <c r="K331" s="1423"/>
      <c r="L331" s="1423"/>
      <c r="M331" s="1423"/>
      <c r="N331" s="4" t="s">
        <v>206</v>
      </c>
      <c r="O331" s="4"/>
      <c r="P331" s="1416"/>
      <c r="Q331" s="1416"/>
      <c r="R331" s="1416"/>
      <c r="S331" s="3"/>
      <c r="T331" s="3" t="s">
        <v>88</v>
      </c>
      <c r="V331" s="3"/>
      <c r="W331" s="3"/>
      <c r="X331" s="3"/>
      <c r="Y331" s="3"/>
      <c r="AA331" s="1423"/>
      <c r="AB331" s="1423"/>
      <c r="AC331" s="1423"/>
      <c r="AD331" s="1423"/>
      <c r="AE331" s="1423"/>
      <c r="AF331" s="1423"/>
      <c r="AG331" s="4" t="s">
        <v>206</v>
      </c>
      <c r="AH331" s="4"/>
      <c r="AI331" s="1416"/>
      <c r="AJ331" s="1416"/>
      <c r="AK331" s="1416"/>
    </row>
    <row r="332" spans="2:37" ht="12.95" customHeight="1">
      <c r="B332" s="3" t="s">
        <v>89</v>
      </c>
      <c r="C332" s="3"/>
      <c r="D332" s="3"/>
      <c r="E332" s="3"/>
      <c r="F332" s="3"/>
      <c r="G332" s="3"/>
      <c r="H332" s="1345" t="s">
        <v>2681</v>
      </c>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t="s">
        <v>2682</v>
      </c>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t="s">
        <v>2683</v>
      </c>
      <c r="I335" s="1370"/>
      <c r="J335" s="1370"/>
      <c r="K335" s="1370"/>
      <c r="L335" s="1370"/>
      <c r="M335" s="1370"/>
      <c r="N335" s="1370"/>
      <c r="O335" s="1370"/>
      <c r="P335" s="1370"/>
      <c r="Q335" s="1370"/>
      <c r="R335" s="1370"/>
      <c r="T335" s="205" t="s">
        <v>887</v>
      </c>
      <c r="V335" s="3"/>
      <c r="W335" s="3"/>
      <c r="X335" s="3"/>
      <c r="Y335" s="3"/>
      <c r="AA335" s="1370" t="s">
        <v>2689</v>
      </c>
      <c r="AB335" s="1370"/>
      <c r="AC335" s="1370"/>
      <c r="AD335" s="1370"/>
      <c r="AE335" s="1370"/>
      <c r="AF335" s="1370"/>
      <c r="AG335" s="1370"/>
      <c r="AH335" s="1370"/>
      <c r="AI335" s="1370"/>
      <c r="AJ335" s="1370"/>
      <c r="AK335" s="1370"/>
    </row>
    <row r="336" spans="2:37" ht="12.95" customHeight="1">
      <c r="B336" s="3" t="s">
        <v>472</v>
      </c>
      <c r="C336" s="3"/>
      <c r="D336" s="3"/>
      <c r="E336" s="3"/>
      <c r="F336" s="3"/>
      <c r="H336" s="1347" t="s">
        <v>2684</v>
      </c>
      <c r="I336" s="1347"/>
      <c r="J336" s="1347"/>
      <c r="K336" s="1347"/>
      <c r="L336" s="1347"/>
      <c r="M336" s="1347"/>
      <c r="N336" s="1347"/>
      <c r="O336" s="1347"/>
      <c r="P336" s="1347"/>
      <c r="Q336" s="1347"/>
      <c r="R336" s="1347"/>
      <c r="T336" s="3" t="s">
        <v>472</v>
      </c>
      <c r="V336" s="3"/>
      <c r="W336" s="3"/>
      <c r="X336" s="3"/>
      <c r="Y336" s="3"/>
      <c r="AA336" s="1347" t="s">
        <v>2690</v>
      </c>
      <c r="AB336" s="1347"/>
      <c r="AC336" s="1347"/>
      <c r="AD336" s="1347"/>
      <c r="AE336" s="1347"/>
      <c r="AF336" s="1347"/>
      <c r="AG336" s="1347"/>
      <c r="AH336" s="1347"/>
      <c r="AI336" s="1347"/>
      <c r="AJ336" s="1347"/>
      <c r="AK336" s="1347"/>
    </row>
    <row r="337" spans="1:66" ht="12.95" customHeight="1">
      <c r="B337" s="3" t="s">
        <v>75</v>
      </c>
      <c r="C337" s="3"/>
      <c r="D337" s="3"/>
      <c r="E337" s="3"/>
      <c r="F337" s="3"/>
      <c r="H337" s="1347" t="s">
        <v>2685</v>
      </c>
      <c r="I337" s="1347"/>
      <c r="J337" s="1347"/>
      <c r="K337" s="1347"/>
      <c r="L337" s="1347"/>
      <c r="M337" s="1347"/>
      <c r="N337" s="1347"/>
      <c r="O337" s="1347"/>
      <c r="P337" s="1347"/>
      <c r="Q337" s="1347"/>
      <c r="R337" s="1347"/>
      <c r="T337" s="3" t="s">
        <v>75</v>
      </c>
      <c r="V337" s="3"/>
      <c r="W337" s="3"/>
      <c r="X337" s="3"/>
      <c r="Y337" s="3"/>
      <c r="AA337" s="1347" t="s">
        <v>2691</v>
      </c>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t="s">
        <v>2686</v>
      </c>
      <c r="I338" s="1347"/>
      <c r="J338" s="1347"/>
      <c r="K338" s="1347"/>
      <c r="L338" s="1347"/>
      <c r="M338" s="1347"/>
      <c r="N338" s="1347"/>
      <c r="O338" s="1347"/>
      <c r="P338" s="1347"/>
      <c r="Q338" s="1347"/>
      <c r="R338" s="1347"/>
      <c r="T338" s="3" t="s">
        <v>87</v>
      </c>
      <c r="V338" s="3"/>
      <c r="W338" s="3"/>
      <c r="X338" s="3"/>
      <c r="Y338" s="3"/>
      <c r="AA338" s="1347" t="s">
        <v>2692</v>
      </c>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2" t="s">
        <v>2687</v>
      </c>
      <c r="I339" s="1423"/>
      <c r="J339" s="1423"/>
      <c r="K339" s="1423"/>
      <c r="L339" s="1423"/>
      <c r="M339" s="1423"/>
      <c r="N339" s="4" t="s">
        <v>206</v>
      </c>
      <c r="O339" s="4"/>
      <c r="P339" s="1416"/>
      <c r="Q339" s="1416"/>
      <c r="R339" s="1416"/>
      <c r="S339" s="3"/>
      <c r="T339" s="3" t="s">
        <v>88</v>
      </c>
      <c r="V339" s="3"/>
      <c r="W339" s="3"/>
      <c r="X339" s="3"/>
      <c r="Y339" s="3"/>
      <c r="AA339" s="1422" t="s">
        <v>2693</v>
      </c>
      <c r="AB339" s="1423"/>
      <c r="AC339" s="1423"/>
      <c r="AD339" s="1423"/>
      <c r="AE339" s="1423"/>
      <c r="AF339" s="1423"/>
      <c r="AG339" s="4" t="s">
        <v>206</v>
      </c>
      <c r="AH339" s="4"/>
      <c r="AI339" s="1416"/>
      <c r="AJ339" s="1416"/>
      <c r="AK339" s="1416"/>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t="s">
        <v>2688</v>
      </c>
      <c r="I341" s="1347"/>
      <c r="J341" s="1347"/>
      <c r="K341" s="1347"/>
      <c r="L341" s="1347"/>
      <c r="M341" s="1347"/>
      <c r="N341" s="1370"/>
      <c r="O341" s="1370"/>
      <c r="P341" s="1370"/>
      <c r="Q341" s="1370"/>
      <c r="R341" s="1370"/>
      <c r="S341" s="3"/>
      <c r="T341" s="3" t="s">
        <v>76</v>
      </c>
      <c r="V341" s="3"/>
      <c r="W341" s="3"/>
      <c r="X341" s="3"/>
      <c r="Y341" s="3"/>
      <c r="AA341" s="1347" t="s">
        <v>2694</v>
      </c>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370"/>
      <c r="Q343" s="1370"/>
      <c r="R343" s="1370"/>
      <c r="S343" s="1370"/>
      <c r="T343" s="1370"/>
      <c r="U343" s="1370"/>
      <c r="V343" s="1370"/>
      <c r="W343" s="1370"/>
      <c r="X343" s="1370"/>
      <c r="Y343" s="1370"/>
      <c r="Z343" s="1370"/>
      <c r="AA343" s="1370"/>
      <c r="AB343" s="1370"/>
      <c r="AC343" s="1370"/>
      <c r="AD343" s="1370"/>
      <c r="AE343" s="1370"/>
      <c r="BN343" t="s">
        <v>670</v>
      </c>
    </row>
    <row r="344" spans="1:66" ht="12.95"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543</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331" t="s">
        <v>546</v>
      </c>
      <c r="N355" s="1331"/>
      <c r="P355" t="s">
        <v>1651</v>
      </c>
      <c r="AJ355" s="1331" t="s">
        <v>546</v>
      </c>
      <c r="AK355" s="1331"/>
    </row>
    <row r="356" spans="1:46" ht="12.95" customHeight="1">
      <c r="D356" s="3" t="s">
        <v>1640</v>
      </c>
      <c r="M356" s="1331" t="s">
        <v>592</v>
      </c>
      <c r="N356" s="1331"/>
      <c r="P356" s="3" t="s">
        <v>1720</v>
      </c>
      <c r="AJ356" s="1446">
        <v>0</v>
      </c>
      <c r="AK356" s="1446"/>
    </row>
    <row r="357" spans="1:46" ht="12.95" customHeight="1">
      <c r="D357" s="3" t="s">
        <v>705</v>
      </c>
      <c r="M357" s="1331" t="s">
        <v>592</v>
      </c>
      <c r="N357" s="1331"/>
      <c r="P357" t="s">
        <v>1650</v>
      </c>
      <c r="AJ357" s="1331" t="s">
        <v>670</v>
      </c>
      <c r="AK357" s="1331"/>
    </row>
    <row r="358" spans="1:46" ht="12.95" customHeight="1">
      <c r="D358" s="3" t="s">
        <v>706</v>
      </c>
      <c r="M358" s="1331" t="s">
        <v>592</v>
      </c>
      <c r="N358" s="1331"/>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2.95" customHeight="1">
      <c r="E364" t="s">
        <v>370</v>
      </c>
      <c r="Y364" s="1331" t="s">
        <v>592</v>
      </c>
      <c r="Z364" s="1331"/>
    </row>
    <row r="365" spans="1:46" ht="12.95" customHeight="1">
      <c r="D365" s="4" t="s">
        <v>979</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707</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798"/>
      <c r="T377" s="1798"/>
      <c r="U377" s="1" t="s">
        <v>306</v>
      </c>
      <c r="V377" s="1798"/>
      <c r="W377" s="1798"/>
      <c r="Y377" t="s">
        <v>2082</v>
      </c>
      <c r="AC377" s="27" t="s">
        <v>305</v>
      </c>
      <c r="AD377" s="1798"/>
      <c r="AE377" s="1798"/>
      <c r="AF377" s="1" t="s">
        <v>306</v>
      </c>
      <c r="AG377" s="1798"/>
      <c r="AH377" s="1798"/>
    </row>
    <row r="378" spans="1:34" ht="12.95" customHeight="1">
      <c r="E378" s="4" t="s">
        <v>988</v>
      </c>
      <c r="F378" s="4"/>
      <c r="G378" s="4"/>
      <c r="H378" s="4"/>
      <c r="I378" s="4"/>
      <c r="J378" s="4"/>
      <c r="K378" s="4"/>
      <c r="L378" s="4"/>
      <c r="N378" s="1798"/>
      <c r="O378" s="1798"/>
      <c r="P378" s="1798"/>
    </row>
    <row r="379" spans="1:34" ht="12.95" customHeight="1">
      <c r="E379" s="205" t="s">
        <v>2088</v>
      </c>
      <c r="F379" s="4"/>
      <c r="G379" s="4"/>
      <c r="H379" s="4"/>
      <c r="I379" s="4"/>
      <c r="J379" s="4"/>
      <c r="K379" s="4"/>
      <c r="L379" s="4"/>
      <c r="AG379" s="1805" t="s">
        <v>592</v>
      </c>
      <c r="AH379" s="1805"/>
    </row>
    <row r="380" spans="1:34" ht="12.95" customHeight="1">
      <c r="E380" s="4"/>
      <c r="F380" s="4"/>
      <c r="G380" s="4" t="s">
        <v>2089</v>
      </c>
      <c r="H380" s="4"/>
      <c r="I380" s="4"/>
      <c r="J380" s="4"/>
      <c r="K380" s="4"/>
      <c r="L380" s="4"/>
      <c r="AG380" s="1805" t="s">
        <v>592</v>
      </c>
      <c r="AH380" s="1805"/>
    </row>
    <row r="381" spans="1:34" ht="12.95" customHeight="1">
      <c r="E381" s="4"/>
      <c r="F381" s="4"/>
      <c r="G381" s="321" t="s">
        <v>989</v>
      </c>
      <c r="H381" s="4"/>
      <c r="I381" s="4"/>
      <c r="J381" s="4"/>
      <c r="K381" s="4"/>
      <c r="L381" s="4"/>
      <c r="V381" s="1331" t="s">
        <v>592</v>
      </c>
      <c r="W381" s="1331"/>
      <c r="Y381" s="22" t="s">
        <v>981</v>
      </c>
    </row>
    <row r="382" spans="1:34" ht="12.95" customHeight="1">
      <c r="E382" s="4" t="s">
        <v>982</v>
      </c>
      <c r="F382" s="4"/>
      <c r="G382" s="4"/>
      <c r="H382" s="4"/>
      <c r="I382" s="4"/>
      <c r="J382" s="4"/>
      <c r="K382" s="4"/>
      <c r="L382" s="4"/>
      <c r="V382" s="1331" t="s">
        <v>592</v>
      </c>
      <c r="W382" s="1331"/>
      <c r="Y382" s="4" t="s">
        <v>983</v>
      </c>
    </row>
    <row r="383" spans="1:34" ht="12.95" customHeight="1"/>
    <row r="384" spans="1:34" ht="12.95" customHeight="1">
      <c r="A384" s="2" t="s">
        <v>78</v>
      </c>
      <c r="B384" s="2"/>
    </row>
    <row r="385" spans="4:36" ht="12.95" customHeight="1">
      <c r="D385" t="s">
        <v>428</v>
      </c>
      <c r="J385" s="1370" t="s">
        <v>2695</v>
      </c>
      <c r="K385" s="1370"/>
      <c r="L385" s="1370"/>
      <c r="M385" s="1370"/>
      <c r="N385" s="1370"/>
      <c r="O385" s="1370"/>
      <c r="P385" s="1370"/>
      <c r="Q385" s="1370"/>
      <c r="R385" s="1370"/>
      <c r="S385" s="1370"/>
      <c r="T385" s="1370"/>
      <c r="U385" s="1370"/>
      <c r="V385" s="8" t="s">
        <v>83</v>
      </c>
      <c r="W385" s="8"/>
      <c r="X385" s="8"/>
      <c r="Y385" s="8"/>
      <c r="Z385" s="8"/>
      <c r="AA385" s="8"/>
      <c r="AB385" s="8"/>
      <c r="AC385" s="1415" t="s">
        <v>2612</v>
      </c>
      <c r="AD385" s="1370"/>
      <c r="AE385" s="1370"/>
      <c r="AF385" s="1370"/>
      <c r="AG385" s="1370"/>
      <c r="AH385" s="1370"/>
      <c r="AI385" s="1370"/>
      <c r="AJ385" s="1370"/>
    </row>
    <row r="386" spans="4:36" ht="12.95" customHeight="1">
      <c r="D386" s="3" t="s">
        <v>1183</v>
      </c>
      <c r="J386" s="1347" t="s">
        <v>2612</v>
      </c>
      <c r="K386" s="1347"/>
      <c r="L386" s="1347"/>
      <c r="M386" s="1347"/>
      <c r="N386" s="1347"/>
      <c r="O386" s="1347"/>
      <c r="P386" s="1347"/>
      <c r="Q386" s="1347"/>
      <c r="R386" s="1347"/>
      <c r="S386" s="1347"/>
      <c r="T386" s="1347"/>
      <c r="U386" s="1347"/>
      <c r="V386" s="3" t="s">
        <v>1183</v>
      </c>
      <c r="W386" s="8"/>
      <c r="X386" s="8"/>
      <c r="Y386" s="8"/>
      <c r="Z386" s="8"/>
      <c r="AA386" s="8"/>
      <c r="AB386" s="8"/>
      <c r="AC386" s="1370"/>
      <c r="AD386" s="1370"/>
      <c r="AE386" s="1370"/>
      <c r="AF386" s="1370"/>
      <c r="AG386" s="1370"/>
      <c r="AH386" s="1370"/>
      <c r="AI386" s="1370"/>
      <c r="AJ386" s="1370"/>
    </row>
    <row r="387" spans="4:36" ht="12.95" customHeight="1">
      <c r="D387" s="3" t="s">
        <v>442</v>
      </c>
      <c r="J387" s="1347" t="s">
        <v>2696</v>
      </c>
      <c r="K387" s="1347"/>
      <c r="L387" s="1347"/>
      <c r="M387" s="1347"/>
      <c r="N387" s="1347"/>
      <c r="O387" s="1347"/>
      <c r="P387" s="1347"/>
      <c r="Q387" s="1347"/>
      <c r="R387" s="1347"/>
      <c r="S387" s="1347"/>
      <c r="T387" s="1347"/>
      <c r="U387" s="1347"/>
      <c r="V387" s="3" t="s">
        <v>442</v>
      </c>
      <c r="W387" s="8"/>
      <c r="X387" s="8"/>
      <c r="Y387" s="8"/>
      <c r="Z387" s="8"/>
      <c r="AA387" s="8"/>
      <c r="AB387" s="8"/>
      <c r="AC387" s="1370"/>
      <c r="AD387" s="1370"/>
      <c r="AE387" s="1370"/>
      <c r="AF387" s="1370"/>
      <c r="AG387" s="1370"/>
      <c r="AH387" s="1370"/>
      <c r="AI387" s="1370"/>
      <c r="AJ387" s="1370"/>
    </row>
    <row r="388" spans="4:36" ht="12.95" customHeight="1">
      <c r="D388" t="s">
        <v>1179</v>
      </c>
      <c r="J388" s="1401" t="s">
        <v>2697</v>
      </c>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751">
        <v>45631</v>
      </c>
      <c r="R389" s="1751"/>
      <c r="S389" s="1751"/>
      <c r="T389" s="1751"/>
      <c r="U389" s="1751"/>
      <c r="V389" t="s">
        <v>309</v>
      </c>
      <c r="AI389" s="1331" t="s">
        <v>546</v>
      </c>
      <c r="AJ389" s="1331"/>
    </row>
    <row r="390" spans="4:36" ht="12.95" customHeight="1">
      <c r="D390" t="s">
        <v>5</v>
      </c>
      <c r="Q390" s="1533">
        <v>45838</v>
      </c>
      <c r="R390" s="1819"/>
      <c r="S390" s="1819"/>
      <c r="T390" s="1819"/>
      <c r="U390" s="1819"/>
      <c r="W390" s="21" t="s">
        <v>74</v>
      </c>
      <c r="AG390" s="1817"/>
      <c r="AH390" s="1817"/>
      <c r="AI390" s="1817"/>
      <c r="AJ390" s="1817"/>
    </row>
    <row r="391" spans="4:36" ht="12.95" customHeight="1">
      <c r="D391" t="s">
        <v>427</v>
      </c>
      <c r="Q391" s="1828">
        <f>'Sources and Uses Budget'!C4</f>
        <v>2570000</v>
      </c>
      <c r="R391" s="1828"/>
      <c r="S391" s="1828"/>
      <c r="T391" s="1828"/>
      <c r="U391" s="1828"/>
      <c r="V391" s="3" t="s">
        <v>1182</v>
      </c>
      <c r="AG391" s="1818">
        <v>45901</v>
      </c>
      <c r="AH391" s="1818"/>
      <c r="AI391" s="1818"/>
      <c r="AJ391" s="1818"/>
    </row>
    <row r="392" spans="4:36" ht="12.95" customHeight="1">
      <c r="D392" t="s">
        <v>88</v>
      </c>
      <c r="I392" s="1422" t="s">
        <v>2639</v>
      </c>
      <c r="J392" s="1423"/>
      <c r="K392" s="1423"/>
      <c r="L392" s="1423"/>
      <c r="M392" s="1423"/>
      <c r="N392" s="1423"/>
      <c r="Q392" s="4" t="s">
        <v>206</v>
      </c>
      <c r="S392" s="1827"/>
      <c r="T392" s="1827"/>
      <c r="U392" s="1827"/>
      <c r="V392" t="s">
        <v>73</v>
      </c>
      <c r="AI392" s="1331" t="s">
        <v>670</v>
      </c>
      <c r="AJ392" s="1331"/>
    </row>
    <row r="393" spans="4:36" ht="12.95" customHeight="1">
      <c r="D393" t="s">
        <v>310</v>
      </c>
      <c r="Q393" s="1407"/>
      <c r="R393" s="1407"/>
      <c r="S393" s="1407"/>
      <c r="T393" s="1407"/>
      <c r="U393" s="1407"/>
      <c r="V393" t="s">
        <v>311</v>
      </c>
      <c r="AG393" s="1817"/>
      <c r="AH393" s="1817"/>
      <c r="AI393" s="1817"/>
      <c r="AJ393" s="1817"/>
    </row>
    <row r="394" spans="4:36" ht="12.95" customHeight="1">
      <c r="D394" t="s">
        <v>312</v>
      </c>
      <c r="Q394" s="1755"/>
      <c r="R394" s="1755"/>
      <c r="S394" s="1755"/>
      <c r="T394" s="1755"/>
      <c r="U394" s="1755"/>
      <c r="V394" t="s">
        <v>1164</v>
      </c>
      <c r="AG394" s="1817"/>
      <c r="AH394" s="1817"/>
      <c r="AI394" s="1817"/>
      <c r="AJ394" s="1817"/>
    </row>
    <row r="395" spans="4:36" ht="12.95" customHeight="1">
      <c r="D395" t="s">
        <v>1163</v>
      </c>
      <c r="AG395" s="1817"/>
      <c r="AH395" s="1817"/>
      <c r="AI395" s="1817"/>
      <c r="AJ395" s="1817"/>
    </row>
    <row r="396" spans="4:36" ht="12.95" customHeight="1">
      <c r="AG396" s="457"/>
      <c r="AH396" s="457"/>
      <c r="AI396" s="457"/>
      <c r="AJ396" s="457"/>
    </row>
    <row r="397" spans="4:36" ht="12.95" customHeight="1">
      <c r="D397" s="3" t="s">
        <v>2145</v>
      </c>
      <c r="AG397" s="457"/>
      <c r="AH397" s="457"/>
      <c r="AI397" s="1331" t="s">
        <v>670</v>
      </c>
      <c r="AJ397" s="1331"/>
    </row>
    <row r="398" spans="4:36" ht="12.95" customHeight="1">
      <c r="D398" s="3" t="s">
        <v>1668</v>
      </c>
      <c r="T398" s="1750" t="s">
        <v>592</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t="s">
        <v>592</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7"/>
      <c r="AH400" s="457"/>
      <c r="AI400" s="457"/>
      <c r="AJ400" s="457"/>
    </row>
    <row r="401" spans="1:36" ht="12.95" customHeight="1">
      <c r="D401" s="3" t="s">
        <v>1661</v>
      </c>
      <c r="S401" s="1750" t="s">
        <v>670</v>
      </c>
      <c r="T401" s="1750"/>
      <c r="U401" s="1750"/>
      <c r="V401" t="s">
        <v>1662</v>
      </c>
      <c r="AG401" s="1821"/>
      <c r="AH401" s="1821"/>
      <c r="AI401" s="1821"/>
      <c r="AJ401" s="1821"/>
    </row>
    <row r="402" spans="1:36" ht="12.95" customHeight="1">
      <c r="D402" s="3" t="s">
        <v>1659</v>
      </c>
      <c r="S402" s="1750" t="s">
        <v>592</v>
      </c>
      <c r="T402" s="1750"/>
      <c r="U402" s="1750"/>
      <c r="V402" t="s">
        <v>1664</v>
      </c>
      <c r="AE402" s="1816"/>
      <c r="AF402" s="1816"/>
      <c r="AG402" s="1816"/>
      <c r="AH402" s="1816"/>
      <c r="AI402" s="1816"/>
      <c r="AJ402" s="1816"/>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8"/>
      <c r="F405" s="478"/>
      <c r="G405" s="478"/>
      <c r="H405" s="478"/>
      <c r="I405" s="478"/>
      <c r="J405" s="478"/>
      <c r="K405" s="478"/>
      <c r="L405" s="478"/>
      <c r="M405" s="478"/>
      <c r="N405" s="478"/>
      <c r="O405" s="478"/>
      <c r="P405" s="478"/>
      <c r="Q405" s="478"/>
      <c r="R405" s="478"/>
      <c r="S405" s="1826" t="s">
        <v>1185</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15" t="s">
        <v>2698</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546</v>
      </c>
      <c r="S411" s="1331"/>
      <c r="AC411" s="27" t="s">
        <v>571</v>
      </c>
      <c r="AD411" s="1662">
        <v>6</v>
      </c>
      <c r="AE411" s="1662"/>
    </row>
    <row r="412" spans="1:36" ht="12.95" customHeight="1">
      <c r="E412" t="s">
        <v>107</v>
      </c>
      <c r="R412" s="1331" t="s">
        <v>592</v>
      </c>
      <c r="S412" s="1331"/>
      <c r="AC412" s="27" t="s">
        <v>571</v>
      </c>
      <c r="AD412" s="1662"/>
      <c r="AE412" s="1662"/>
    </row>
    <row r="413" spans="1:36" ht="12.95" customHeight="1">
      <c r="E413" t="s">
        <v>108</v>
      </c>
      <c r="S413" s="1331" t="s">
        <v>592</v>
      </c>
      <c r="T413" s="1331"/>
    </row>
    <row r="414" spans="1:36" ht="12.95" customHeight="1">
      <c r="E414" t="s">
        <v>170</v>
      </c>
      <c r="H414" s="1756" t="s">
        <v>2699</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798"/>
      <c r="F418" s="1798"/>
      <c r="G418" s="1798"/>
      <c r="H418" s="13" t="s">
        <v>115</v>
      </c>
      <c r="I418" s="1798"/>
      <c r="J418" s="1798"/>
      <c r="K418" s="1798"/>
      <c r="L418" t="s">
        <v>116</v>
      </c>
      <c r="N418" s="27" t="s">
        <v>576</v>
      </c>
      <c r="P418" s="1759">
        <v>0.4338843</v>
      </c>
      <c r="Q418" s="1759"/>
      <c r="R418" s="1759"/>
      <c r="S418" t="s">
        <v>117</v>
      </c>
      <c r="W418" s="1825">
        <f>IF(E418&gt;0,(E418*I418),(P418*43560))</f>
        <v>18900.000108</v>
      </c>
      <c r="X418" s="1825"/>
      <c r="Y418" s="1825"/>
      <c r="Z418" t="s">
        <v>118</v>
      </c>
      <c r="AF418" s="1760">
        <f>IFERROR(IF(P418&gt;0,(AG437/P418),(AG437/(W418/43560))),0)</f>
        <v>331.88571238922452</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1737</v>
      </c>
      <c r="F421" s="1014"/>
      <c r="G421" s="1014"/>
      <c r="H421" s="1014"/>
      <c r="I421" s="1758">
        <v>0.43388490000000002</v>
      </c>
      <c r="J421" s="1758"/>
      <c r="K421" s="1758"/>
      <c r="L421" s="1014"/>
      <c r="M421" s="118"/>
      <c r="N421" s="1014"/>
      <c r="O421" s="1014"/>
      <c r="P421" s="1440">
        <f>(DU755+DU778+DU800)/I421</f>
        <v>345.7138056659727</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331">
        <v>1</v>
      </c>
      <c r="Q424" s="1331"/>
      <c r="S424" t="s">
        <v>189</v>
      </c>
      <c r="AE424" s="1331">
        <v>1</v>
      </c>
      <c r="AF424" s="1331"/>
    </row>
    <row r="425" spans="1:39" ht="12.95" customHeight="1">
      <c r="E425" t="s">
        <v>190</v>
      </c>
      <c r="P425" s="1331">
        <v>0</v>
      </c>
      <c r="Q425" s="1331"/>
      <c r="S425" t="s">
        <v>131</v>
      </c>
      <c r="AE425" s="1331" t="s">
        <v>592</v>
      </c>
      <c r="AF425" s="1331"/>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1" t="s">
        <v>546</v>
      </c>
      <c r="R429" s="1331"/>
    </row>
    <row r="430" spans="1:39" ht="12.95" customHeight="1">
      <c r="F430" t="s">
        <v>610</v>
      </c>
      <c r="P430" s="1"/>
      <c r="Q430" s="1"/>
      <c r="AF430" s="1331" t="s">
        <v>592</v>
      </c>
      <c r="AG430" s="1823"/>
    </row>
    <row r="431" spans="1:39" ht="12.95" customHeight="1"/>
    <row r="432" spans="1:39" ht="12.95" customHeight="1">
      <c r="A432" s="2"/>
      <c r="B432" s="2"/>
      <c r="C432" s="2"/>
      <c r="E432" s="4" t="s">
        <v>308</v>
      </c>
      <c r="Z432" s="1331" t="s">
        <v>670</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20">
        <v>144</v>
      </c>
      <c r="AH437" s="1820"/>
      <c r="AI437" s="1820"/>
      <c r="AJ437" s="1820"/>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2"/>
      <c r="AI438" s="1612"/>
      <c r="AJ438" s="1612"/>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143</v>
      </c>
      <c r="AH439" s="1820"/>
      <c r="AI439" s="1820"/>
      <c r="AJ439" s="1820"/>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143</v>
      </c>
      <c r="AH440" s="1820"/>
      <c r="AI440" s="1820"/>
      <c r="AJ440" s="1820"/>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7">
        <f>IF(ISERROR(AG440/AG439),0,AG440/AG439)</f>
        <v>1</v>
      </c>
      <c r="AH441" s="1807"/>
      <c r="AI441" s="1807"/>
      <c r="AJ441" s="1807"/>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56080</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56080</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7">
        <f>IF(ISERROR(AG443/AG442),0,AG443/AG442)</f>
        <v>1</v>
      </c>
      <c r="AH444" s="1807"/>
      <c r="AI444" s="1807"/>
      <c r="AJ444" s="1807"/>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7">
        <f>MIN(IF(AG441&gt;AG444,AG444,AG441),1)</f>
        <v>1</v>
      </c>
      <c r="AH445" s="1807"/>
      <c r="AI445" s="1807"/>
      <c r="AJ445" s="1807"/>
    </row>
    <row r="446" spans="1:55" ht="12.95" customHeight="1">
      <c r="D446" s="1742"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3184</v>
      </c>
      <c r="AH446" s="1695"/>
      <c r="AI446" s="1695"/>
      <c r="AJ446" s="1695"/>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8990</v>
      </c>
      <c r="AH448" s="1695"/>
      <c r="AI448" s="1695"/>
      <c r="AJ448" s="1695"/>
      <c r="AZ448" s="3"/>
      <c r="BA448" s="3"/>
      <c r="BB448" s="3"/>
      <c r="BC448" s="3"/>
    </row>
    <row r="449" spans="1:55" ht="12.95" customHeight="1">
      <c r="D449" s="1742"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13079</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81333</v>
      </c>
      <c r="AH450" s="1844"/>
      <c r="AI450" s="1844"/>
      <c r="AJ450" s="1844"/>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503187.68055555556</v>
      </c>
      <c r="AD454" s="1813"/>
      <c r="AE454" s="1813"/>
      <c r="AF454" s="1813"/>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503187.68055555556</v>
      </c>
      <c r="AD455" s="1813"/>
      <c r="AE455" s="1813"/>
      <c r="AF455" s="1813"/>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339961.32638888888</v>
      </c>
      <c r="AD456" s="1813"/>
      <c r="AE456" s="1813"/>
      <c r="AF456" s="1813"/>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2102</v>
      </c>
      <c r="E465" s="1753"/>
      <c r="F465" s="1753"/>
      <c r="G465" s="1753"/>
      <c r="H465" s="1753"/>
      <c r="I465" s="1753"/>
      <c r="J465" s="1753"/>
      <c r="K465" s="1753"/>
      <c r="L465" s="1753"/>
      <c r="M465" s="1753"/>
      <c r="N465" s="1753"/>
      <c r="O465" s="1753"/>
      <c r="P465" s="1753"/>
      <c r="Q465" s="1753"/>
      <c r="R465" s="1753"/>
      <c r="S465" s="1753"/>
      <c r="T465" s="1753"/>
      <c r="U465" s="1753"/>
      <c r="V465" s="1754"/>
      <c r="W465" s="1664">
        <v>143</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f>AG591</f>
        <v>0</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2193</v>
      </c>
      <c r="E472" s="1848"/>
      <c r="F472" s="1848"/>
      <c r="G472" s="1848"/>
      <c r="H472" s="1848"/>
      <c r="I472" s="1848"/>
      <c r="J472" s="1848"/>
      <c r="K472" s="1848"/>
      <c r="L472" s="1848"/>
      <c r="M472" s="1848"/>
      <c r="N472" s="1848"/>
      <c r="O472" s="1848"/>
      <c r="P472" s="1848"/>
      <c r="Q472" s="1848"/>
      <c r="R472" s="1848"/>
      <c r="S472" s="1848"/>
      <c r="T472" s="1848"/>
      <c r="U472" s="1848"/>
      <c r="V472" s="1849"/>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4">
        <v>22</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f>N599</f>
        <v>0</v>
      </c>
      <c r="BB478" s="3"/>
      <c r="BC478" s="3"/>
    </row>
    <row r="479" spans="1:55" ht="12.95" customHeight="1">
      <c r="AU479" s="95"/>
      <c r="AV479" s="95"/>
      <c r="AW479" s="95"/>
      <c r="AX479" s="95"/>
      <c r="AY479" s="95"/>
      <c r="AZ479" s="3"/>
      <c r="BA479" s="3" t="str">
        <f>AG599</f>
        <v>No</v>
      </c>
      <c r="BB479" s="3"/>
      <c r="BC479" s="3"/>
    </row>
    <row r="480" spans="1:55" ht="12.95" customHeight="1">
      <c r="A480" s="1421" t="s">
        <v>811</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6" t="s">
        <v>2700</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2701</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2701</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6" t="s">
        <v>1672</v>
      </c>
      <c r="C491" s="874"/>
      <c r="D491" s="874"/>
      <c r="E491" s="874"/>
      <c r="F491" s="874"/>
      <c r="G491" s="874"/>
      <c r="H491" s="874"/>
      <c r="I491" s="874"/>
      <c r="J491" s="874"/>
      <c r="K491" s="874"/>
      <c r="L491" s="874"/>
      <c r="M491" s="874"/>
      <c r="N491" s="874"/>
      <c r="O491" s="874"/>
      <c r="P491" s="874"/>
      <c r="Q491" s="1845" t="s">
        <v>592</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2702</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t="s">
        <v>2703</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27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2.95" customHeight="1">
      <c r="B495" s="121" t="s">
        <v>1670</v>
      </c>
      <c r="C495" s="5"/>
      <c r="D495" s="5"/>
      <c r="E495" s="5"/>
      <c r="F495" s="5"/>
      <c r="G495" s="5"/>
      <c r="H495" s="5"/>
      <c r="I495" s="5"/>
      <c r="J495" s="5"/>
      <c r="K495" s="5"/>
      <c r="L495" s="5"/>
      <c r="M495" s="1445">
        <v>27</v>
      </c>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592</v>
      </c>
      <c r="AD501" s="1662"/>
      <c r="AE501" s="1662"/>
      <c r="AF501" s="1662"/>
      <c r="AG501" s="13" t="s">
        <v>403</v>
      </c>
      <c r="AH501" s="1401"/>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9</v>
      </c>
      <c r="AD502" s="1662"/>
      <c r="AE502" s="1662"/>
      <c r="AF502" s="1662"/>
      <c r="AG502" s="38" t="s">
        <v>403</v>
      </c>
      <c r="AH502" s="1401">
        <v>2025</v>
      </c>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v>12</v>
      </c>
      <c r="AD503" s="1662"/>
      <c r="AE503" s="1662"/>
      <c r="AF503" s="1662"/>
      <c r="AG503" s="13" t="s">
        <v>403</v>
      </c>
      <c r="AH503" s="1401">
        <v>2018</v>
      </c>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v>8</v>
      </c>
      <c r="AD505" s="1662"/>
      <c r="AE505" s="1662"/>
      <c r="AF505" s="1662"/>
      <c r="AG505" s="13" t="s">
        <v>403</v>
      </c>
      <c r="AH505" s="1401">
        <v>2023</v>
      </c>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v>7</v>
      </c>
      <c r="AD506" s="1662"/>
      <c r="AE506" s="1662"/>
      <c r="AF506" s="1662"/>
      <c r="AG506" s="13" t="s">
        <v>403</v>
      </c>
      <c r="AH506" s="1401">
        <v>2022</v>
      </c>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6">
        <v>7</v>
      </c>
      <c r="AD507" s="1337"/>
      <c r="AE507" s="1337"/>
      <c r="AF507" s="1337"/>
      <c r="AG507" s="13" t="s">
        <v>403</v>
      </c>
      <c r="AH507" s="1401">
        <v>2022</v>
      </c>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7"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1" t="s">
        <v>592</v>
      </c>
      <c r="AD508" s="1662"/>
      <c r="AE508" s="1662"/>
      <c r="AF508" s="1662"/>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1676</v>
      </c>
      <c r="AC509" s="1820" t="s">
        <v>546</v>
      </c>
      <c r="AD509" s="1820"/>
      <c r="AE509" s="1820"/>
      <c r="AF509" s="1820"/>
      <c r="AG509" s="13"/>
      <c r="AH509" s="1334"/>
      <c r="AI509" s="1334"/>
      <c r="AJ509" s="1334"/>
      <c r="AK509" s="1670"/>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1673</v>
      </c>
      <c r="AC510" s="1336">
        <v>3</v>
      </c>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9">
        <v>0.8</v>
      </c>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42"/>
      <c r="AZ513" s="3"/>
      <c r="BA513" s="3"/>
      <c r="BB513" s="3"/>
      <c r="BC513" s="3"/>
      <c r="BD513" s="3"/>
      <c r="BE513" s="3"/>
      <c r="BF513" s="3"/>
      <c r="BG513" s="3"/>
      <c r="BH513" s="3"/>
      <c r="BI513" s="3"/>
      <c r="BJ513" s="3"/>
      <c r="BK513" s="3"/>
      <c r="BL513" s="3"/>
      <c r="BM513" s="3"/>
      <c r="BN513" s="3" t="s">
        <v>2107</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12</v>
      </c>
      <c r="AD514" s="1662"/>
      <c r="AE514" s="1662"/>
      <c r="AF514" s="1662"/>
      <c r="AG514" s="13" t="s">
        <v>403</v>
      </c>
      <c r="AH514" s="1401">
        <v>2024</v>
      </c>
      <c r="AI514" s="1401"/>
      <c r="AJ514" s="1401"/>
      <c r="AK514" s="1402"/>
      <c r="AZ514" s="3"/>
      <c r="BA514" s="3"/>
      <c r="BB514" s="3"/>
      <c r="BC514" s="3"/>
      <c r="BD514" s="3"/>
      <c r="BE514" s="3"/>
      <c r="BF514" s="3"/>
      <c r="BG514" s="3"/>
      <c r="BH514" s="3"/>
      <c r="BI514" s="3"/>
      <c r="BJ514" s="3"/>
      <c r="BK514" s="3"/>
      <c r="BL514" s="3"/>
      <c r="BM514" s="3"/>
      <c r="BN514" s="3" t="s">
        <v>2108</v>
      </c>
    </row>
    <row r="515" spans="2:66" ht="12.95" customHeight="1">
      <c r="B515" s="1672"/>
      <c r="C515" s="1432"/>
      <c r="D515" s="1432"/>
      <c r="E515" s="1432"/>
      <c r="F515" s="1432"/>
      <c r="G515" s="1432"/>
      <c r="H515" s="1433"/>
      <c r="I515" t="s">
        <v>416</v>
      </c>
      <c r="AC515" s="1661">
        <v>1</v>
      </c>
      <c r="AD515" s="1662"/>
      <c r="AE515" s="1662"/>
      <c r="AF515" s="1662"/>
      <c r="AG515" s="13" t="s">
        <v>403</v>
      </c>
      <c r="AH515" s="1401">
        <v>2025</v>
      </c>
      <c r="AI515" s="1401"/>
      <c r="AJ515" s="1401"/>
      <c r="AK515" s="1402"/>
      <c r="AZ515" s="3"/>
      <c r="BA515" s="3"/>
      <c r="BB515" s="3"/>
      <c r="BC515" s="3"/>
      <c r="BD515" s="3"/>
      <c r="BE515" s="3"/>
      <c r="BF515" s="3"/>
      <c r="BG515" s="3"/>
      <c r="BH515" s="3"/>
      <c r="BI515" s="3"/>
      <c r="BJ515" s="3"/>
      <c r="BK515" s="3"/>
      <c r="BL515" s="3"/>
      <c r="BM515" s="3"/>
      <c r="BN515" s="3" t="s">
        <v>2109</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9</v>
      </c>
      <c r="AD516" s="1662"/>
      <c r="AE516" s="1662"/>
      <c r="AF516" s="1662"/>
      <c r="AG516" s="38" t="s">
        <v>403</v>
      </c>
      <c r="AH516" s="1401">
        <v>2025</v>
      </c>
      <c r="AI516" s="1401"/>
      <c r="AJ516" s="1401"/>
      <c r="AK516" s="1402"/>
      <c r="AZ516" s="3"/>
      <c r="BA516" s="3"/>
      <c r="BB516" s="3"/>
      <c r="BC516" s="3"/>
      <c r="BD516" s="3"/>
      <c r="BE516" s="3"/>
      <c r="BF516" s="3"/>
      <c r="BG516" s="3"/>
      <c r="BH516" s="3"/>
      <c r="BI516" s="3"/>
      <c r="BJ516" s="3"/>
      <c r="BK516" s="3"/>
      <c r="BL516" s="3"/>
      <c r="BM516" s="3"/>
      <c r="BN516" s="3" t="s">
        <v>2110</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t="s">
        <v>592</v>
      </c>
      <c r="AD517" s="1337"/>
      <c r="AE517" s="1337"/>
      <c r="AF517" s="1337"/>
      <c r="AG517" s="129" t="s">
        <v>403</v>
      </c>
      <c r="AH517" s="1401"/>
      <c r="AI517" s="1401"/>
      <c r="AJ517" s="1401"/>
      <c r="AK517" s="1402"/>
      <c r="AZ517" s="3"/>
      <c r="BB517" s="3"/>
      <c r="BC517" s="3"/>
      <c r="BD517" s="3"/>
      <c r="BE517" s="3"/>
      <c r="BF517" s="3"/>
      <c r="BG517" s="3"/>
      <c r="BH517" s="3"/>
      <c r="BI517" s="3"/>
      <c r="BJ517" s="3"/>
      <c r="BK517" s="3"/>
      <c r="BL517" s="3"/>
      <c r="BM517" s="3"/>
      <c r="BN517" s="3" t="s">
        <v>2111</v>
      </c>
    </row>
    <row r="518" spans="2:66" ht="12.95" customHeight="1">
      <c r="B518" s="1672"/>
      <c r="C518" s="1432"/>
      <c r="D518" s="1432"/>
      <c r="E518" s="1432"/>
      <c r="F518" s="1432"/>
      <c r="G518" s="1432"/>
      <c r="H518" s="1433"/>
      <c r="I518" t="s">
        <v>416</v>
      </c>
      <c r="AC518" s="1661" t="s">
        <v>592</v>
      </c>
      <c r="AD518" s="1662"/>
      <c r="AE518" s="1662"/>
      <c r="AF518" s="1662"/>
      <c r="AG518" s="13" t="s">
        <v>403</v>
      </c>
      <c r="AH518" s="1401"/>
      <c r="AI518" s="1401"/>
      <c r="AJ518" s="1401"/>
      <c r="AK518" s="1402"/>
      <c r="BB518" s="3"/>
      <c r="BC518" s="3"/>
      <c r="BD518" s="3"/>
      <c r="BE518" s="3"/>
      <c r="BF518" s="3"/>
      <c r="BG518" s="3"/>
      <c r="BH518" s="3"/>
      <c r="BI518" s="3"/>
      <c r="BJ518" s="3"/>
      <c r="BK518" s="3"/>
      <c r="BL518" s="3"/>
      <c r="BM518" s="3"/>
      <c r="BN518" s="3" t="s">
        <v>2112</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t="s">
        <v>592</v>
      </c>
      <c r="AD519" s="1662"/>
      <c r="AE519" s="1662"/>
      <c r="AF519" s="1662"/>
      <c r="AG519" s="38" t="s">
        <v>403</v>
      </c>
      <c r="AH519" s="1401"/>
      <c r="AI519" s="1401"/>
      <c r="AJ519" s="1401"/>
      <c r="AK519" s="1402"/>
      <c r="BB519" s="3"/>
      <c r="BC519" s="3"/>
      <c r="BD519" s="3"/>
      <c r="BE519" s="3"/>
      <c r="BF519" s="3"/>
      <c r="BG519" s="3"/>
      <c r="BH519" s="3"/>
      <c r="BI519" s="3"/>
      <c r="BJ519" s="3"/>
      <c r="BK519" s="3"/>
      <c r="BL519" s="3"/>
      <c r="BM519" s="3"/>
      <c r="BN519" s="3" t="s">
        <v>2113</v>
      </c>
    </row>
    <row r="520" spans="2:66" ht="12.95" customHeight="1">
      <c r="B520" s="1671" t="s">
        <v>419</v>
      </c>
      <c r="C520" s="1430"/>
      <c r="D520" s="1430"/>
      <c r="E520" s="1430"/>
      <c r="F520" s="1430"/>
      <c r="G520" s="1430"/>
      <c r="H520" s="1431"/>
      <c r="I520" s="41" t="s">
        <v>420</v>
      </c>
      <c r="J520" s="42"/>
      <c r="K520" s="42"/>
      <c r="L520" s="42"/>
      <c r="M520" s="42"/>
      <c r="N520" s="42"/>
      <c r="O520" s="1749" t="str">
        <f>C629</f>
        <v>R2H2 City Loan</v>
      </c>
      <c r="P520" s="1750"/>
      <c r="Q520" s="1750"/>
      <c r="R520" s="1750"/>
      <c r="S520" s="1750"/>
      <c r="T520" s="1750"/>
      <c r="U520" s="1750"/>
      <c r="V520" s="1750"/>
      <c r="W520" s="1750"/>
      <c r="X520" s="1750"/>
      <c r="Y520" s="1750"/>
      <c r="Z520" s="1750"/>
      <c r="AA520" s="1750"/>
      <c r="AB520" s="58"/>
      <c r="AC520" s="1336" t="s">
        <v>592</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2114</v>
      </c>
    </row>
    <row r="521" spans="2:66" ht="12.95" customHeight="1">
      <c r="B521" s="1672"/>
      <c r="C521" s="1432"/>
      <c r="D521" s="1432"/>
      <c r="E521" s="1432"/>
      <c r="F521" s="1432"/>
      <c r="G521" s="1432"/>
      <c r="H521" s="1433"/>
      <c r="I521" s="114" t="s">
        <v>421</v>
      </c>
      <c r="AB521" s="65"/>
      <c r="AC521" s="1661">
        <v>10</v>
      </c>
      <c r="AD521" s="1662"/>
      <c r="AE521" s="1662"/>
      <c r="AF521" s="1662"/>
      <c r="AG521" s="13" t="s">
        <v>403</v>
      </c>
      <c r="AH521" s="1401">
        <v>2024</v>
      </c>
      <c r="AI521" s="1401"/>
      <c r="AJ521" s="1401"/>
      <c r="AK521" s="1402"/>
      <c r="AZ521" s="3"/>
      <c r="BB521" s="3"/>
      <c r="BC521" s="3"/>
      <c r="BD521" s="3"/>
      <c r="BE521" s="3"/>
      <c r="BF521" s="3"/>
      <c r="BG521" s="3"/>
      <c r="BH521" s="3"/>
      <c r="BI521" s="3"/>
      <c r="BJ521" s="3"/>
      <c r="BK521" s="3"/>
      <c r="BL521" s="3"/>
      <c r="BM521" s="3"/>
      <c r="BN521" s="3" t="s">
        <v>2115</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8</v>
      </c>
      <c r="AD522" s="1662"/>
      <c r="AE522" s="1662"/>
      <c r="AF522" s="1662"/>
      <c r="AG522" s="38" t="s">
        <v>403</v>
      </c>
      <c r="AH522" s="1401">
        <v>2025</v>
      </c>
      <c r="AI522" s="1401"/>
      <c r="AJ522" s="1401"/>
      <c r="AK522" s="1402"/>
      <c r="AZ522" s="3"/>
      <c r="BA522" s="3"/>
      <c r="BB522" s="3"/>
      <c r="BC522" s="3"/>
      <c r="BD522" s="3"/>
      <c r="BE522" s="3"/>
      <c r="BF522" s="3"/>
      <c r="BG522" s="3"/>
      <c r="BH522" s="3"/>
      <c r="BI522" s="3"/>
      <c r="BJ522" s="3"/>
      <c r="BK522" s="3"/>
      <c r="BL522" s="3"/>
      <c r="BM522" s="3"/>
      <c r="BN522" s="3" t="s">
        <v>2116</v>
      </c>
    </row>
    <row r="523" spans="2:66" ht="12.95" customHeight="1">
      <c r="B523" s="1672"/>
      <c r="C523" s="1432"/>
      <c r="D523" s="1432"/>
      <c r="E523" s="1432"/>
      <c r="F523" s="1432"/>
      <c r="G523" s="1432"/>
      <c r="H523" s="1433"/>
      <c r="I523" s="42" t="s">
        <v>423</v>
      </c>
      <c r="J523" s="42"/>
      <c r="K523" s="42"/>
      <c r="L523" s="42"/>
      <c r="M523" s="42"/>
      <c r="N523" s="42"/>
      <c r="O523" s="1749" t="str">
        <f>C627</f>
        <v>HomeKey Capital</v>
      </c>
      <c r="P523" s="1750"/>
      <c r="Q523" s="1750"/>
      <c r="R523" s="1750"/>
      <c r="S523" s="1750"/>
      <c r="T523" s="1750"/>
      <c r="U523" s="1750"/>
      <c r="V523" s="1750"/>
      <c r="W523" s="1750"/>
      <c r="X523" s="1750"/>
      <c r="Y523" s="1750"/>
      <c r="Z523" s="1750"/>
      <c r="AA523" s="1750"/>
      <c r="AC523" s="1661"/>
      <c r="AD523" s="1662"/>
      <c r="AE523" s="1662"/>
      <c r="AF523" s="1662"/>
      <c r="AG523" s="13" t="s">
        <v>403</v>
      </c>
      <c r="AH523" s="1401"/>
      <c r="AI523" s="1401"/>
      <c r="AJ523" s="1401"/>
      <c r="AK523" s="1402"/>
      <c r="AZ523" s="3"/>
      <c r="BA523" s="3"/>
      <c r="BB523" s="3"/>
      <c r="BC523" s="3"/>
      <c r="BD523" s="3"/>
      <c r="BE523" s="3"/>
      <c r="BF523" s="3"/>
      <c r="BG523" s="3"/>
      <c r="BH523" s="3"/>
      <c r="BI523" s="3"/>
      <c r="BJ523" s="3"/>
      <c r="BK523" s="3"/>
      <c r="BL523" s="3"/>
      <c r="BM523" s="3"/>
      <c r="BN523" s="3" t="s">
        <v>2117</v>
      </c>
    </row>
    <row r="524" spans="2:66" ht="12.95" customHeight="1">
      <c r="B524" s="1672"/>
      <c r="C524" s="1432"/>
      <c r="D524" s="1432"/>
      <c r="E524" s="1432"/>
      <c r="F524" s="1432"/>
      <c r="G524" s="1432"/>
      <c r="H524" s="1433"/>
      <c r="I524" t="s">
        <v>421</v>
      </c>
      <c r="AC524" s="1661">
        <v>3</v>
      </c>
      <c r="AD524" s="1662"/>
      <c r="AE524" s="1662"/>
      <c r="AF524" s="1662"/>
      <c r="AG524" s="13" t="s">
        <v>403</v>
      </c>
      <c r="AH524" s="1401">
        <v>2025</v>
      </c>
      <c r="AI524" s="1401"/>
      <c r="AJ524" s="1401"/>
      <c r="AK524" s="1402"/>
      <c r="AZ524" s="3"/>
      <c r="BA524" s="3"/>
      <c r="BB524" s="3"/>
      <c r="BC524" s="3"/>
      <c r="BD524" s="3"/>
      <c r="BE524" s="3"/>
      <c r="BF524" s="3"/>
      <c r="BG524" s="3"/>
      <c r="BH524" s="3"/>
      <c r="BI524" s="3"/>
      <c r="BJ524" s="3"/>
      <c r="BK524" s="3"/>
      <c r="BL524" s="3"/>
      <c r="BM524" s="3"/>
      <c r="BN524" s="3" t="s">
        <v>2118</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v>8</v>
      </c>
      <c r="AD525" s="1662"/>
      <c r="AE525" s="1662"/>
      <c r="AF525" s="1662"/>
      <c r="AG525" s="38" t="s">
        <v>403</v>
      </c>
      <c r="AH525" s="1401">
        <v>2025</v>
      </c>
      <c r="AI525" s="1401"/>
      <c r="AJ525" s="1401"/>
      <c r="AK525" s="1402"/>
      <c r="AZ525" s="3"/>
      <c r="BA525" s="3"/>
      <c r="BB525" s="3"/>
      <c r="BC525" s="3"/>
      <c r="BD525" s="3"/>
      <c r="BE525" s="3"/>
      <c r="BF525" s="3"/>
      <c r="BG525" s="3"/>
      <c r="BH525" s="3"/>
      <c r="BI525" s="3"/>
      <c r="BJ525" s="3"/>
      <c r="BK525" s="3"/>
      <c r="BL525" s="3"/>
      <c r="BM525" s="3"/>
      <c r="BN525" s="3" t="s">
        <v>2119</v>
      </c>
    </row>
    <row r="526" spans="2:66" ht="12.95" customHeight="1">
      <c r="B526" s="1672"/>
      <c r="C526" s="1432"/>
      <c r="D526" s="1432"/>
      <c r="E526" s="1432"/>
      <c r="F526" s="1432"/>
      <c r="G526" s="1432"/>
      <c r="H526" s="1433"/>
      <c r="I526" s="42" t="s">
        <v>423</v>
      </c>
      <c r="J526" s="42"/>
      <c r="K526" s="42"/>
      <c r="L526" s="42"/>
      <c r="M526" s="42"/>
      <c r="N526" s="42"/>
      <c r="O526" s="1749" t="s">
        <v>2731</v>
      </c>
      <c r="P526" s="1750"/>
      <c r="Q526" s="1750"/>
      <c r="R526" s="1750"/>
      <c r="S526" s="1750"/>
      <c r="T526" s="1750"/>
      <c r="U526" s="1750"/>
      <c r="V526" s="1750"/>
      <c r="W526" s="1750"/>
      <c r="X526" s="1750"/>
      <c r="Y526" s="1750"/>
      <c r="Z526" s="1750"/>
      <c r="AA526" s="1750"/>
      <c r="AC526" s="1661" t="s">
        <v>592</v>
      </c>
      <c r="AD526" s="1662"/>
      <c r="AE526" s="1662"/>
      <c r="AF526" s="1662"/>
      <c r="AG526" s="13" t="s">
        <v>403</v>
      </c>
      <c r="AH526" s="1401"/>
      <c r="AI526" s="1401"/>
      <c r="AJ526" s="1401"/>
      <c r="AK526" s="1402"/>
      <c r="AZ526" s="3"/>
      <c r="BA526" s="3"/>
      <c r="BB526" s="3"/>
      <c r="BC526" s="3"/>
      <c r="BD526" s="3"/>
      <c r="BE526" s="3"/>
      <c r="BF526" s="3"/>
      <c r="BG526" s="3"/>
      <c r="BH526" s="3"/>
      <c r="BI526" s="3"/>
      <c r="BJ526" s="3"/>
      <c r="BK526" s="3"/>
      <c r="BL526" s="3"/>
      <c r="BM526" s="3"/>
      <c r="BN526" s="3" t="s">
        <v>2120</v>
      </c>
    </row>
    <row r="527" spans="2:66" ht="12.95" customHeight="1">
      <c r="B527" s="1672"/>
      <c r="C527" s="1432"/>
      <c r="D527" s="1432"/>
      <c r="E527" s="1432"/>
      <c r="F527" s="1432"/>
      <c r="G527" s="1432"/>
      <c r="H527" s="1433"/>
      <c r="I527" t="s">
        <v>421</v>
      </c>
      <c r="AC527" s="1661">
        <v>2</v>
      </c>
      <c r="AD527" s="1662"/>
      <c r="AE527" s="1662"/>
      <c r="AF527" s="1662"/>
      <c r="AG527" s="13" t="s">
        <v>403</v>
      </c>
      <c r="AH527" s="1401">
        <v>2025</v>
      </c>
      <c r="AI527" s="1401"/>
      <c r="AJ527" s="1401"/>
      <c r="AK527" s="1402"/>
      <c r="AZ527" s="3"/>
      <c r="BA527" s="3"/>
      <c r="BB527" s="3"/>
      <c r="BC527" s="3"/>
      <c r="BD527" s="3"/>
      <c r="BE527" s="3"/>
      <c r="BF527" s="3"/>
      <c r="BG527" s="3"/>
      <c r="BH527" s="3"/>
      <c r="BI527" s="3"/>
      <c r="BJ527" s="3"/>
      <c r="BK527" s="3"/>
      <c r="BL527" s="3"/>
      <c r="BM527" s="3"/>
      <c r="BN527" s="3" t="s">
        <v>2121</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v>8</v>
      </c>
      <c r="AD528" s="1662"/>
      <c r="AE528" s="1662"/>
      <c r="AF528" s="1662"/>
      <c r="AG528" s="38" t="s">
        <v>403</v>
      </c>
      <c r="AH528" s="1401">
        <v>2025</v>
      </c>
      <c r="AI528" s="1401"/>
      <c r="AJ528" s="1401"/>
      <c r="AK528" s="1402"/>
      <c r="AZ528" s="3"/>
      <c r="BA528" s="3"/>
      <c r="BB528" s="3"/>
      <c r="BC528" s="3"/>
      <c r="BD528" s="3"/>
      <c r="BE528" s="3"/>
      <c r="BF528" s="3"/>
      <c r="BG528" s="3"/>
      <c r="BH528" s="3"/>
      <c r="BI528" s="3"/>
      <c r="BJ528" s="3"/>
      <c r="BK528" s="3"/>
      <c r="BL528" s="3"/>
      <c r="BM528" s="3"/>
      <c r="BN528" s="3" t="s">
        <v>2122</v>
      </c>
    </row>
    <row r="529" spans="1:66" ht="12.95"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592</v>
      </c>
      <c r="AD529" s="1662"/>
      <c r="AE529" s="1662"/>
      <c r="AF529" s="1662"/>
      <c r="AG529" s="13" t="s">
        <v>403</v>
      </c>
      <c r="AH529" s="1401"/>
      <c r="AI529" s="1401"/>
      <c r="AJ529" s="1401"/>
      <c r="AK529" s="1402"/>
      <c r="AZ529" s="3"/>
      <c r="BA529" s="3"/>
      <c r="BB529" s="3"/>
      <c r="BC529" s="3"/>
      <c r="BD529" s="3"/>
      <c r="BE529" s="3"/>
      <c r="BF529" s="3"/>
      <c r="BG529" s="3"/>
      <c r="BH529" s="3"/>
      <c r="BI529" s="3"/>
      <c r="BJ529" s="3"/>
      <c r="BK529" s="3"/>
      <c r="BL529" s="3"/>
      <c r="BM529" s="3"/>
      <c r="BN529" s="3" t="s">
        <v>2123</v>
      </c>
    </row>
    <row r="530" spans="1:66" ht="12.95" customHeight="1">
      <c r="B530" s="1672"/>
      <c r="C530" s="1432"/>
      <c r="D530" s="1432"/>
      <c r="E530" s="1432"/>
      <c r="F530" s="1432"/>
      <c r="G530" s="1432"/>
      <c r="H530" s="1433"/>
      <c r="I530" t="s">
        <v>421</v>
      </c>
      <c r="AC530" s="1661" t="s">
        <v>592</v>
      </c>
      <c r="AD530" s="1662"/>
      <c r="AE530" s="1662"/>
      <c r="AF530" s="1662"/>
      <c r="AG530" s="13" t="s">
        <v>403</v>
      </c>
      <c r="AH530" s="1401"/>
      <c r="AI530" s="1401"/>
      <c r="AJ530" s="1401"/>
      <c r="AK530" s="1402"/>
      <c r="AZ530" s="3"/>
      <c r="BA530" s="3"/>
      <c r="BB530" s="3"/>
      <c r="BC530" s="3"/>
      <c r="BD530" s="3"/>
      <c r="BE530" s="3"/>
      <c r="BF530" s="3"/>
      <c r="BG530" s="3"/>
      <c r="BH530" s="3"/>
      <c r="BI530" s="3"/>
      <c r="BJ530" s="3"/>
      <c r="BK530" s="3"/>
      <c r="BL530" s="3"/>
      <c r="BM530" s="3"/>
      <c r="BN530" s="3" t="s">
        <v>2124</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1"/>
      <c r="AI531" s="1401"/>
      <c r="AJ531" s="1401"/>
      <c r="AK531" s="1402"/>
      <c r="AZ531" s="3"/>
      <c r="BA531" s="3"/>
      <c r="BB531" s="3"/>
      <c r="BC531" s="3"/>
      <c r="BD531" s="3"/>
      <c r="BE531" s="3"/>
      <c r="BF531" s="3"/>
      <c r="BG531" s="3"/>
      <c r="BH531" s="3"/>
      <c r="BI531" s="3"/>
      <c r="BJ531" s="3"/>
      <c r="BK531" s="3"/>
      <c r="BL531" s="3"/>
      <c r="BM531" s="3"/>
      <c r="BN531" s="3" t="s">
        <v>2125</v>
      </c>
    </row>
    <row r="532" spans="1:66" ht="12.95"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592</v>
      </c>
      <c r="AD532" s="1662"/>
      <c r="AE532" s="1662"/>
      <c r="AF532" s="1662"/>
      <c r="AG532" s="13" t="s">
        <v>403</v>
      </c>
      <c r="AH532" s="1401"/>
      <c r="AI532" s="1401"/>
      <c r="AJ532" s="1401"/>
      <c r="AK532" s="1402"/>
      <c r="AZ532" s="3"/>
      <c r="BA532" s="3"/>
      <c r="BB532" s="3"/>
      <c r="BC532" s="3"/>
      <c r="BD532" s="3"/>
      <c r="BE532" s="3"/>
      <c r="BF532" s="3"/>
      <c r="BG532" s="3"/>
      <c r="BH532" s="3"/>
      <c r="BI532" s="3"/>
      <c r="BJ532" s="3"/>
      <c r="BK532" s="3"/>
      <c r="BL532" s="3"/>
      <c r="BM532" s="3"/>
      <c r="BN532" s="3" t="s">
        <v>2126</v>
      </c>
    </row>
    <row r="533" spans="1:66" ht="12.95" customHeight="1">
      <c r="B533" s="1672"/>
      <c r="C533" s="1432"/>
      <c r="D533" s="1432"/>
      <c r="E533" s="1432"/>
      <c r="F533" s="1432"/>
      <c r="G533" s="1432"/>
      <c r="H533" s="1433"/>
      <c r="I533" t="s">
        <v>421</v>
      </c>
      <c r="AC533" s="1661" t="s">
        <v>592</v>
      </c>
      <c r="AD533" s="1662"/>
      <c r="AE533" s="1662"/>
      <c r="AF533" s="1662"/>
      <c r="AG533" s="38" t="s">
        <v>403</v>
      </c>
      <c r="AH533" s="1401"/>
      <c r="AI533" s="1401"/>
      <c r="AJ533" s="1401"/>
      <c r="AK533" s="1402"/>
      <c r="AZ533" s="3"/>
      <c r="BA533" s="3"/>
      <c r="BB533" s="3"/>
      <c r="BC533" s="3"/>
      <c r="BD533" s="3"/>
      <c r="BE533" s="3"/>
      <c r="BF533" s="3"/>
      <c r="BG533" s="3"/>
      <c r="BH533" s="3"/>
      <c r="BI533" s="3"/>
      <c r="BJ533" s="3"/>
      <c r="BK533" s="3"/>
      <c r="BL533" s="3"/>
      <c r="BM533" s="3"/>
      <c r="BN533" s="3" t="s">
        <v>2127</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1"/>
      <c r="AI534" s="1401"/>
      <c r="AJ534" s="1401"/>
      <c r="AK534" s="1402"/>
      <c r="AZ534" s="3"/>
      <c r="BA534" s="3"/>
      <c r="BB534" s="3"/>
      <c r="BC534" s="3"/>
      <c r="BD534" s="3"/>
      <c r="BE534" s="3"/>
      <c r="BF534" s="3"/>
      <c r="BG534" s="3"/>
      <c r="BH534" s="3"/>
      <c r="BI534" s="3"/>
      <c r="BJ534" s="3"/>
      <c r="BK534" s="3"/>
      <c r="BL534" s="3"/>
      <c r="BM534" s="3"/>
      <c r="BN534" s="3" t="s">
        <v>2128</v>
      </c>
    </row>
    <row r="535" spans="1:66" ht="12.95"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592</v>
      </c>
      <c r="AD535" s="1662"/>
      <c r="AE535" s="1662"/>
      <c r="AF535" s="1662"/>
      <c r="AG535" s="38" t="s">
        <v>403</v>
      </c>
      <c r="AH535" s="1401"/>
      <c r="AI535" s="1401"/>
      <c r="AJ535" s="1401"/>
      <c r="AK535" s="1402"/>
      <c r="AZ535" s="3"/>
      <c r="BA535" s="3"/>
      <c r="BB535" s="3"/>
      <c r="BC535" s="3"/>
      <c r="BD535" s="3"/>
      <c r="BE535" s="3"/>
      <c r="BF535" s="3"/>
      <c r="BG535" s="3"/>
      <c r="BH535" s="3"/>
      <c r="BI535" s="3"/>
      <c r="BJ535" s="3"/>
      <c r="BK535" s="3"/>
      <c r="BL535" s="3"/>
      <c r="BM535" s="3"/>
      <c r="BN535" s="3" t="s">
        <v>2129</v>
      </c>
    </row>
    <row r="536" spans="1:66" ht="12.95" customHeight="1">
      <c r="B536" s="1672"/>
      <c r="C536" s="1432"/>
      <c r="D536" s="1432"/>
      <c r="E536" s="1432"/>
      <c r="F536" s="1432"/>
      <c r="G536" s="1432"/>
      <c r="H536" s="1433"/>
      <c r="I536" t="s">
        <v>421</v>
      </c>
      <c r="AC536" s="1661" t="s">
        <v>592</v>
      </c>
      <c r="AD536" s="1662"/>
      <c r="AE536" s="1662"/>
      <c r="AF536" s="1662"/>
      <c r="AG536" s="13" t="s">
        <v>403</v>
      </c>
      <c r="AH536" s="1401"/>
      <c r="AI536" s="1401"/>
      <c r="AJ536" s="1401"/>
      <c r="AK536" s="1402"/>
      <c r="AZ536" s="3"/>
      <c r="BA536" s="3"/>
      <c r="BB536" s="3"/>
      <c r="BC536" s="3"/>
      <c r="BD536" s="3"/>
      <c r="BE536" s="3"/>
      <c r="BF536" s="3"/>
      <c r="BG536" s="3"/>
      <c r="BH536" s="3"/>
      <c r="BI536" s="3"/>
      <c r="BJ536" s="3"/>
      <c r="BK536" s="3"/>
      <c r="BL536" s="3"/>
      <c r="BM536" s="3"/>
      <c r="BN536" s="3" t="s">
        <v>2130</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1"/>
      <c r="AI537" s="1401"/>
      <c r="AJ537" s="1401"/>
      <c r="AK537" s="1402"/>
      <c r="AZ537" s="3"/>
      <c r="BA537" s="3"/>
      <c r="BB537" s="3"/>
      <c r="BC537" s="3"/>
      <c r="BD537" s="3"/>
      <c r="BE537" s="3"/>
      <c r="BF537" s="3"/>
      <c r="BG537" s="3"/>
      <c r="BH537" s="3"/>
      <c r="BI537" s="3"/>
      <c r="BJ537" s="3"/>
      <c r="BK537" s="3"/>
      <c r="BL537" s="3"/>
      <c r="BM537" s="3"/>
      <c r="BN537" s="3" t="s">
        <v>2131</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9</v>
      </c>
      <c r="AD538" s="1662"/>
      <c r="AE538" s="1662"/>
      <c r="AF538" s="1662"/>
      <c r="AG538" s="38" t="s">
        <v>403</v>
      </c>
      <c r="AH538" s="1401">
        <v>2025</v>
      </c>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9</v>
      </c>
      <c r="AD539" s="1662"/>
      <c r="AE539" s="1662"/>
      <c r="AF539" s="1662"/>
      <c r="AG539" s="13" t="s">
        <v>403</v>
      </c>
      <c r="AH539" s="1401">
        <v>2025</v>
      </c>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11</v>
      </c>
      <c r="AD540" s="1662"/>
      <c r="AE540" s="1662"/>
      <c r="AF540" s="1662"/>
      <c r="AG540" s="38" t="s">
        <v>403</v>
      </c>
      <c r="AH540" s="1401">
        <v>2025</v>
      </c>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5</v>
      </c>
      <c r="AD541" s="1662"/>
      <c r="AE541" s="1662"/>
      <c r="AF541" s="1662"/>
      <c r="AG541" s="38" t="s">
        <v>403</v>
      </c>
      <c r="AH541" s="1401">
        <v>2026</v>
      </c>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8</v>
      </c>
      <c r="AD542" s="1662"/>
      <c r="AE542" s="1662"/>
      <c r="AF542" s="1662"/>
      <c r="AG542" s="38" t="s">
        <v>403</v>
      </c>
      <c r="AH542" s="1401">
        <v>2026</v>
      </c>
      <c r="AI542" s="1401"/>
      <c r="AJ542" s="1401"/>
      <c r="AK542" s="1402"/>
      <c r="BB542" s="3"/>
      <c r="BC542" s="3"/>
      <c r="BD542" s="3"/>
      <c r="BE542" s="3"/>
      <c r="BF542" s="3"/>
      <c r="BG542" s="3"/>
      <c r="BH542" s="3" t="s">
        <v>112</v>
      </c>
      <c r="BI542" s="3" t="str">
        <f>N649</f>
        <v>No</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2.95" customHeight="1">
      <c r="B554" s="51" t="s">
        <v>112</v>
      </c>
      <c r="C554" s="1693" t="s">
        <v>2620</v>
      </c>
      <c r="D554" s="1693"/>
      <c r="E554" s="1693"/>
      <c r="F554" s="1693"/>
      <c r="G554" s="1693"/>
      <c r="H554" s="1693"/>
      <c r="I554" s="1693"/>
      <c r="J554" s="1693"/>
      <c r="K554" s="1693"/>
      <c r="L554" s="1693"/>
      <c r="M554" s="1693" t="s">
        <v>2122</v>
      </c>
      <c r="N554" s="1693"/>
      <c r="O554" s="1693"/>
      <c r="P554" s="1693"/>
      <c r="Q554" s="1452"/>
      <c r="R554" s="1452"/>
      <c r="S554" s="1453"/>
      <c r="T554" s="1451"/>
      <c r="U554" s="1452"/>
      <c r="V554" s="1453"/>
      <c r="W554" s="1454">
        <v>8.8400000000000006E-2</v>
      </c>
      <c r="X554" s="1455"/>
      <c r="Y554" s="1456"/>
      <c r="Z554" s="1694" t="s">
        <v>2712</v>
      </c>
      <c r="AA554" s="1694"/>
      <c r="AB554" s="1694"/>
      <c r="AC554" s="1694"/>
      <c r="AD554" s="1694"/>
      <c r="AE554" s="1674">
        <v>1</v>
      </c>
      <c r="AF554" s="1675"/>
      <c r="AG554" s="1675"/>
      <c r="AH554" s="1676"/>
      <c r="AI554" s="1677"/>
      <c r="AJ554" s="1678"/>
      <c r="AK554" s="1678"/>
      <c r="AL554" s="1679"/>
      <c r="AM554" s="1667">
        <f>27050326*0+27010622</f>
        <v>27010622</v>
      </c>
      <c r="AN554" s="1668"/>
      <c r="AO554" s="1668"/>
      <c r="AP554" s="1668"/>
      <c r="AQ554" s="1668"/>
      <c r="AR554" s="1668"/>
      <c r="AS554" s="1669"/>
      <c r="AT554" s="1150"/>
      <c r="AU554" s="1149"/>
      <c r="BB554" s="3"/>
      <c r="BC554" s="3"/>
      <c r="BD554" s="3"/>
      <c r="BE554" s="3"/>
      <c r="BF554" s="3"/>
      <c r="BG554" s="3"/>
      <c r="BH554" s="3"/>
      <c r="BI554" s="3"/>
    </row>
    <row r="555" spans="1:61" ht="12.95" customHeight="1">
      <c r="B555" s="52" t="s">
        <v>113</v>
      </c>
      <c r="C555" s="1681" t="s">
        <v>2722</v>
      </c>
      <c r="D555" s="1681"/>
      <c r="E555" s="1681"/>
      <c r="F555" s="1681"/>
      <c r="G555" s="1681"/>
      <c r="H555" s="1681"/>
      <c r="I555" s="1681"/>
      <c r="J555" s="1681"/>
      <c r="K555" s="1681"/>
      <c r="L555" s="1681"/>
      <c r="M555" s="1693" t="s">
        <v>2121</v>
      </c>
      <c r="N555" s="1693"/>
      <c r="O555" s="1693"/>
      <c r="P555" s="1693"/>
      <c r="Q555" s="1451"/>
      <c r="R555" s="1452"/>
      <c r="S555" s="1453"/>
      <c r="T555" s="1451"/>
      <c r="U555" s="1452"/>
      <c r="V555" s="1453"/>
      <c r="W555" s="1454">
        <v>9.0899999999999995E-2</v>
      </c>
      <c r="X555" s="1455"/>
      <c r="Y555" s="1456"/>
      <c r="Z555" s="1694" t="s">
        <v>2712</v>
      </c>
      <c r="AA555" s="1694"/>
      <c r="AB555" s="1694"/>
      <c r="AC555" s="1694"/>
      <c r="AD555" s="1694"/>
      <c r="AE555" s="1674">
        <v>2</v>
      </c>
      <c r="AF555" s="1675"/>
      <c r="AG555" s="1675"/>
      <c r="AH555" s="1676"/>
      <c r="AI555" s="1677"/>
      <c r="AJ555" s="1678"/>
      <c r="AK555" s="1678"/>
      <c r="AL555" s="1679"/>
      <c r="AM555" s="1667">
        <f>((31585042)-AM554)*0+'Points System'!AD201</f>
        <v>6000000</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5" customHeight="1">
      <c r="B556" s="52" t="s">
        <v>119</v>
      </c>
      <c r="C556" s="1681" t="s">
        <v>2704</v>
      </c>
      <c r="D556" s="1681"/>
      <c r="E556" s="1681"/>
      <c r="F556" s="1681"/>
      <c r="G556" s="1681"/>
      <c r="H556" s="1681"/>
      <c r="I556" s="1681"/>
      <c r="J556" s="1681"/>
      <c r="K556" s="1681"/>
      <c r="L556" s="1681"/>
      <c r="M556" s="1693" t="s">
        <v>2113</v>
      </c>
      <c r="N556" s="1693"/>
      <c r="O556" s="1693"/>
      <c r="P556" s="1693"/>
      <c r="Q556" s="1451"/>
      <c r="R556" s="1452"/>
      <c r="S556" s="1453"/>
      <c r="T556" s="1451"/>
      <c r="U556" s="1452"/>
      <c r="V556" s="1453"/>
      <c r="W556" s="1454"/>
      <c r="X556" s="1455"/>
      <c r="Y556" s="1456"/>
      <c r="Z556" s="1694" t="s">
        <v>592</v>
      </c>
      <c r="AA556" s="1694"/>
      <c r="AB556" s="1694"/>
      <c r="AC556" s="1694"/>
      <c r="AD556" s="1694"/>
      <c r="AE556" s="1674"/>
      <c r="AF556" s="1675"/>
      <c r="AG556" s="1675"/>
      <c r="AH556" s="1676"/>
      <c r="AI556" s="1677"/>
      <c r="AJ556" s="1678"/>
      <c r="AK556" s="1678"/>
      <c r="AL556" s="1679"/>
      <c r="AM556" s="1667">
        <v>1723023</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5" customHeight="1">
      <c r="B557" s="52" t="s">
        <v>582</v>
      </c>
      <c r="C557" s="1681" t="s">
        <v>2695</v>
      </c>
      <c r="D557" s="1681"/>
      <c r="E557" s="1681"/>
      <c r="F557" s="1681"/>
      <c r="G557" s="1681"/>
      <c r="H557" s="1681"/>
      <c r="I557" s="1681"/>
      <c r="J557" s="1681"/>
      <c r="K557" s="1681"/>
      <c r="L557" s="1681"/>
      <c r="M557" s="1693" t="s">
        <v>2119</v>
      </c>
      <c r="N557" s="1693"/>
      <c r="O557" s="1693"/>
      <c r="P557" s="1693"/>
      <c r="Q557" s="1451"/>
      <c r="R557" s="1452"/>
      <c r="S557" s="1453"/>
      <c r="T557" s="1451"/>
      <c r="U557" s="1452"/>
      <c r="V557" s="1453"/>
      <c r="W557" s="1454">
        <v>0.03</v>
      </c>
      <c r="X557" s="1455"/>
      <c r="Y557" s="1456"/>
      <c r="Z557" s="1694" t="s">
        <v>592</v>
      </c>
      <c r="AA557" s="1694"/>
      <c r="AB557" s="1694"/>
      <c r="AC557" s="1694"/>
      <c r="AD557" s="1694"/>
      <c r="AE557" s="1674"/>
      <c r="AF557" s="1675"/>
      <c r="AG557" s="1675"/>
      <c r="AH557" s="1676"/>
      <c r="AI557" s="1677"/>
      <c r="AJ557" s="1678"/>
      <c r="AK557" s="1678"/>
      <c r="AL557" s="1679"/>
      <c r="AM557" s="1667">
        <v>4800000</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5" customHeight="1">
      <c r="B558" s="52" t="s">
        <v>764</v>
      </c>
      <c r="C558" s="1681" t="s">
        <v>2622</v>
      </c>
      <c r="D558" s="1681"/>
      <c r="E558" s="1681"/>
      <c r="F558" s="1681"/>
      <c r="G558" s="1681"/>
      <c r="H558" s="1681"/>
      <c r="I558" s="1681"/>
      <c r="J558" s="1681"/>
      <c r="K558" s="1681"/>
      <c r="L558" s="1681"/>
      <c r="M558" s="1693" t="s">
        <v>2108</v>
      </c>
      <c r="N558" s="1693"/>
      <c r="O558" s="1693"/>
      <c r="P558" s="1693"/>
      <c r="Q558" s="1451"/>
      <c r="R558" s="1452"/>
      <c r="S558" s="1453"/>
      <c r="T558" s="1451"/>
      <c r="U558" s="1452"/>
      <c r="V558" s="1453"/>
      <c r="W558" s="1454"/>
      <c r="X558" s="1455"/>
      <c r="Y558" s="1456"/>
      <c r="Z558" s="1694" t="s">
        <v>592</v>
      </c>
      <c r="AA558" s="1694"/>
      <c r="AB558" s="1694"/>
      <c r="AC558" s="1694"/>
      <c r="AD558" s="1694"/>
      <c r="AE558" s="1674"/>
      <c r="AF558" s="1675"/>
      <c r="AG558" s="1675"/>
      <c r="AH558" s="1676"/>
      <c r="AI558" s="1677"/>
      <c r="AJ558" s="1678"/>
      <c r="AK558" s="1678"/>
      <c r="AL558" s="1679"/>
      <c r="AM558" s="1667">
        <f>'Sources and Uses Budget'!C105-SUM(Application!AM554:AS557)</f>
        <v>32925381</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681"/>
      <c r="D559" s="1681"/>
      <c r="E559" s="1681"/>
      <c r="F559" s="1681"/>
      <c r="G559" s="1681"/>
      <c r="H559" s="1681"/>
      <c r="I559" s="1681"/>
      <c r="J559" s="1681"/>
      <c r="K559" s="1681"/>
      <c r="L559" s="1681"/>
      <c r="M559" s="1693" t="s">
        <v>1185</v>
      </c>
      <c r="N559" s="1693"/>
      <c r="O559" s="1693"/>
      <c r="P559" s="1693"/>
      <c r="Q559" s="1451"/>
      <c r="R559" s="1452"/>
      <c r="S559" s="1453"/>
      <c r="T559" s="1451"/>
      <c r="U559" s="1452"/>
      <c r="V559" s="1453"/>
      <c r="W559" s="1454"/>
      <c r="X559" s="1455"/>
      <c r="Y559" s="1456"/>
      <c r="Z559" s="1694" t="s">
        <v>592</v>
      </c>
      <c r="AA559" s="1694"/>
      <c r="AB559" s="1694"/>
      <c r="AC559" s="1694"/>
      <c r="AD559" s="1694"/>
      <c r="AE559" s="1674"/>
      <c r="AF559" s="1675"/>
      <c r="AG559" s="1675"/>
      <c r="AH559" s="1676"/>
      <c r="AI559" s="1677"/>
      <c r="AJ559" s="1678"/>
      <c r="AK559" s="1678"/>
      <c r="AL559" s="1679"/>
      <c r="AM559" s="1667"/>
      <c r="AN559" s="1668"/>
      <c r="AO559" s="1668"/>
      <c r="AP559" s="1668"/>
      <c r="AQ559" s="1668"/>
      <c r="AR559" s="1668"/>
      <c r="AS559" s="1669"/>
      <c r="AT559" s="1150" t="str">
        <f t="shared" si="0"/>
        <v/>
      </c>
      <c r="AU559" s="1149"/>
      <c r="BB559" s="3"/>
      <c r="BC559" s="3"/>
      <c r="BD559" s="3"/>
      <c r="BE559" s="3"/>
      <c r="BF559" s="3"/>
      <c r="BG559" s="3"/>
      <c r="BH559" s="3" t="s">
        <v>585</v>
      </c>
      <c r="BI559" s="3">
        <f>AG665</f>
        <v>0</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1"/>
      <c r="R560" s="1452"/>
      <c r="S560" s="1453"/>
      <c r="T560" s="1451"/>
      <c r="U560" s="1452"/>
      <c r="V560" s="1453"/>
      <c r="W560" s="1454"/>
      <c r="X560" s="1455"/>
      <c r="Y560" s="1456"/>
      <c r="Z560" s="1694" t="s">
        <v>592</v>
      </c>
      <c r="AA560" s="1694"/>
      <c r="AB560" s="1694"/>
      <c r="AC560" s="1694"/>
      <c r="AD560" s="1694"/>
      <c r="AE560" s="1674"/>
      <c r="AF560" s="1675"/>
      <c r="AG560" s="1675"/>
      <c r="AH560" s="1676"/>
      <c r="AI560" s="1677"/>
      <c r="AJ560" s="1678"/>
      <c r="AK560" s="1678"/>
      <c r="AL560" s="1679"/>
      <c r="AM560" s="1667"/>
      <c r="AN560" s="1668"/>
      <c r="AO560" s="1668"/>
      <c r="AP560" s="1668"/>
      <c r="AQ560" s="1668"/>
      <c r="AR560" s="1668"/>
      <c r="AS560" s="1669"/>
      <c r="AT560" s="1150" t="str">
        <f t="shared" si="0"/>
        <v/>
      </c>
      <c r="AU560" s="1149"/>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1"/>
      <c r="R561" s="1452"/>
      <c r="S561" s="1453"/>
      <c r="T561" s="1451"/>
      <c r="U561" s="1452"/>
      <c r="V561" s="1453"/>
      <c r="W561" s="1454"/>
      <c r="X561" s="1455"/>
      <c r="Y561" s="1456"/>
      <c r="Z561" s="1694" t="s">
        <v>1185</v>
      </c>
      <c r="AA561" s="1694"/>
      <c r="AB561" s="1694"/>
      <c r="AC561" s="1694"/>
      <c r="AD561" s="1694"/>
      <c r="AE561" s="1674"/>
      <c r="AF561" s="1675"/>
      <c r="AG561" s="1675"/>
      <c r="AH561" s="1676"/>
      <c r="AI561" s="1677"/>
      <c r="AJ561" s="1678"/>
      <c r="AK561" s="1678"/>
      <c r="AL561" s="1679"/>
      <c r="AM561" s="1667"/>
      <c r="AN561" s="1668"/>
      <c r="AO561" s="1668"/>
      <c r="AP561" s="1668"/>
      <c r="AQ561" s="1668"/>
      <c r="AR561" s="1668"/>
      <c r="AS561" s="1669"/>
      <c r="AT561" s="1150" t="str">
        <f t="shared" si="0"/>
        <v/>
      </c>
      <c r="AU561" s="1149"/>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1"/>
      <c r="R562" s="1452"/>
      <c r="S562" s="1453"/>
      <c r="T562" s="1451"/>
      <c r="U562" s="1452"/>
      <c r="V562" s="1453"/>
      <c r="W562" s="1454"/>
      <c r="X562" s="1455"/>
      <c r="Y562" s="1456"/>
      <c r="Z562" s="1694" t="s">
        <v>1185</v>
      </c>
      <c r="AA562" s="1694"/>
      <c r="AB562" s="1694"/>
      <c r="AC562" s="1694"/>
      <c r="AD562" s="1694"/>
      <c r="AE562" s="1674"/>
      <c r="AF562" s="1675"/>
      <c r="AG562" s="1675"/>
      <c r="AH562" s="1676"/>
      <c r="AI562" s="1677"/>
      <c r="AJ562" s="1678"/>
      <c r="AK562" s="1678"/>
      <c r="AL562" s="1679"/>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1"/>
      <c r="R563" s="1452"/>
      <c r="S563" s="1453"/>
      <c r="T563" s="1451"/>
      <c r="U563" s="1452"/>
      <c r="V563" s="1453"/>
      <c r="W563" s="1454"/>
      <c r="X563" s="1455"/>
      <c r="Y563" s="1456"/>
      <c r="Z563" s="1694" t="s">
        <v>1185</v>
      </c>
      <c r="AA563" s="1694"/>
      <c r="AB563" s="1694"/>
      <c r="AC563" s="1694"/>
      <c r="AD563" s="1694"/>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1"/>
      <c r="R564" s="1452"/>
      <c r="S564" s="1453"/>
      <c r="T564" s="1451"/>
      <c r="U564" s="1452"/>
      <c r="V564" s="1453"/>
      <c r="W564" s="1454"/>
      <c r="X564" s="1455"/>
      <c r="Y564" s="1456"/>
      <c r="Z564" s="1694" t="s">
        <v>1185</v>
      </c>
      <c r="AA564" s="1694"/>
      <c r="AB564" s="1694"/>
      <c r="AC564" s="1694"/>
      <c r="AD564" s="1694"/>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1"/>
      <c r="R565" s="1452"/>
      <c r="S565" s="1453"/>
      <c r="T565" s="1451"/>
      <c r="U565" s="1452"/>
      <c r="V565" s="1453"/>
      <c r="W565" s="1454"/>
      <c r="X565" s="1455"/>
      <c r="Y565" s="1456"/>
      <c r="Z565" s="1694" t="s">
        <v>1185</v>
      </c>
      <c r="AA565" s="1694"/>
      <c r="AB565" s="1694"/>
      <c r="AC565" s="1694"/>
      <c r="AD565" s="1694"/>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72459026</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7" t="str">
        <f>C554</f>
        <v>Construction Loan - Tax Exempt</v>
      </c>
      <c r="H568" s="1357"/>
      <c r="I568" s="1357"/>
      <c r="J568" s="1357"/>
      <c r="K568" s="1357"/>
      <c r="L568" s="1357"/>
      <c r="M568" s="1357"/>
      <c r="N568" s="1357"/>
      <c r="O568" s="1357"/>
      <c r="P568" s="1357"/>
      <c r="Q568" s="1357"/>
      <c r="R568" s="1357"/>
      <c r="S568" s="8"/>
      <c r="T568" s="55" t="s">
        <v>113</v>
      </c>
      <c r="U568" t="s">
        <v>464</v>
      </c>
      <c r="Z568" s="1357" t="str">
        <f>C555</f>
        <v>Construction Loan - Recycled Bonds</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t="s">
        <v>2705</v>
      </c>
      <c r="H569" s="1370"/>
      <c r="I569" s="1370"/>
      <c r="J569" s="1370"/>
      <c r="K569" s="1370"/>
      <c r="L569" s="1370"/>
      <c r="M569" s="1370"/>
      <c r="N569" s="1370"/>
      <c r="O569" s="1370"/>
      <c r="P569" s="1370"/>
      <c r="Q569" s="1370"/>
      <c r="R569" s="1370"/>
      <c r="S569" s="8"/>
      <c r="T569" s="22"/>
      <c r="U569" t="s">
        <v>85</v>
      </c>
      <c r="Z569" s="1370" t="s">
        <v>2705</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581</v>
      </c>
      <c r="G570" s="1370" t="s">
        <v>2706</v>
      </c>
      <c r="H570" s="1370"/>
      <c r="I570" s="1370"/>
      <c r="J570" s="1370"/>
      <c r="K570" s="1370"/>
      <c r="L570" s="1370"/>
      <c r="M570" s="1370"/>
      <c r="N570" s="1370"/>
      <c r="O570" s="1370"/>
      <c r="P570" s="1370"/>
      <c r="Q570" s="1370"/>
      <c r="R570" s="1370"/>
      <c r="T570" s="22"/>
      <c r="U570" t="s">
        <v>581</v>
      </c>
      <c r="Z570" s="1347" t="s">
        <v>2706</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t="s">
        <v>2707</v>
      </c>
      <c r="H571" s="1370"/>
      <c r="I571" s="1370"/>
      <c r="J571" s="1370"/>
      <c r="K571" s="1370"/>
      <c r="L571" s="1370"/>
      <c r="M571" s="1370"/>
      <c r="N571" s="1370"/>
      <c r="O571" s="1370"/>
      <c r="P571" s="1370"/>
      <c r="Q571" s="1370"/>
      <c r="R571" s="1370"/>
      <c r="S571" s="8"/>
      <c r="T571" s="22"/>
      <c r="U571" t="s">
        <v>17</v>
      </c>
      <c r="Z571" s="1347" t="s">
        <v>2707</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345">
        <v>6196135527</v>
      </c>
      <c r="H572" s="1345"/>
      <c r="I572" s="1345"/>
      <c r="J572" s="1345"/>
      <c r="K572" s="1345"/>
      <c r="L572" s="1345"/>
      <c r="O572" s="33" t="s">
        <v>206</v>
      </c>
      <c r="P572" s="1436"/>
      <c r="Q572" s="1436"/>
      <c r="R572" s="1436"/>
      <c r="S572" s="10"/>
      <c r="T572" s="22"/>
      <c r="U572" t="s">
        <v>316</v>
      </c>
      <c r="Z572" s="1345">
        <v>6196135527</v>
      </c>
      <c r="AA572" s="1345"/>
      <c r="AB572" s="1345"/>
      <c r="AC572" s="1345"/>
      <c r="AD572" s="1345"/>
      <c r="AE572" s="1345"/>
      <c r="AH572" s="33" t="s">
        <v>206</v>
      </c>
      <c r="AI572" s="1436"/>
      <c r="AJ572" s="1436"/>
      <c r="AK572" s="1436"/>
      <c r="BB572" s="3"/>
      <c r="BC572" s="3"/>
      <c r="BD572" s="3"/>
      <c r="BE572" s="3"/>
      <c r="BF572" s="3"/>
      <c r="BG572" s="3"/>
      <c r="BH572" s="3"/>
      <c r="BI572" s="3"/>
    </row>
    <row r="573" spans="1:61" ht="12.95" customHeight="1">
      <c r="A573" s="22"/>
      <c r="B573" t="s">
        <v>18</v>
      </c>
      <c r="H573" s="1370" t="str">
        <f>G568</f>
        <v>Construction Loan - Tax Exempt</v>
      </c>
      <c r="I573" s="1370"/>
      <c r="J573" s="1370"/>
      <c r="K573" s="1370"/>
      <c r="L573" s="1370"/>
      <c r="M573" s="1370"/>
      <c r="N573" s="1370"/>
      <c r="O573" s="1370"/>
      <c r="P573" s="1370"/>
      <c r="Q573" s="1370"/>
      <c r="R573" s="1370"/>
      <c r="S573" s="8"/>
      <c r="T573" s="22"/>
      <c r="U573" t="s">
        <v>18</v>
      </c>
      <c r="AA573" s="1370" t="str">
        <f>Z568</f>
        <v>Construction Loan - Recycled Bonds</v>
      </c>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1186</v>
      </c>
      <c r="H574" s="8"/>
      <c r="I574" s="8"/>
      <c r="J574" s="8"/>
      <c r="K574" s="8"/>
      <c r="L574" s="8"/>
      <c r="M574" s="1696"/>
      <c r="N574" s="1696"/>
      <c r="O574" s="1696"/>
      <c r="P574" s="1696"/>
      <c r="Q574" s="1696"/>
      <c r="R574" s="1696"/>
      <c r="S574" s="8"/>
      <c r="T574" s="22"/>
      <c r="U574" s="321"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1" t="s">
        <v>546</v>
      </c>
      <c r="O575" s="1331"/>
      <c r="T575" s="22"/>
      <c r="U575" t="s">
        <v>20</v>
      </c>
      <c r="AG575" s="1331" t="s">
        <v>546</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7" t="str">
        <f>C556</f>
        <v>CREA Tax Credit Equity</v>
      </c>
      <c r="H577" s="1357"/>
      <c r="I577" s="1357"/>
      <c r="J577" s="1357"/>
      <c r="K577" s="1357"/>
      <c r="L577" s="1357"/>
      <c r="M577" s="1357"/>
      <c r="N577" s="1357"/>
      <c r="O577" s="1357"/>
      <c r="P577" s="1357"/>
      <c r="Q577" s="1357"/>
      <c r="R577" s="1357"/>
      <c r="T577" s="55" t="s">
        <v>582</v>
      </c>
      <c r="U577" t="s">
        <v>464</v>
      </c>
      <c r="Z577" s="1357" t="str">
        <f>C557</f>
        <v>Accel Opportunity Fund VII, LP</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t="s">
        <v>2666</v>
      </c>
      <c r="H578" s="1370"/>
      <c r="I578" s="1370"/>
      <c r="J578" s="1370"/>
      <c r="K578" s="1370"/>
      <c r="L578" s="1370"/>
      <c r="M578" s="1370"/>
      <c r="N578" s="1370"/>
      <c r="O578" s="1370"/>
      <c r="P578" s="1370"/>
      <c r="Q578" s="1370"/>
      <c r="R578" s="1370"/>
      <c r="T578" s="22"/>
      <c r="U578" t="s">
        <v>85</v>
      </c>
      <c r="Z578" s="1370" t="s">
        <v>2735</v>
      </c>
      <c r="AA578" s="1370"/>
      <c r="AB578" s="1370"/>
      <c r="AC578" s="1370"/>
      <c r="AD578" s="1370"/>
      <c r="AE578" s="1370"/>
      <c r="AF578" s="1370"/>
      <c r="AG578" s="1370"/>
      <c r="AH578" s="1370"/>
      <c r="AI578" s="1370"/>
      <c r="AJ578" s="1370"/>
      <c r="AK578" s="1370"/>
      <c r="BB578" s="3"/>
      <c r="BC578" s="3"/>
    </row>
    <row r="579" spans="1:55" ht="12.95" customHeight="1">
      <c r="A579" s="22"/>
      <c r="B579" t="s">
        <v>581</v>
      </c>
      <c r="G579" s="1347" t="s">
        <v>2667</v>
      </c>
      <c r="H579" s="1347"/>
      <c r="I579" s="1347"/>
      <c r="J579" s="1347"/>
      <c r="K579" s="1347"/>
      <c r="L579" s="1347"/>
      <c r="M579" s="1347"/>
      <c r="N579" s="1347"/>
      <c r="O579" s="1347"/>
      <c r="P579" s="1347"/>
      <c r="Q579" s="1347"/>
      <c r="R579" s="1347"/>
      <c r="T579" s="22"/>
      <c r="U579" t="s">
        <v>581</v>
      </c>
      <c r="Z579" s="1347" t="s">
        <v>2734</v>
      </c>
      <c r="AA579" s="1347"/>
      <c r="AB579" s="1347"/>
      <c r="AC579" s="1347"/>
      <c r="AD579" s="1347"/>
      <c r="AE579" s="1347"/>
      <c r="AF579" s="1347"/>
      <c r="AG579" s="1347"/>
      <c r="AH579" s="1347"/>
      <c r="AI579" s="1347"/>
      <c r="AJ579" s="1347"/>
      <c r="AK579" s="1347"/>
      <c r="BB579" s="3"/>
      <c r="BC579" s="3"/>
    </row>
    <row r="580" spans="1:55" ht="12.95" customHeight="1">
      <c r="A580" s="22"/>
      <c r="B580" t="s">
        <v>17</v>
      </c>
      <c r="G580" s="1347" t="s">
        <v>2668</v>
      </c>
      <c r="H580" s="1347"/>
      <c r="I580" s="1347"/>
      <c r="J580" s="1347"/>
      <c r="K580" s="1347"/>
      <c r="L580" s="1347"/>
      <c r="M580" s="1347"/>
      <c r="N580" s="1347"/>
      <c r="O580" s="1347"/>
      <c r="P580" s="1347"/>
      <c r="Q580" s="1347"/>
      <c r="R580" s="1347"/>
      <c r="T580" s="22"/>
      <c r="U580" t="s">
        <v>17</v>
      </c>
      <c r="Z580" s="1347" t="str">
        <f t="shared" ref="Z580" si="1">G588</f>
        <v>Max Mellman</v>
      </c>
      <c r="AA580" s="1347"/>
      <c r="AB580" s="1347"/>
      <c r="AC580" s="1347"/>
      <c r="AD580" s="1347"/>
      <c r="AE580" s="1347"/>
      <c r="AF580" s="1347"/>
      <c r="AG580" s="1347"/>
      <c r="AH580" s="1347"/>
      <c r="AI580" s="1347"/>
      <c r="AJ580" s="1347"/>
      <c r="AK580" s="1347"/>
      <c r="BB580" s="3"/>
      <c r="BC580" s="3"/>
    </row>
    <row r="581" spans="1:55" ht="12.95" customHeight="1">
      <c r="A581" s="22"/>
      <c r="B581" t="s">
        <v>316</v>
      </c>
      <c r="G581" s="1680" t="s">
        <v>2672</v>
      </c>
      <c r="H581" s="1345"/>
      <c r="I581" s="1345"/>
      <c r="J581" s="1345"/>
      <c r="K581" s="1345"/>
      <c r="L581" s="1345"/>
      <c r="O581" s="33" t="s">
        <v>206</v>
      </c>
      <c r="P581" s="1436"/>
      <c r="Q581" s="1436"/>
      <c r="R581" s="1436"/>
      <c r="T581" s="22"/>
      <c r="U581" t="s">
        <v>316</v>
      </c>
      <c r="Z581" s="1680" t="str">
        <f>G589</f>
        <v>805-807-5555</v>
      </c>
      <c r="AA581" s="1345"/>
      <c r="AB581" s="1345"/>
      <c r="AC581" s="1345"/>
      <c r="AD581" s="1345"/>
      <c r="AE581" s="1345"/>
      <c r="AH581" s="33" t="s">
        <v>206</v>
      </c>
      <c r="AI581" s="1436"/>
      <c r="AJ581" s="1436"/>
      <c r="AK581" s="1436"/>
      <c r="BB581" s="3"/>
      <c r="BC581" s="3"/>
    </row>
    <row r="582" spans="1:55" ht="12.95" customHeight="1">
      <c r="A582" s="22"/>
      <c r="B582" t="s">
        <v>18</v>
      </c>
      <c r="H582" s="1370" t="str">
        <f>G577</f>
        <v>CREA Tax Credit Equity</v>
      </c>
      <c r="I582" s="1370"/>
      <c r="J582" s="1370"/>
      <c r="K582" s="1370"/>
      <c r="L582" s="1370"/>
      <c r="M582" s="1370"/>
      <c r="N582" s="1370"/>
      <c r="O582" s="1370"/>
      <c r="P582" s="1370"/>
      <c r="Q582" s="1370"/>
      <c r="R582" s="1370"/>
      <c r="T582" s="22"/>
      <c r="U582" t="s">
        <v>18</v>
      </c>
      <c r="AA582" s="1370" t="s">
        <v>2732</v>
      </c>
      <c r="AB582" s="1370"/>
      <c r="AC582" s="1370"/>
      <c r="AD582" s="1370"/>
      <c r="AE582" s="1370"/>
      <c r="AF582" s="1370"/>
      <c r="AG582" s="1370"/>
      <c r="AH582" s="1370"/>
      <c r="AI582" s="1370"/>
      <c r="AJ582" s="1370"/>
      <c r="AK582" s="1370"/>
      <c r="BB582" s="3"/>
      <c r="BC582" s="3"/>
    </row>
    <row r="583" spans="1:55" ht="12.95" customHeight="1">
      <c r="A583" s="22"/>
      <c r="B583" t="s">
        <v>20</v>
      </c>
      <c r="N583" s="1331" t="s">
        <v>546</v>
      </c>
      <c r="O583" s="1331"/>
      <c r="T583" s="22"/>
      <c r="U583" t="s">
        <v>20</v>
      </c>
      <c r="AG583" s="1331" t="s">
        <v>546</v>
      </c>
      <c r="AH583" s="1331"/>
      <c r="BB583" s="3"/>
      <c r="BC583" s="3"/>
    </row>
    <row r="584" spans="1:55" ht="12.95" customHeight="1">
      <c r="A584" s="22"/>
      <c r="T584" s="22"/>
      <c r="BB584" s="3"/>
      <c r="BC584" s="3"/>
    </row>
    <row r="585" spans="1:55" ht="12.95" customHeight="1">
      <c r="A585" s="55" t="s">
        <v>764</v>
      </c>
      <c r="B585" t="s">
        <v>464</v>
      </c>
      <c r="G585" s="1357" t="str">
        <f>C558</f>
        <v>Deferred Costs</v>
      </c>
      <c r="H585" s="1357"/>
      <c r="I585" s="1357"/>
      <c r="J585" s="1357"/>
      <c r="K585" s="1357"/>
      <c r="L585" s="1357"/>
      <c r="M585" s="1357"/>
      <c r="N585" s="1357"/>
      <c r="O585" s="1357"/>
      <c r="P585" s="1357"/>
      <c r="Q585" s="1357"/>
      <c r="R585" s="1357"/>
      <c r="T585" s="55" t="s">
        <v>585</v>
      </c>
      <c r="U585" t="s">
        <v>464</v>
      </c>
      <c r="Z585" s="1357">
        <f>C559</f>
        <v>0</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t="s">
        <v>2636</v>
      </c>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row>
    <row r="587" spans="1:55" ht="12.95" customHeight="1">
      <c r="A587" s="22"/>
      <c r="B587" t="s">
        <v>581</v>
      </c>
      <c r="G587" s="1370" t="s">
        <v>2652</v>
      </c>
      <c r="H587" s="1370"/>
      <c r="I587" s="1370"/>
      <c r="J587" s="1370"/>
      <c r="K587" s="1370"/>
      <c r="L587" s="1370"/>
      <c r="M587" s="1370"/>
      <c r="N587" s="1370"/>
      <c r="O587" s="1370"/>
      <c r="P587" s="1370"/>
      <c r="Q587" s="1370"/>
      <c r="R587" s="1370"/>
      <c r="T587" s="22"/>
      <c r="U587" t="s">
        <v>581</v>
      </c>
      <c r="Z587" s="1347"/>
      <c r="AA587" s="1347"/>
      <c r="AB587" s="1347"/>
      <c r="AC587" s="1347"/>
      <c r="AD587" s="1347"/>
      <c r="AE587" s="1347"/>
      <c r="AF587" s="1347"/>
      <c r="AG587" s="1347"/>
      <c r="AH587" s="1347"/>
      <c r="AI587" s="1347"/>
      <c r="AJ587" s="1347"/>
      <c r="AK587" s="1347"/>
      <c r="BB587" s="3"/>
      <c r="BC587" s="3"/>
    </row>
    <row r="588" spans="1:55" ht="12.95" customHeight="1">
      <c r="A588" s="22"/>
      <c r="B588" t="s">
        <v>17</v>
      </c>
      <c r="G588" s="1370" t="s">
        <v>2612</v>
      </c>
      <c r="H588" s="1370"/>
      <c r="I588" s="1370"/>
      <c r="J588" s="1370"/>
      <c r="K588" s="1370"/>
      <c r="L588" s="1370"/>
      <c r="M588" s="1370"/>
      <c r="N588" s="1370"/>
      <c r="O588" s="1370"/>
      <c r="P588" s="1370"/>
      <c r="Q588" s="1370"/>
      <c r="R588" s="1370"/>
      <c r="T588" s="22"/>
      <c r="U588" t="s">
        <v>17</v>
      </c>
      <c r="Z588" s="1347"/>
      <c r="AA588" s="1347"/>
      <c r="AB588" s="1347"/>
      <c r="AC588" s="1347"/>
      <c r="AD588" s="1347"/>
      <c r="AE588" s="1347"/>
      <c r="AF588" s="1347"/>
      <c r="AG588" s="1347"/>
      <c r="AH588" s="1347"/>
      <c r="AI588" s="1347"/>
      <c r="AJ588" s="1347"/>
      <c r="AK588" s="1347"/>
    </row>
    <row r="589" spans="1:55" ht="12.95" customHeight="1">
      <c r="A589" s="22"/>
      <c r="B589" t="s">
        <v>316</v>
      </c>
      <c r="G589" s="1680" t="s">
        <v>2639</v>
      </c>
      <c r="H589" s="1345"/>
      <c r="I589" s="1345"/>
      <c r="J589" s="1345"/>
      <c r="K589" s="1345"/>
      <c r="L589" s="1345"/>
      <c r="O589" s="33" t="s">
        <v>206</v>
      </c>
      <c r="P589" s="1436"/>
      <c r="Q589" s="1436"/>
      <c r="R589" s="1436"/>
      <c r="T589" s="22"/>
      <c r="U589" t="s">
        <v>316</v>
      </c>
      <c r="Z589" s="1345"/>
      <c r="AA589" s="1345"/>
      <c r="AB589" s="1345"/>
      <c r="AC589" s="1345"/>
      <c r="AD589" s="1345"/>
      <c r="AE589" s="1345"/>
      <c r="AH589" s="33" t="s">
        <v>206</v>
      </c>
      <c r="AI589" s="1436"/>
      <c r="AJ589" s="1436"/>
      <c r="AK589" s="1436"/>
      <c r="AZ589" s="3"/>
      <c r="BA589" s="3"/>
      <c r="BB589" s="3"/>
      <c r="BC589" s="3"/>
    </row>
    <row r="590" spans="1:55" ht="12.95" customHeight="1">
      <c r="A590" s="22"/>
      <c r="B590" t="s">
        <v>18</v>
      </c>
      <c r="H590" s="1370" t="str">
        <f>G585</f>
        <v>Deferred Costs</v>
      </c>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546</v>
      </c>
      <c r="O591" s="1331"/>
      <c r="T591" s="22"/>
      <c r="U591" t="s">
        <v>20</v>
      </c>
      <c r="AG591" s="1331"/>
      <c r="AH591" s="1331"/>
      <c r="AZ591" s="3"/>
      <c r="BA591" s="3"/>
      <c r="BB591" s="3"/>
      <c r="BC591" s="3"/>
    </row>
    <row r="592" spans="1:55" ht="12.95" customHeight="1">
      <c r="A592" s="22"/>
      <c r="T592" s="22"/>
      <c r="AZ592" s="3"/>
      <c r="BA592" s="3"/>
      <c r="BB592" s="3"/>
      <c r="BC592" s="3"/>
    </row>
    <row r="593" spans="1:55" ht="12.95" customHeight="1">
      <c r="A593" s="55" t="s">
        <v>456</v>
      </c>
      <c r="B593" t="s">
        <v>464</v>
      </c>
      <c r="G593" s="1357">
        <f>C560</f>
        <v>0</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0"/>
      <c r="H595" s="1370"/>
      <c r="I595" s="1370"/>
      <c r="J595" s="1370"/>
      <c r="K595" s="1370"/>
      <c r="L595" s="1370"/>
      <c r="M595" s="1370"/>
      <c r="N595" s="1370"/>
      <c r="O595" s="1370"/>
      <c r="P595" s="1370"/>
      <c r="Q595" s="1370"/>
      <c r="R595" s="1370"/>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c r="O599" s="1331"/>
      <c r="T599" s="22"/>
      <c r="U599" t="s">
        <v>20</v>
      </c>
      <c r="AG599" s="1331" t="s">
        <v>670</v>
      </c>
      <c r="AH599" s="1331"/>
      <c r="BB599" s="3"/>
      <c r="BC599" s="3"/>
    </row>
    <row r="600" spans="1:55" ht="12.95" customHeight="1">
      <c r="A600" s="22"/>
      <c r="T600" s="22"/>
      <c r="BB600" s="3"/>
      <c r="BC600" s="3"/>
    </row>
    <row r="601" spans="1:55" ht="12.95"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581</v>
      </c>
      <c r="G603" s="1370"/>
      <c r="H603" s="1370"/>
      <c r="I603" s="1370"/>
      <c r="J603" s="1370"/>
      <c r="K603" s="1370"/>
      <c r="L603" s="1370"/>
      <c r="M603" s="1370"/>
      <c r="N603" s="1370"/>
      <c r="O603" s="1370"/>
      <c r="P603" s="1370"/>
      <c r="Q603" s="1370"/>
      <c r="R603" s="1370"/>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581</v>
      </c>
      <c r="G611" s="1370"/>
      <c r="H611" s="1370"/>
      <c r="I611" s="1370"/>
      <c r="J611" s="1370"/>
      <c r="K611" s="1370"/>
      <c r="L611" s="1370"/>
      <c r="M611" s="1370"/>
      <c r="N611" s="1370"/>
      <c r="O611" s="1370"/>
      <c r="P611" s="1370"/>
      <c r="Q611" s="1370"/>
      <c r="R611" s="1370"/>
      <c r="U611" t="s">
        <v>581</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670</v>
      </c>
      <c r="O615" s="1331"/>
      <c r="U615" t="s">
        <v>20</v>
      </c>
      <c r="AG615" s="1331" t="s">
        <v>670</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3"/>
      <c r="C623" s="2"/>
      <c r="AU623" s="3"/>
      <c r="AZ623" s="3"/>
      <c r="BA623" s="3"/>
      <c r="BB623" s="3"/>
      <c r="BC623" s="3"/>
    </row>
    <row r="624" spans="1:55" ht="12.95" customHeight="1">
      <c r="B624" s="1700" t="s">
        <v>2105</v>
      </c>
      <c r="C624" s="1700"/>
      <c r="D624" s="1700"/>
      <c r="E624" s="1700"/>
      <c r="F624" s="1700"/>
      <c r="G624" s="1700"/>
      <c r="H624" s="1700"/>
      <c r="I624" s="1700"/>
      <c r="J624" s="1700"/>
      <c r="K624" s="1700"/>
      <c r="L624" s="1700"/>
      <c r="M624" s="1441" t="s">
        <v>2106</v>
      </c>
      <c r="N624" s="1441"/>
      <c r="O624" s="1441"/>
      <c r="P624" s="1441"/>
      <c r="Q624" s="1441" t="s">
        <v>1854</v>
      </c>
      <c r="R624" s="1441"/>
      <c r="S624" s="1441"/>
      <c r="T624" s="1441" t="s">
        <v>1852</v>
      </c>
      <c r="U624" s="1441"/>
      <c r="V624" s="1441"/>
      <c r="W624" s="1701" t="s">
        <v>454</v>
      </c>
      <c r="X624" s="1701"/>
      <c r="Y624" s="1701"/>
      <c r="Z624" s="1430" t="s">
        <v>2135</v>
      </c>
      <c r="AA624" s="1430"/>
      <c r="AB624" s="1431"/>
      <c r="AC624" s="1682" t="s">
        <v>1677</v>
      </c>
      <c r="AD624" s="1683"/>
      <c r="AE624" s="1684"/>
      <c r="AF624" s="1671" t="s">
        <v>1932</v>
      </c>
      <c r="AG624" s="1430"/>
      <c r="AH624" s="1430"/>
      <c r="AI624" s="1430"/>
      <c r="AJ624" s="1431"/>
      <c r="AK624" s="1733" t="s">
        <v>1933</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5"/>
      <c r="AD625" s="1686"/>
      <c r="AE625" s="1687"/>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8"/>
      <c r="AD626" s="1689"/>
      <c r="AE626" s="1690"/>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2" t="s">
        <v>2625</v>
      </c>
      <c r="D627" s="1692"/>
      <c r="E627" s="1692"/>
      <c r="F627" s="1692"/>
      <c r="G627" s="1692"/>
      <c r="H627" s="1692"/>
      <c r="I627" s="1692"/>
      <c r="J627" s="1692"/>
      <c r="K627" s="1692"/>
      <c r="L627" s="1692"/>
      <c r="M627" s="1617" t="s">
        <v>2118</v>
      </c>
      <c r="N627" s="1617"/>
      <c r="O627" s="1617"/>
      <c r="P627" s="1617"/>
      <c r="Q627" s="1425"/>
      <c r="R627" s="1425"/>
      <c r="S627" s="1426"/>
      <c r="T627" s="1424"/>
      <c r="U627" s="1425"/>
      <c r="V627" s="1426"/>
      <c r="W627" s="1437"/>
      <c r="X627" s="1438"/>
      <c r="Y627" s="1439"/>
      <c r="Z627" s="1477" t="s">
        <v>1185</v>
      </c>
      <c r="AA627" s="1478"/>
      <c r="AB627" s="1479"/>
      <c r="AC627" s="1445"/>
      <c r="AD627" s="1446"/>
      <c r="AE627" s="1447"/>
      <c r="AF627" s="1474"/>
      <c r="AG627" s="1475"/>
      <c r="AH627" s="1475"/>
      <c r="AI627" s="1475"/>
      <c r="AJ627" s="1476"/>
      <c r="AK627" s="1427"/>
      <c r="AL627" s="1428"/>
      <c r="AM627" s="1428"/>
      <c r="AN627" s="1429"/>
      <c r="AO627" s="1480">
        <v>32500000</v>
      </c>
      <c r="AP627" s="1480"/>
      <c r="AQ627" s="1480"/>
      <c r="AR627" s="1480"/>
      <c r="AS627" s="1480"/>
      <c r="AT627" s="3"/>
      <c r="AU627" s="3"/>
      <c r="AZ627" s="3"/>
      <c r="BA627" s="3"/>
      <c r="BB627" s="3"/>
      <c r="BC627" s="3"/>
      <c r="BD627" s="3"/>
    </row>
    <row r="628" spans="2:157" ht="12.95" customHeight="1">
      <c r="B628" s="52" t="s">
        <v>113</v>
      </c>
      <c r="C628" s="1692" t="s">
        <v>2621</v>
      </c>
      <c r="D628" s="1692"/>
      <c r="E628" s="1692"/>
      <c r="F628" s="1692"/>
      <c r="G628" s="1692"/>
      <c r="H628" s="1692"/>
      <c r="I628" s="1692"/>
      <c r="J628" s="1692"/>
      <c r="K628" s="1692"/>
      <c r="L628" s="1692"/>
      <c r="M628" s="1617" t="s">
        <v>2110</v>
      </c>
      <c r="N628" s="1617"/>
      <c r="O628" s="1617"/>
      <c r="P628" s="1617"/>
      <c r="Q628" s="1424"/>
      <c r="R628" s="1425"/>
      <c r="S628" s="1426"/>
      <c r="T628" s="1424"/>
      <c r="U628" s="1425"/>
      <c r="V628" s="1426"/>
      <c r="W628" s="1437"/>
      <c r="X628" s="1438"/>
      <c r="Y628" s="1439"/>
      <c r="Z628" s="1477" t="s">
        <v>1185</v>
      </c>
      <c r="AA628" s="1478"/>
      <c r="AB628" s="1479"/>
      <c r="AC628" s="1445"/>
      <c r="AD628" s="1446"/>
      <c r="AE628" s="1447"/>
      <c r="AF628" s="1474"/>
      <c r="AG628" s="1475"/>
      <c r="AH628" s="1475"/>
      <c r="AI628" s="1475"/>
      <c r="AJ628" s="1476"/>
      <c r="AK628" s="1427"/>
      <c r="AL628" s="1428"/>
      <c r="AM628" s="1428"/>
      <c r="AN628" s="1429"/>
      <c r="AO628" s="1465">
        <v>1500000</v>
      </c>
      <c r="AP628" s="1466"/>
      <c r="AQ628" s="1466"/>
      <c r="AR628" s="1466"/>
      <c r="AS628" s="1467"/>
      <c r="AT628" s="1150" t="str">
        <f>IF(AND(NOT(C627=""),C628="",NOT(C629="")),"!","")</f>
        <v/>
      </c>
      <c r="AU628" s="3"/>
      <c r="AZ628" s="3"/>
      <c r="BA628" s="3"/>
      <c r="BB628" s="3"/>
      <c r="BC628" s="3"/>
      <c r="BD628" s="3"/>
    </row>
    <row r="629" spans="2:157" ht="12.95" customHeight="1">
      <c r="B629" s="52" t="s">
        <v>119</v>
      </c>
      <c r="C629" s="1692" t="s">
        <v>2729</v>
      </c>
      <c r="D629" s="1692"/>
      <c r="E629" s="1692"/>
      <c r="F629" s="1692"/>
      <c r="G629" s="1692"/>
      <c r="H629" s="1692"/>
      <c r="I629" s="1692"/>
      <c r="J629" s="1692"/>
      <c r="K629" s="1692"/>
      <c r="L629" s="1692"/>
      <c r="M629" s="1617" t="s">
        <v>2118</v>
      </c>
      <c r="N629" s="1617"/>
      <c r="O629" s="1617"/>
      <c r="P629" s="1617"/>
      <c r="Q629" s="1424"/>
      <c r="R629" s="1425"/>
      <c r="S629" s="1426"/>
      <c r="T629" s="1424"/>
      <c r="U629" s="1425"/>
      <c r="V629" s="1426"/>
      <c r="W629" s="1437"/>
      <c r="X629" s="1438"/>
      <c r="Y629" s="1439"/>
      <c r="Z629" s="1477" t="s">
        <v>1185</v>
      </c>
      <c r="AA629" s="1478"/>
      <c r="AB629" s="1479"/>
      <c r="AC629" s="1445"/>
      <c r="AD629" s="1446"/>
      <c r="AE629" s="1447"/>
      <c r="AF629" s="1474"/>
      <c r="AG629" s="1475"/>
      <c r="AH629" s="1475"/>
      <c r="AI629" s="1475"/>
      <c r="AJ629" s="1476"/>
      <c r="AK629" s="1427"/>
      <c r="AL629" s="1428"/>
      <c r="AM629" s="1428"/>
      <c r="AN629" s="1429"/>
      <c r="AO629" s="1465">
        <v>12500000</v>
      </c>
      <c r="AP629" s="1466"/>
      <c r="AQ629" s="1466"/>
      <c r="AR629" s="1466"/>
      <c r="AS629" s="1467"/>
      <c r="AT629" s="1150" t="str">
        <f t="shared" ref="AT629:AT638" si="2">IF(AND(NOT(C628=""),C629="",NOT(C630="")),"!","")</f>
        <v/>
      </c>
      <c r="AU629" s="3"/>
      <c r="AZ629" s="3"/>
      <c r="BA629" s="3"/>
      <c r="BB629" s="3"/>
      <c r="BC629" s="3"/>
      <c r="BD629" s="3"/>
    </row>
    <row r="630" spans="2:157" ht="12.95" customHeight="1">
      <c r="B630" s="52" t="s">
        <v>582</v>
      </c>
      <c r="C630" s="1692" t="s">
        <v>2695</v>
      </c>
      <c r="D630" s="1346"/>
      <c r="E630" s="1346"/>
      <c r="F630" s="1346"/>
      <c r="G630" s="1346"/>
      <c r="H630" s="1346"/>
      <c r="I630" s="1346"/>
      <c r="J630" s="1346"/>
      <c r="K630" s="1346"/>
      <c r="L630" s="1346"/>
      <c r="M630" s="1617" t="s">
        <v>2119</v>
      </c>
      <c r="N630" s="1617"/>
      <c r="O630" s="1617"/>
      <c r="P630" s="1617"/>
      <c r="Q630" s="1424"/>
      <c r="R630" s="1425"/>
      <c r="S630" s="1426"/>
      <c r="T630" s="1424"/>
      <c r="U630" s="1425"/>
      <c r="V630" s="1426"/>
      <c r="W630" s="1437">
        <v>0.03</v>
      </c>
      <c r="X630" s="1438"/>
      <c r="Y630" s="1439"/>
      <c r="Z630" s="1477" t="s">
        <v>458</v>
      </c>
      <c r="AA630" s="1478"/>
      <c r="AB630" s="1479"/>
      <c r="AC630" s="1445"/>
      <c r="AD630" s="1446"/>
      <c r="AE630" s="1447"/>
      <c r="AF630" s="1474"/>
      <c r="AG630" s="1475"/>
      <c r="AH630" s="1475"/>
      <c r="AI630" s="1475"/>
      <c r="AJ630" s="1476"/>
      <c r="AK630" s="1427"/>
      <c r="AL630" s="1428"/>
      <c r="AM630" s="1428"/>
      <c r="AN630" s="1429"/>
      <c r="AO630" s="1465">
        <v>4800000</v>
      </c>
      <c r="AP630" s="1466"/>
      <c r="AQ630" s="1466"/>
      <c r="AR630" s="1466"/>
      <c r="AS630" s="1467"/>
      <c r="AT630" s="1150" t="str">
        <f t="shared" si="2"/>
        <v/>
      </c>
      <c r="AU630" s="3"/>
      <c r="AZ630" s="3"/>
      <c r="BA630" s="3"/>
      <c r="BB630" s="3"/>
      <c r="BC630" s="3"/>
      <c r="BD630" s="3"/>
    </row>
    <row r="631" spans="2:157" ht="12.95" customHeight="1">
      <c r="B631" s="52" t="s">
        <v>764</v>
      </c>
      <c r="C631" s="1692" t="s">
        <v>2324</v>
      </c>
      <c r="D631" s="1346"/>
      <c r="E631" s="1346"/>
      <c r="F631" s="1346"/>
      <c r="G631" s="1346"/>
      <c r="H631" s="1346"/>
      <c r="I631" s="1346"/>
      <c r="J631" s="1346"/>
      <c r="K631" s="1346"/>
      <c r="L631" s="1346"/>
      <c r="M631" s="1617" t="s">
        <v>2109</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f>'Sources and Uses Budget'!C105-SUM(Application!AO627:AS630,Application!AO640)</f>
        <v>3928792</v>
      </c>
      <c r="AP631" s="1466"/>
      <c r="AQ631" s="1466"/>
      <c r="AR631" s="1466"/>
      <c r="AS631" s="1467"/>
      <c r="AT631" s="1150" t="str">
        <f t="shared" si="2"/>
        <v/>
      </c>
      <c r="AU631" s="3"/>
      <c r="AZ631" s="3"/>
      <c r="BA631" s="3"/>
      <c r="BB631" s="3"/>
      <c r="BC631" s="3"/>
      <c r="BD631" s="3"/>
    </row>
    <row r="632" spans="2:157" ht="12.95" customHeight="1">
      <c r="B632" s="52" t="s">
        <v>585</v>
      </c>
      <c r="C632" s="1692"/>
      <c r="D632" s="1346"/>
      <c r="E632" s="1346"/>
      <c r="F632" s="1346"/>
      <c r="G632" s="1346"/>
      <c r="H632" s="1346"/>
      <c r="I632" s="1346"/>
      <c r="J632" s="1346"/>
      <c r="K632" s="1346"/>
      <c r="L632" s="1346"/>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50" t="str">
        <f t="shared" si="2"/>
        <v/>
      </c>
      <c r="AU632" s="3"/>
      <c r="AZ632" s="3"/>
      <c r="BA632" s="3"/>
      <c r="BB632" s="3"/>
      <c r="BC632" s="3"/>
      <c r="BD632" s="3"/>
    </row>
    <row r="633" spans="2:157" ht="12.95" customHeight="1">
      <c r="B633" s="52" t="s">
        <v>456</v>
      </c>
      <c r="C633" s="1346"/>
      <c r="D633" s="1346"/>
      <c r="E633" s="1346"/>
      <c r="F633" s="1346"/>
      <c r="G633" s="1346"/>
      <c r="H633" s="1346"/>
      <c r="I633" s="1346"/>
      <c r="J633" s="1346"/>
      <c r="K633" s="1346"/>
      <c r="L633" s="1346"/>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2"/>
        <v/>
      </c>
      <c r="AU633" s="3"/>
      <c r="AV633" s="3"/>
      <c r="AW633" s="3"/>
      <c r="AX633" s="3"/>
      <c r="AY633" s="3"/>
      <c r="AZ633" s="3"/>
      <c r="BA633" s="3"/>
      <c r="BB633" s="3"/>
      <c r="BC633" s="3"/>
      <c r="BD633" s="3"/>
    </row>
    <row r="634" spans="2:157" ht="12.95" customHeight="1">
      <c r="B634" s="52" t="s">
        <v>457</v>
      </c>
      <c r="C634" s="1346"/>
      <c r="D634" s="1346"/>
      <c r="E634" s="1346"/>
      <c r="F634" s="1346"/>
      <c r="G634" s="1346"/>
      <c r="H634" s="1346"/>
      <c r="I634" s="1346"/>
      <c r="J634" s="1346"/>
      <c r="K634" s="1346"/>
      <c r="L634" s="1346"/>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2"/>
        <v/>
      </c>
      <c r="AU634" s="3"/>
      <c r="AV634" s="3"/>
      <c r="AW634" s="3"/>
      <c r="AX634" s="3"/>
      <c r="AY634" s="3"/>
      <c r="AZ634" s="3"/>
      <c r="BA634" s="3" t="s">
        <v>1185</v>
      </c>
      <c r="BB634" s="3"/>
      <c r="BC634" s="3"/>
      <c r="BD634" s="3"/>
    </row>
    <row r="635" spans="2:157" ht="12.95" customHeight="1">
      <c r="B635" s="52" t="s">
        <v>462</v>
      </c>
      <c r="C635" s="1346"/>
      <c r="D635" s="1346"/>
      <c r="E635" s="1346"/>
      <c r="F635" s="1346"/>
      <c r="G635" s="1346"/>
      <c r="H635" s="1346"/>
      <c r="I635" s="1346"/>
      <c r="J635" s="1346"/>
      <c r="K635" s="1346"/>
      <c r="L635" s="1346"/>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3">EZ718*(CP718/$CP$753)</f>
        <v>44.162318840579715</v>
      </c>
      <c r="DY635" s="1444"/>
      <c r="DZ635" s="1444"/>
      <c r="EA635" s="1444"/>
      <c r="EB635" s="1444"/>
      <c r="EC635" s="1444" t="e">
        <f t="shared" ref="EC635:EC669" si="4">FE718*(CU718/$CU$753)</f>
        <v>#VALUE!</v>
      </c>
      <c r="ED635" s="1444"/>
      <c r="EE635" s="1444"/>
      <c r="EF635" s="1444"/>
      <c r="EG635" s="1444"/>
      <c r="EH635" s="1444" t="e">
        <f t="shared" ref="EH635:EH669" si="5">FJ718*(CZ718/$CZ$753)</f>
        <v>#VALUE!</v>
      </c>
      <c r="EI635" s="1444"/>
      <c r="EJ635" s="1444"/>
      <c r="EK635" s="1444"/>
      <c r="EL635" s="1444"/>
      <c r="EM635" s="1444" t="e">
        <f t="shared" ref="EM635:EM669" si="6">FO718*(DE718/$DE$753)</f>
        <v>#VALUE!</v>
      </c>
      <c r="EN635" s="1444"/>
      <c r="EO635" s="1444"/>
      <c r="EP635" s="1444"/>
      <c r="EQ635" s="1444"/>
      <c r="ER635" s="1444" t="e">
        <f t="shared" ref="ER635:ER669" si="7">FT718*(DJ718/$DJ$753)</f>
        <v>#VALUE!</v>
      </c>
      <c r="ES635" s="1444"/>
      <c r="ET635" s="1444"/>
      <c r="EU635" s="1444"/>
      <c r="EV635" s="1444"/>
      <c r="EW635" s="1444" t="e">
        <f t="shared" ref="EW635:EW669" si="8">FY718*(DO718/$DO$753)</f>
        <v>#VALUE!</v>
      </c>
      <c r="EX635" s="1444"/>
      <c r="EY635" s="1444"/>
      <c r="EZ635" s="1444"/>
      <c r="FA635" s="1444"/>
    </row>
    <row r="636" spans="2:157" ht="12.95" customHeight="1">
      <c r="B636" s="52" t="s">
        <v>647</v>
      </c>
      <c r="C636" s="1346"/>
      <c r="D636" s="1346"/>
      <c r="E636" s="1346"/>
      <c r="F636" s="1346"/>
      <c r="G636" s="1346"/>
      <c r="H636" s="1346"/>
      <c r="I636" s="1346"/>
      <c r="J636" s="1346"/>
      <c r="K636" s="1346"/>
      <c r="L636" s="1346"/>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3"/>
        <v>16.11304347826087</v>
      </c>
      <c r="DY636" s="1444"/>
      <c r="DZ636" s="1444"/>
      <c r="EA636" s="1444"/>
      <c r="EB636" s="1444"/>
      <c r="EC636" s="1444" t="e">
        <f t="shared" si="4"/>
        <v>#VALUE!</v>
      </c>
      <c r="ED636" s="1444"/>
      <c r="EE636" s="1444"/>
      <c r="EF636" s="1444"/>
      <c r="EG636" s="1444"/>
      <c r="EH636" s="1444" t="e">
        <f t="shared" si="5"/>
        <v>#VALUE!</v>
      </c>
      <c r="EI636" s="1444"/>
      <c r="EJ636" s="1444"/>
      <c r="EK636" s="1444"/>
      <c r="EL636" s="1444"/>
      <c r="EM636" s="1444" t="e">
        <f t="shared" si="6"/>
        <v>#VALUE!</v>
      </c>
      <c r="EN636" s="1444"/>
      <c r="EO636" s="1444"/>
      <c r="EP636" s="1444"/>
      <c r="EQ636" s="1444"/>
      <c r="ER636" s="1444" t="e">
        <f t="shared" si="7"/>
        <v>#VALUE!</v>
      </c>
      <c r="ES636" s="1444"/>
      <c r="ET636" s="1444"/>
      <c r="EU636" s="1444"/>
      <c r="EV636" s="1444"/>
      <c r="EW636" s="1444" t="e">
        <f t="shared" si="8"/>
        <v>#VALUE!</v>
      </c>
      <c r="EX636" s="1444"/>
      <c r="EY636" s="1444"/>
      <c r="EZ636" s="1444"/>
      <c r="FA636" s="1444"/>
    </row>
    <row r="637" spans="2:157" ht="12.95" customHeight="1">
      <c r="B637" s="52" t="s">
        <v>362</v>
      </c>
      <c r="C637" s="1346"/>
      <c r="D637" s="1346"/>
      <c r="E637" s="1346"/>
      <c r="F637" s="1346"/>
      <c r="G637" s="1346"/>
      <c r="H637" s="1346"/>
      <c r="I637" s="1346"/>
      <c r="J637" s="1346"/>
      <c r="K637" s="1346"/>
      <c r="L637" s="1346"/>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2"/>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f t="shared" si="3"/>
        <v>42.695652173913047</v>
      </c>
      <c r="DY637" s="1444"/>
      <c r="DZ637" s="1444"/>
      <c r="EA637" s="1444"/>
      <c r="EB637" s="1444"/>
      <c r="EC637" s="1444" t="e">
        <f t="shared" si="4"/>
        <v>#VALUE!</v>
      </c>
      <c r="ED637" s="1444"/>
      <c r="EE637" s="1444"/>
      <c r="EF637" s="1444"/>
      <c r="EG637" s="1444"/>
      <c r="EH637" s="1444" t="e">
        <f t="shared" si="5"/>
        <v>#VALUE!</v>
      </c>
      <c r="EI637" s="1444"/>
      <c r="EJ637" s="1444"/>
      <c r="EK637" s="1444"/>
      <c r="EL637" s="1444"/>
      <c r="EM637" s="1444" t="e">
        <f t="shared" si="6"/>
        <v>#VALUE!</v>
      </c>
      <c r="EN637" s="1444"/>
      <c r="EO637" s="1444"/>
      <c r="EP637" s="1444"/>
      <c r="EQ637" s="1444"/>
      <c r="ER637" s="1444" t="e">
        <f t="shared" si="7"/>
        <v>#VALUE!</v>
      </c>
      <c r="ES637" s="1444"/>
      <c r="ET637" s="1444"/>
      <c r="EU637" s="1444"/>
      <c r="EV637" s="1444"/>
      <c r="EW637" s="1444" t="e">
        <f t="shared" si="8"/>
        <v>#VALUE!</v>
      </c>
      <c r="EX637" s="1444"/>
      <c r="EY637" s="1444"/>
      <c r="EZ637" s="1444"/>
      <c r="FA637" s="1444"/>
    </row>
    <row r="638" spans="2:157" ht="12.95" customHeight="1">
      <c r="B638" s="52" t="s">
        <v>363</v>
      </c>
      <c r="C638" s="1346"/>
      <c r="D638" s="1346"/>
      <c r="E638" s="1346"/>
      <c r="F638" s="1346"/>
      <c r="G638" s="1346"/>
      <c r="H638" s="1346"/>
      <c r="I638" s="1346"/>
      <c r="J638" s="1346"/>
      <c r="K638" s="1346"/>
      <c r="L638" s="1346"/>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f t="shared" si="3"/>
        <v>135.8840579710145</v>
      </c>
      <c r="DY638" s="1444"/>
      <c r="DZ638" s="1444"/>
      <c r="EA638" s="1444"/>
      <c r="EB638" s="1444"/>
      <c r="EC638" s="1444" t="e">
        <f t="shared" si="4"/>
        <v>#VALUE!</v>
      </c>
      <c r="ED638" s="1444"/>
      <c r="EE638" s="1444"/>
      <c r="EF638" s="1444"/>
      <c r="EG638" s="1444"/>
      <c r="EH638" s="1444" t="e">
        <f t="shared" si="5"/>
        <v>#VALUE!</v>
      </c>
      <c r="EI638" s="1444"/>
      <c r="EJ638" s="1444"/>
      <c r="EK638" s="1444"/>
      <c r="EL638" s="1444"/>
      <c r="EM638" s="1444" t="e">
        <f t="shared" si="6"/>
        <v>#VALUE!</v>
      </c>
      <c r="EN638" s="1444"/>
      <c r="EO638" s="1444"/>
      <c r="EP638" s="1444"/>
      <c r="EQ638" s="1444"/>
      <c r="ER638" s="1444" t="e">
        <f t="shared" si="7"/>
        <v>#VALUE!</v>
      </c>
      <c r="ES638" s="1444"/>
      <c r="ET638" s="1444"/>
      <c r="EU638" s="1444"/>
      <c r="EV638" s="1444"/>
      <c r="EW638" s="1444" t="e">
        <f t="shared" si="8"/>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55228792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f t="shared" si="3"/>
        <v>279.29275362318845</v>
      </c>
      <c r="DY639" s="1444"/>
      <c r="DZ639" s="1444"/>
      <c r="EA639" s="1444"/>
      <c r="EB639" s="1444"/>
      <c r="EC639" s="1444" t="e">
        <f t="shared" si="4"/>
        <v>#VALUE!</v>
      </c>
      <c r="ED639" s="1444"/>
      <c r="EE639" s="1444"/>
      <c r="EF639" s="1444"/>
      <c r="EG639" s="1444"/>
      <c r="EH639" s="1444" t="e">
        <f t="shared" si="5"/>
        <v>#VALUE!</v>
      </c>
      <c r="EI639" s="1444"/>
      <c r="EJ639" s="1444"/>
      <c r="EK639" s="1444"/>
      <c r="EL639" s="1444"/>
      <c r="EM639" s="1444" t="e">
        <f t="shared" si="6"/>
        <v>#VALUE!</v>
      </c>
      <c r="EN639" s="1444"/>
      <c r="EO639" s="1444"/>
      <c r="EP639" s="1444"/>
      <c r="EQ639" s="1444"/>
      <c r="ER639" s="1444" t="e">
        <f t="shared" si="7"/>
        <v>#VALUE!</v>
      </c>
      <c r="ES639" s="1444"/>
      <c r="ET639" s="1444"/>
      <c r="EU639" s="1444"/>
      <c r="EV639" s="1444"/>
      <c r="EW639" s="1444" t="e">
        <f t="shared" si="8"/>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17230234</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3"/>
        <v>#VALUE!</v>
      </c>
      <c r="DY640" s="1444"/>
      <c r="DZ640" s="1444"/>
      <c r="EA640" s="1444"/>
      <c r="EB640" s="1444"/>
      <c r="EC640" s="1444" t="e">
        <f t="shared" si="4"/>
        <v>#VALUE!</v>
      </c>
      <c r="ED640" s="1444"/>
      <c r="EE640" s="1444"/>
      <c r="EF640" s="1444"/>
      <c r="EG640" s="1444"/>
      <c r="EH640" s="1444" t="e">
        <f t="shared" si="5"/>
        <v>#VALUE!</v>
      </c>
      <c r="EI640" s="1444"/>
      <c r="EJ640" s="1444"/>
      <c r="EK640" s="1444"/>
      <c r="EL640" s="1444"/>
      <c r="EM640" s="1444" t="e">
        <f t="shared" si="6"/>
        <v>#VALUE!</v>
      </c>
      <c r="EN640" s="1444"/>
      <c r="EO640" s="1444"/>
      <c r="EP640" s="1444"/>
      <c r="EQ640" s="1444"/>
      <c r="ER640" s="1444" t="e">
        <f t="shared" si="7"/>
        <v>#VALUE!</v>
      </c>
      <c r="ES640" s="1444"/>
      <c r="ET640" s="1444"/>
      <c r="EU640" s="1444"/>
      <c r="EV640" s="1444"/>
      <c r="EW640" s="1444" t="e">
        <f t="shared" si="8"/>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72459026</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3"/>
        <v>#VALUE!</v>
      </c>
      <c r="DY641" s="1444"/>
      <c r="DZ641" s="1444"/>
      <c r="EA641" s="1444"/>
      <c r="EB641" s="1444"/>
      <c r="EC641" s="1444" t="e">
        <f t="shared" si="4"/>
        <v>#VALUE!</v>
      </c>
      <c r="ED641" s="1444"/>
      <c r="EE641" s="1444"/>
      <c r="EF641" s="1444"/>
      <c r="EG641" s="1444"/>
      <c r="EH641" s="1444">
        <f t="shared" si="5"/>
        <v>881.2</v>
      </c>
      <c r="EI641" s="1444"/>
      <c r="EJ641" s="1444"/>
      <c r="EK641" s="1444"/>
      <c r="EL641" s="1444"/>
      <c r="EM641" s="1444" t="e">
        <f t="shared" si="6"/>
        <v>#VALUE!</v>
      </c>
      <c r="EN641" s="1444"/>
      <c r="EO641" s="1444"/>
      <c r="EP641" s="1444"/>
      <c r="EQ641" s="1444"/>
      <c r="ER641" s="1444" t="e">
        <f t="shared" si="7"/>
        <v>#VALUE!</v>
      </c>
      <c r="ES641" s="1444"/>
      <c r="ET641" s="1444"/>
      <c r="EU641" s="1444"/>
      <c r="EV641" s="1444"/>
      <c r="EW641" s="1444" t="e">
        <f t="shared" si="8"/>
        <v>#VALUE!</v>
      </c>
      <c r="EX641" s="1444"/>
      <c r="EY641" s="1444"/>
      <c r="EZ641" s="1444"/>
      <c r="FA641" s="1444"/>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3"/>
        <v>#VALUE!</v>
      </c>
      <c r="DY642" s="1444"/>
      <c r="DZ642" s="1444"/>
      <c r="EA642" s="1444"/>
      <c r="EB642" s="1444"/>
      <c r="EC642" s="1444" t="e">
        <f t="shared" si="4"/>
        <v>#VALUE!</v>
      </c>
      <c r="ED642" s="1444"/>
      <c r="EE642" s="1444"/>
      <c r="EF642" s="1444"/>
      <c r="EG642" s="1444"/>
      <c r="EH642" s="1444" t="e">
        <f t="shared" si="5"/>
        <v>#VALUE!</v>
      </c>
      <c r="EI642" s="1444"/>
      <c r="EJ642" s="1444"/>
      <c r="EK642" s="1444"/>
      <c r="EL642" s="1444"/>
      <c r="EM642" s="1444" t="e">
        <f t="shared" si="6"/>
        <v>#VALUE!</v>
      </c>
      <c r="EN642" s="1444"/>
      <c r="EO642" s="1444"/>
      <c r="EP642" s="1444"/>
      <c r="EQ642" s="1444"/>
      <c r="ER642" s="1444" t="e">
        <f t="shared" si="7"/>
        <v>#VALUE!</v>
      </c>
      <c r="ES642" s="1444"/>
      <c r="ET642" s="1444"/>
      <c r="EU642" s="1444"/>
      <c r="EV642" s="1444"/>
      <c r="EW642" s="1444" t="e">
        <f t="shared" si="8"/>
        <v>#VALUE!</v>
      </c>
      <c r="EX642" s="1444"/>
      <c r="EY642" s="1444"/>
      <c r="EZ642" s="1444"/>
      <c r="FA642" s="1444"/>
    </row>
    <row r="643" spans="1:157" ht="12.95" customHeight="1">
      <c r="A643" s="55" t="s">
        <v>112</v>
      </c>
      <c r="B643" t="s">
        <v>464</v>
      </c>
      <c r="G643" s="1357" t="str">
        <f>C627</f>
        <v>HomeKey Capital</v>
      </c>
      <c r="H643" s="1357"/>
      <c r="I643" s="1357"/>
      <c r="J643" s="1357"/>
      <c r="K643" s="1357"/>
      <c r="L643" s="1357"/>
      <c r="M643" s="1357"/>
      <c r="N643" s="1357"/>
      <c r="O643" s="1357"/>
      <c r="P643" s="1357"/>
      <c r="Q643" s="1357"/>
      <c r="R643" s="1357"/>
      <c r="S643" s="8"/>
      <c r="T643" s="55" t="s">
        <v>113</v>
      </c>
      <c r="U643" t="s">
        <v>464</v>
      </c>
      <c r="Z643" s="1357" t="str">
        <f>C628</f>
        <v>Contributed Developer Fee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3"/>
        <v>#VALUE!</v>
      </c>
      <c r="DY643" s="1444"/>
      <c r="DZ643" s="1444"/>
      <c r="EA643" s="1444"/>
      <c r="EB643" s="1444"/>
      <c r="EC643" s="1444" t="e">
        <f t="shared" si="4"/>
        <v>#VALUE!</v>
      </c>
      <c r="ED643" s="1444"/>
      <c r="EE643" s="1444"/>
      <c r="EF643" s="1444"/>
      <c r="EG643" s="1444"/>
      <c r="EH643" s="1444" t="e">
        <f t="shared" si="5"/>
        <v>#VALUE!</v>
      </c>
      <c r="EI643" s="1444"/>
      <c r="EJ643" s="1444"/>
      <c r="EK643" s="1444"/>
      <c r="EL643" s="1444"/>
      <c r="EM643" s="1444" t="e">
        <f t="shared" si="6"/>
        <v>#VALUE!</v>
      </c>
      <c r="EN643" s="1444"/>
      <c r="EO643" s="1444"/>
      <c r="EP643" s="1444"/>
      <c r="EQ643" s="1444"/>
      <c r="ER643" s="1444" t="e">
        <f t="shared" si="7"/>
        <v>#VALUE!</v>
      </c>
      <c r="ES643" s="1444"/>
      <c r="ET643" s="1444"/>
      <c r="EU643" s="1444"/>
      <c r="EV643" s="1444"/>
      <c r="EW643" s="1444" t="e">
        <f t="shared" si="8"/>
        <v>#VALUE!</v>
      </c>
      <c r="EX643" s="1444"/>
      <c r="EY643" s="1444"/>
      <c r="EZ643" s="1444"/>
      <c r="FA643" s="1444"/>
    </row>
    <row r="644" spans="1:157" ht="12.95" customHeight="1">
      <c r="A644" s="22"/>
      <c r="B644" t="s">
        <v>85</v>
      </c>
      <c r="G644" s="1415" t="s">
        <v>2726</v>
      </c>
      <c r="H644" s="1370"/>
      <c r="I644" s="1370"/>
      <c r="J644" s="1370"/>
      <c r="K644" s="1370"/>
      <c r="L644" s="1370"/>
      <c r="M644" s="1370"/>
      <c r="N644" s="1370"/>
      <c r="O644" s="1370"/>
      <c r="P644" s="1370"/>
      <c r="Q644" s="1370"/>
      <c r="R644" s="1370"/>
      <c r="S644" s="8"/>
      <c r="T644" s="22"/>
      <c r="U644" t="s">
        <v>85</v>
      </c>
      <c r="Z644" s="1370" t="s">
        <v>2636</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4" t="e">
        <f t="shared" si="3"/>
        <v>#VALUE!</v>
      </c>
      <c r="DY644" s="1444"/>
      <c r="DZ644" s="1444"/>
      <c r="EA644" s="1444"/>
      <c r="EB644" s="1444"/>
      <c r="EC644" s="1444" t="e">
        <f t="shared" si="4"/>
        <v>#VALUE!</v>
      </c>
      <c r="ED644" s="1444"/>
      <c r="EE644" s="1444"/>
      <c r="EF644" s="1444"/>
      <c r="EG644" s="1444"/>
      <c r="EH644" s="1444" t="e">
        <f t="shared" si="5"/>
        <v>#VALUE!</v>
      </c>
      <c r="EI644" s="1444"/>
      <c r="EJ644" s="1444"/>
      <c r="EK644" s="1444"/>
      <c r="EL644" s="1444"/>
      <c r="EM644" s="1444" t="e">
        <f t="shared" si="6"/>
        <v>#VALUE!</v>
      </c>
      <c r="EN644" s="1444"/>
      <c r="EO644" s="1444"/>
      <c r="EP644" s="1444"/>
      <c r="EQ644" s="1444"/>
      <c r="ER644" s="1444" t="e">
        <f t="shared" si="7"/>
        <v>#VALUE!</v>
      </c>
      <c r="ES644" s="1444"/>
      <c r="ET644" s="1444"/>
      <c r="EU644" s="1444"/>
      <c r="EV644" s="1444"/>
      <c r="EW644" s="1444" t="e">
        <f t="shared" si="8"/>
        <v>#VALUE!</v>
      </c>
      <c r="EX644" s="1444"/>
      <c r="EY644" s="1444"/>
      <c r="EZ644" s="1444"/>
      <c r="FA644" s="1444"/>
    </row>
    <row r="645" spans="1:157" ht="12.95" customHeight="1">
      <c r="A645" s="22"/>
      <c r="B645" t="s">
        <v>581</v>
      </c>
      <c r="G645" s="1415" t="s">
        <v>2727</v>
      </c>
      <c r="H645" s="1370"/>
      <c r="I645" s="1370"/>
      <c r="J645" s="1370"/>
      <c r="K645" s="1370"/>
      <c r="L645" s="1370"/>
      <c r="M645" s="1370"/>
      <c r="N645" s="1370"/>
      <c r="O645" s="1370"/>
      <c r="P645" s="1370"/>
      <c r="Q645" s="1370"/>
      <c r="R645" s="1370"/>
      <c r="T645" s="22"/>
      <c r="U645" t="s">
        <v>581</v>
      </c>
      <c r="Z645" s="1347" t="s">
        <v>2652</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3"/>
        <v>#VALUE!</v>
      </c>
      <c r="DY645" s="1444"/>
      <c r="DZ645" s="1444"/>
      <c r="EA645" s="1444"/>
      <c r="EB645" s="1444"/>
      <c r="EC645" s="1444" t="e">
        <f t="shared" si="4"/>
        <v>#VALUE!</v>
      </c>
      <c r="ED645" s="1444"/>
      <c r="EE645" s="1444"/>
      <c r="EF645" s="1444"/>
      <c r="EG645" s="1444"/>
      <c r="EH645" s="1444" t="e">
        <f t="shared" si="5"/>
        <v>#VALUE!</v>
      </c>
      <c r="EI645" s="1444"/>
      <c r="EJ645" s="1444"/>
      <c r="EK645" s="1444"/>
      <c r="EL645" s="1444"/>
      <c r="EM645" s="1444" t="e">
        <f t="shared" si="6"/>
        <v>#VALUE!</v>
      </c>
      <c r="EN645" s="1444"/>
      <c r="EO645" s="1444"/>
      <c r="EP645" s="1444"/>
      <c r="EQ645" s="1444"/>
      <c r="ER645" s="1444" t="e">
        <f t="shared" si="7"/>
        <v>#VALUE!</v>
      </c>
      <c r="ES645" s="1444"/>
      <c r="ET645" s="1444"/>
      <c r="EU645" s="1444"/>
      <c r="EV645" s="1444"/>
      <c r="EW645" s="1444" t="e">
        <f t="shared" si="8"/>
        <v>#VALUE!</v>
      </c>
      <c r="EX645" s="1444"/>
      <c r="EY645" s="1444"/>
      <c r="EZ645" s="1444"/>
      <c r="FA645" s="1444"/>
    </row>
    <row r="646" spans="1:157" ht="12.95" customHeight="1">
      <c r="A646" s="22"/>
      <c r="B646" t="s">
        <v>17</v>
      </c>
      <c r="G646" s="1415" t="s">
        <v>2728</v>
      </c>
      <c r="H646" s="1370"/>
      <c r="I646" s="1370"/>
      <c r="J646" s="1370"/>
      <c r="K646" s="1370"/>
      <c r="L646" s="1370"/>
      <c r="M646" s="1370"/>
      <c r="N646" s="1370"/>
      <c r="O646" s="1370"/>
      <c r="P646" s="1370"/>
      <c r="Q646" s="1370"/>
      <c r="R646" s="1370"/>
      <c r="S646" s="8"/>
      <c r="T646" s="22"/>
      <c r="U646" t="s">
        <v>17</v>
      </c>
      <c r="Z646" s="1347" t="s">
        <v>2612</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3"/>
        <v>#VALUE!</v>
      </c>
      <c r="DY646" s="1444"/>
      <c r="DZ646" s="1444"/>
      <c r="EA646" s="1444"/>
      <c r="EB646" s="1444"/>
      <c r="EC646" s="1444" t="e">
        <f t="shared" si="4"/>
        <v>#VALUE!</v>
      </c>
      <c r="ED646" s="1444"/>
      <c r="EE646" s="1444"/>
      <c r="EF646" s="1444"/>
      <c r="EG646" s="1444"/>
      <c r="EH646" s="1444" t="e">
        <f t="shared" si="5"/>
        <v>#VALUE!</v>
      </c>
      <c r="EI646" s="1444"/>
      <c r="EJ646" s="1444"/>
      <c r="EK646" s="1444"/>
      <c r="EL646" s="1444"/>
      <c r="EM646" s="1444" t="e">
        <f t="shared" si="6"/>
        <v>#VALUE!</v>
      </c>
      <c r="EN646" s="1444"/>
      <c r="EO646" s="1444"/>
      <c r="EP646" s="1444"/>
      <c r="EQ646" s="1444"/>
      <c r="ER646" s="1444" t="e">
        <f t="shared" si="7"/>
        <v>#VALUE!</v>
      </c>
      <c r="ES646" s="1444"/>
      <c r="ET646" s="1444"/>
      <c r="EU646" s="1444"/>
      <c r="EV646" s="1444"/>
      <c r="EW646" s="1444" t="e">
        <f t="shared" si="8"/>
        <v>#VALUE!</v>
      </c>
      <c r="EX646" s="1444"/>
      <c r="EY646" s="1444"/>
      <c r="EZ646" s="1444"/>
      <c r="FA646" s="1444"/>
    </row>
    <row r="647" spans="1:157" ht="12.95" customHeight="1">
      <c r="A647" s="22"/>
      <c r="B647" t="s">
        <v>316</v>
      </c>
      <c r="G647" s="1345">
        <v>9162632771</v>
      </c>
      <c r="H647" s="1345"/>
      <c r="I647" s="1345"/>
      <c r="J647" s="1345"/>
      <c r="K647" s="1345"/>
      <c r="L647" s="1345"/>
      <c r="O647" s="33" t="s">
        <v>206</v>
      </c>
      <c r="P647" s="1436"/>
      <c r="Q647" s="1436"/>
      <c r="R647" s="1436"/>
      <c r="S647" s="10"/>
      <c r="T647" s="22"/>
      <c r="U647" t="s">
        <v>316</v>
      </c>
      <c r="Z647" s="1680" t="s">
        <v>2639</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3"/>
        <v>#VALUE!</v>
      </c>
      <c r="DY647" s="1444"/>
      <c r="DZ647" s="1444"/>
      <c r="EA647" s="1444"/>
      <c r="EB647" s="1444"/>
      <c r="EC647" s="1444" t="e">
        <f t="shared" si="4"/>
        <v>#VALUE!</v>
      </c>
      <c r="ED647" s="1444"/>
      <c r="EE647" s="1444"/>
      <c r="EF647" s="1444"/>
      <c r="EG647" s="1444"/>
      <c r="EH647" s="1444" t="e">
        <f t="shared" si="5"/>
        <v>#VALUE!</v>
      </c>
      <c r="EI647" s="1444"/>
      <c r="EJ647" s="1444"/>
      <c r="EK647" s="1444"/>
      <c r="EL647" s="1444"/>
      <c r="EM647" s="1444" t="e">
        <f t="shared" si="6"/>
        <v>#VALUE!</v>
      </c>
      <c r="EN647" s="1444"/>
      <c r="EO647" s="1444"/>
      <c r="EP647" s="1444"/>
      <c r="EQ647" s="1444"/>
      <c r="ER647" s="1444" t="e">
        <f t="shared" si="7"/>
        <v>#VALUE!</v>
      </c>
      <c r="ES647" s="1444"/>
      <c r="ET647" s="1444"/>
      <c r="EU647" s="1444"/>
      <c r="EV647" s="1444"/>
      <c r="EW647" s="1444" t="e">
        <f t="shared" si="8"/>
        <v>#VALUE!</v>
      </c>
      <c r="EX647" s="1444"/>
      <c r="EY647" s="1444"/>
      <c r="EZ647" s="1444"/>
      <c r="FA647" s="1444"/>
    </row>
    <row r="648" spans="1:157" ht="12.95" customHeight="1">
      <c r="A648" s="22"/>
      <c r="B648" t="s">
        <v>18</v>
      </c>
      <c r="H648" s="1415" t="s">
        <v>2118</v>
      </c>
      <c r="I648" s="1370"/>
      <c r="J648" s="1370"/>
      <c r="K648" s="1370"/>
      <c r="L648" s="1370"/>
      <c r="M648" s="1370"/>
      <c r="N648" s="1370"/>
      <c r="O648" s="1370"/>
      <c r="P648" s="1370"/>
      <c r="Q648" s="1370"/>
      <c r="R648" s="1370"/>
      <c r="S648" s="8"/>
      <c r="T648" s="22"/>
      <c r="U648" t="s">
        <v>18</v>
      </c>
      <c r="AA648" s="1370" t="str">
        <f>Z643</f>
        <v>Contributed Developer Fee</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4" t="e">
        <f t="shared" si="3"/>
        <v>#VALUE!</v>
      </c>
      <c r="DY648" s="1444"/>
      <c r="DZ648" s="1444"/>
      <c r="EA648" s="1444"/>
      <c r="EB648" s="1444"/>
      <c r="EC648" s="1444" t="e">
        <f t="shared" si="4"/>
        <v>#VALUE!</v>
      </c>
      <c r="ED648" s="1444"/>
      <c r="EE648" s="1444"/>
      <c r="EF648" s="1444"/>
      <c r="EG648" s="1444"/>
      <c r="EH648" s="1444" t="e">
        <f t="shared" si="5"/>
        <v>#VALUE!</v>
      </c>
      <c r="EI648" s="1444"/>
      <c r="EJ648" s="1444"/>
      <c r="EK648" s="1444"/>
      <c r="EL648" s="1444"/>
      <c r="EM648" s="1444" t="e">
        <f t="shared" si="6"/>
        <v>#VALUE!</v>
      </c>
      <c r="EN648" s="1444"/>
      <c r="EO648" s="1444"/>
      <c r="EP648" s="1444"/>
      <c r="EQ648" s="1444"/>
      <c r="ER648" s="1444" t="e">
        <f t="shared" si="7"/>
        <v>#VALUE!</v>
      </c>
      <c r="ES648" s="1444"/>
      <c r="ET648" s="1444"/>
      <c r="EU648" s="1444"/>
      <c r="EV648" s="1444"/>
      <c r="EW648" s="1444" t="e">
        <f t="shared" si="8"/>
        <v>#VALUE!</v>
      </c>
      <c r="EX648" s="1444"/>
      <c r="EY648" s="1444"/>
      <c r="EZ648" s="1444"/>
      <c r="FA648" s="1444"/>
    </row>
    <row r="649" spans="1:157" ht="12.95" customHeight="1">
      <c r="A649" s="22"/>
      <c r="B649" t="s">
        <v>20</v>
      </c>
      <c r="N649" s="1331" t="s">
        <v>670</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3"/>
        <v>#VALUE!</v>
      </c>
      <c r="DY649" s="1444"/>
      <c r="DZ649" s="1444"/>
      <c r="EA649" s="1444"/>
      <c r="EB649" s="1444"/>
      <c r="EC649" s="1444" t="e">
        <f t="shared" si="4"/>
        <v>#VALUE!</v>
      </c>
      <c r="ED649" s="1444"/>
      <c r="EE649" s="1444"/>
      <c r="EF649" s="1444"/>
      <c r="EG649" s="1444"/>
      <c r="EH649" s="1444" t="e">
        <f t="shared" si="5"/>
        <v>#VALUE!</v>
      </c>
      <c r="EI649" s="1444"/>
      <c r="EJ649" s="1444"/>
      <c r="EK649" s="1444"/>
      <c r="EL649" s="1444"/>
      <c r="EM649" s="1444" t="e">
        <f t="shared" si="6"/>
        <v>#VALUE!</v>
      </c>
      <c r="EN649" s="1444"/>
      <c r="EO649" s="1444"/>
      <c r="EP649" s="1444"/>
      <c r="EQ649" s="1444"/>
      <c r="ER649" s="1444" t="e">
        <f t="shared" si="7"/>
        <v>#VALUE!</v>
      </c>
      <c r="ES649" s="1444"/>
      <c r="ET649" s="1444"/>
      <c r="EU649" s="1444"/>
      <c r="EV649" s="1444"/>
      <c r="EW649" s="1444" t="e">
        <f t="shared" si="8"/>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3"/>
        <v>#VALUE!</v>
      </c>
      <c r="DY650" s="1444"/>
      <c r="DZ650" s="1444"/>
      <c r="EA650" s="1444"/>
      <c r="EB650" s="1444"/>
      <c r="EC650" s="1444" t="e">
        <f t="shared" si="4"/>
        <v>#VALUE!</v>
      </c>
      <c r="ED650" s="1444"/>
      <c r="EE650" s="1444"/>
      <c r="EF650" s="1444"/>
      <c r="EG650" s="1444"/>
      <c r="EH650" s="1444" t="e">
        <f t="shared" si="5"/>
        <v>#VALUE!</v>
      </c>
      <c r="EI650" s="1444"/>
      <c r="EJ650" s="1444"/>
      <c r="EK650" s="1444"/>
      <c r="EL650" s="1444"/>
      <c r="EM650" s="1444" t="e">
        <f t="shared" si="6"/>
        <v>#VALUE!</v>
      </c>
      <c r="EN650" s="1444"/>
      <c r="EO650" s="1444"/>
      <c r="EP650" s="1444"/>
      <c r="EQ650" s="1444"/>
      <c r="ER650" s="1444" t="e">
        <f t="shared" si="7"/>
        <v>#VALUE!</v>
      </c>
      <c r="ES650" s="1444"/>
      <c r="ET650" s="1444"/>
      <c r="EU650" s="1444"/>
      <c r="EV650" s="1444"/>
      <c r="EW650" s="1444" t="e">
        <f t="shared" si="8"/>
        <v>#VALUE!</v>
      </c>
      <c r="EX650" s="1444"/>
      <c r="EY650" s="1444"/>
      <c r="EZ650" s="1444"/>
      <c r="FA650" s="1444"/>
    </row>
    <row r="651" spans="1:157" ht="12.95" customHeight="1">
      <c r="A651" s="55" t="s">
        <v>119</v>
      </c>
      <c r="B651" t="s">
        <v>464</v>
      </c>
      <c r="G651" s="1357" t="str">
        <f>C629</f>
        <v>R2H2 City Loan</v>
      </c>
      <c r="H651" s="1357"/>
      <c r="I651" s="1357"/>
      <c r="J651" s="1357"/>
      <c r="K651" s="1357"/>
      <c r="L651" s="1357"/>
      <c r="M651" s="1357"/>
      <c r="N651" s="1357"/>
      <c r="O651" s="1357"/>
      <c r="P651" s="1357"/>
      <c r="Q651" s="1357"/>
      <c r="R651" s="1357"/>
      <c r="T651" s="55" t="s">
        <v>582</v>
      </c>
      <c r="U651" t="s">
        <v>464</v>
      </c>
      <c r="Z651" s="1357" t="str">
        <f>C630</f>
        <v>Accel Opportunity Fund VII, LP</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3"/>
        <v>#VALUE!</v>
      </c>
      <c r="DY651" s="1444"/>
      <c r="DZ651" s="1444"/>
      <c r="EA651" s="1444"/>
      <c r="EB651" s="1444"/>
      <c r="EC651" s="1444" t="e">
        <f t="shared" si="4"/>
        <v>#VALUE!</v>
      </c>
      <c r="ED651" s="1444"/>
      <c r="EE651" s="1444"/>
      <c r="EF651" s="1444"/>
      <c r="EG651" s="1444"/>
      <c r="EH651" s="1444" t="e">
        <f t="shared" si="5"/>
        <v>#VALUE!</v>
      </c>
      <c r="EI651" s="1444"/>
      <c r="EJ651" s="1444"/>
      <c r="EK651" s="1444"/>
      <c r="EL651" s="1444"/>
      <c r="EM651" s="1444" t="e">
        <f t="shared" si="6"/>
        <v>#VALUE!</v>
      </c>
      <c r="EN651" s="1444"/>
      <c r="EO651" s="1444"/>
      <c r="EP651" s="1444"/>
      <c r="EQ651" s="1444"/>
      <c r="ER651" s="1444" t="e">
        <f t="shared" si="7"/>
        <v>#VALUE!</v>
      </c>
      <c r="ES651" s="1444"/>
      <c r="ET651" s="1444"/>
      <c r="EU651" s="1444"/>
      <c r="EV651" s="1444"/>
      <c r="EW651" s="1444" t="e">
        <f t="shared" si="8"/>
        <v>#VALUE!</v>
      </c>
      <c r="EX651" s="1444"/>
      <c r="EY651" s="1444"/>
      <c r="EZ651" s="1444"/>
      <c r="FA651" s="1444"/>
    </row>
    <row r="652" spans="1:157" ht="12.95" customHeight="1">
      <c r="A652" s="22"/>
      <c r="B652" t="s">
        <v>85</v>
      </c>
      <c r="G652" s="1370" t="s">
        <v>2708</v>
      </c>
      <c r="H652" s="1370"/>
      <c r="I652" s="1370"/>
      <c r="J652" s="1370"/>
      <c r="K652" s="1370"/>
      <c r="L652" s="1370"/>
      <c r="M652" s="1370"/>
      <c r="N652" s="1370"/>
      <c r="O652" s="1370"/>
      <c r="P652" s="1370"/>
      <c r="Q652" s="1370"/>
      <c r="R652" s="1370"/>
      <c r="T652" s="22"/>
      <c r="U652" t="s">
        <v>85</v>
      </c>
      <c r="Z652" s="1370" t="s">
        <v>2735</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4" t="e">
        <f t="shared" si="3"/>
        <v>#VALUE!</v>
      </c>
      <c r="DY652" s="1444"/>
      <c r="DZ652" s="1444"/>
      <c r="EA652" s="1444"/>
      <c r="EB652" s="1444"/>
      <c r="EC652" s="1444" t="e">
        <f t="shared" si="4"/>
        <v>#VALUE!</v>
      </c>
      <c r="ED652" s="1444"/>
      <c r="EE652" s="1444"/>
      <c r="EF652" s="1444"/>
      <c r="EG652" s="1444"/>
      <c r="EH652" s="1444" t="e">
        <f t="shared" si="5"/>
        <v>#VALUE!</v>
      </c>
      <c r="EI652" s="1444"/>
      <c r="EJ652" s="1444"/>
      <c r="EK652" s="1444"/>
      <c r="EL652" s="1444"/>
      <c r="EM652" s="1444" t="e">
        <f t="shared" si="6"/>
        <v>#VALUE!</v>
      </c>
      <c r="EN652" s="1444"/>
      <c r="EO652" s="1444"/>
      <c r="EP652" s="1444"/>
      <c r="EQ652" s="1444"/>
      <c r="ER652" s="1444" t="e">
        <f t="shared" si="7"/>
        <v>#VALUE!</v>
      </c>
      <c r="ES652" s="1444"/>
      <c r="ET652" s="1444"/>
      <c r="EU652" s="1444"/>
      <c r="EV652" s="1444"/>
      <c r="EW652" s="1444" t="e">
        <f t="shared" si="8"/>
        <v>#VALUE!</v>
      </c>
      <c r="EX652" s="1444"/>
      <c r="EY652" s="1444"/>
      <c r="EZ652" s="1444"/>
      <c r="FA652" s="1444"/>
    </row>
    <row r="653" spans="1:157" ht="12.95" customHeight="1">
      <c r="A653" s="22"/>
      <c r="B653" t="s">
        <v>581</v>
      </c>
      <c r="G653" s="1347" t="s">
        <v>2709</v>
      </c>
      <c r="H653" s="1347"/>
      <c r="I653" s="1347"/>
      <c r="J653" s="1347"/>
      <c r="K653" s="1347"/>
      <c r="L653" s="1347"/>
      <c r="M653" s="1347"/>
      <c r="N653" s="1347"/>
      <c r="O653" s="1347"/>
      <c r="P653" s="1347"/>
      <c r="Q653" s="1347"/>
      <c r="R653" s="1347"/>
      <c r="T653" s="22"/>
      <c r="U653" t="s">
        <v>581</v>
      </c>
      <c r="Z653" s="1347" t="s">
        <v>2734</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3"/>
        <v>#VALUE!</v>
      </c>
      <c r="DY653" s="1444"/>
      <c r="DZ653" s="1444"/>
      <c r="EA653" s="1444"/>
      <c r="EB653" s="1444"/>
      <c r="EC653" s="1444" t="e">
        <f t="shared" si="4"/>
        <v>#VALUE!</v>
      </c>
      <c r="ED653" s="1444"/>
      <c r="EE653" s="1444"/>
      <c r="EF653" s="1444"/>
      <c r="EG653" s="1444"/>
      <c r="EH653" s="1444" t="e">
        <f t="shared" si="5"/>
        <v>#VALUE!</v>
      </c>
      <c r="EI653" s="1444"/>
      <c r="EJ653" s="1444"/>
      <c r="EK653" s="1444"/>
      <c r="EL653" s="1444"/>
      <c r="EM653" s="1444" t="e">
        <f t="shared" si="6"/>
        <v>#VALUE!</v>
      </c>
      <c r="EN653" s="1444"/>
      <c r="EO653" s="1444"/>
      <c r="EP653" s="1444"/>
      <c r="EQ653" s="1444"/>
      <c r="ER653" s="1444" t="e">
        <f t="shared" si="7"/>
        <v>#VALUE!</v>
      </c>
      <c r="ES653" s="1444"/>
      <c r="ET653" s="1444"/>
      <c r="EU653" s="1444"/>
      <c r="EV653" s="1444"/>
      <c r="EW653" s="1444" t="e">
        <f t="shared" si="8"/>
        <v>#VALUE!</v>
      </c>
      <c r="EX653" s="1444"/>
      <c r="EY653" s="1444"/>
      <c r="EZ653" s="1444"/>
      <c r="FA653" s="1444"/>
    </row>
    <row r="654" spans="1:157" ht="12.95" customHeight="1">
      <c r="A654" s="22"/>
      <c r="B654" t="s">
        <v>17</v>
      </c>
      <c r="G654" s="1347" t="s">
        <v>2710</v>
      </c>
      <c r="H654" s="1347"/>
      <c r="I654" s="1347"/>
      <c r="J654" s="1347"/>
      <c r="K654" s="1347"/>
      <c r="L654" s="1347"/>
      <c r="M654" s="1347"/>
      <c r="N654" s="1347"/>
      <c r="O654" s="1347"/>
      <c r="P654" s="1347"/>
      <c r="Q654" s="1347"/>
      <c r="R654" s="1347"/>
      <c r="T654" s="22"/>
      <c r="U654" t="s">
        <v>17</v>
      </c>
      <c r="Z654" s="1347" t="s">
        <v>2612</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3"/>
        <v>#VALUE!</v>
      </c>
      <c r="DY654" s="1444"/>
      <c r="DZ654" s="1444"/>
      <c r="EA654" s="1444"/>
      <c r="EB654" s="1444"/>
      <c r="EC654" s="1444" t="e">
        <f t="shared" si="4"/>
        <v>#VALUE!</v>
      </c>
      <c r="ED654" s="1444"/>
      <c r="EE654" s="1444"/>
      <c r="EF654" s="1444"/>
      <c r="EG654" s="1444"/>
      <c r="EH654" s="1444" t="e">
        <f t="shared" si="5"/>
        <v>#VALUE!</v>
      </c>
      <c r="EI654" s="1444"/>
      <c r="EJ654" s="1444"/>
      <c r="EK654" s="1444"/>
      <c r="EL654" s="1444"/>
      <c r="EM654" s="1444" t="e">
        <f t="shared" si="6"/>
        <v>#VALUE!</v>
      </c>
      <c r="EN654" s="1444"/>
      <c r="EO654" s="1444"/>
      <c r="EP654" s="1444"/>
      <c r="EQ654" s="1444"/>
      <c r="ER654" s="1444" t="e">
        <f t="shared" si="7"/>
        <v>#VALUE!</v>
      </c>
      <c r="ES654" s="1444"/>
      <c r="ET654" s="1444"/>
      <c r="EU654" s="1444"/>
      <c r="EV654" s="1444"/>
      <c r="EW654" s="1444" t="e">
        <f t="shared" si="8"/>
        <v>#VALUE!</v>
      </c>
      <c r="EX654" s="1444"/>
      <c r="EY654" s="1444"/>
      <c r="EZ654" s="1444"/>
      <c r="FA654" s="1444"/>
    </row>
    <row r="655" spans="1:157" ht="12.95" customHeight="1">
      <c r="A655" s="22"/>
      <c r="B655" t="s">
        <v>316</v>
      </c>
      <c r="G655" s="1345" t="s">
        <v>2711</v>
      </c>
      <c r="H655" s="1345"/>
      <c r="I655" s="1345"/>
      <c r="J655" s="1345"/>
      <c r="K655" s="1345"/>
      <c r="L655" s="1345"/>
      <c r="O655" s="33" t="s">
        <v>206</v>
      </c>
      <c r="P655" s="1436"/>
      <c r="Q655" s="1436"/>
      <c r="R655" s="1436"/>
      <c r="T655" s="22"/>
      <c r="U655" t="s">
        <v>316</v>
      </c>
      <c r="Z655" s="1680" t="s">
        <v>2639</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3"/>
        <v>#VALUE!</v>
      </c>
      <c r="DY655" s="1444"/>
      <c r="DZ655" s="1444"/>
      <c r="EA655" s="1444"/>
      <c r="EB655" s="1444"/>
      <c r="EC655" s="1444" t="e">
        <f t="shared" si="4"/>
        <v>#VALUE!</v>
      </c>
      <c r="ED655" s="1444"/>
      <c r="EE655" s="1444"/>
      <c r="EF655" s="1444"/>
      <c r="EG655" s="1444"/>
      <c r="EH655" s="1444" t="e">
        <f t="shared" si="5"/>
        <v>#VALUE!</v>
      </c>
      <c r="EI655" s="1444"/>
      <c r="EJ655" s="1444"/>
      <c r="EK655" s="1444"/>
      <c r="EL655" s="1444"/>
      <c r="EM655" s="1444" t="e">
        <f t="shared" si="6"/>
        <v>#VALUE!</v>
      </c>
      <c r="EN655" s="1444"/>
      <c r="EO655" s="1444"/>
      <c r="EP655" s="1444"/>
      <c r="EQ655" s="1444"/>
      <c r="ER655" s="1444" t="e">
        <f t="shared" si="7"/>
        <v>#VALUE!</v>
      </c>
      <c r="ES655" s="1444"/>
      <c r="ET655" s="1444"/>
      <c r="EU655" s="1444"/>
      <c r="EV655" s="1444"/>
      <c r="EW655" s="1444" t="e">
        <f t="shared" si="8"/>
        <v>#VALUE!</v>
      </c>
      <c r="EX655" s="1444"/>
      <c r="EY655" s="1444"/>
      <c r="EZ655" s="1444"/>
      <c r="FA655" s="1444"/>
    </row>
    <row r="656" spans="1:157" ht="12.95" customHeight="1">
      <c r="A656" s="22"/>
      <c r="B656" t="s">
        <v>18</v>
      </c>
      <c r="H656" s="1370" t="s">
        <v>2118</v>
      </c>
      <c r="I656" s="1370"/>
      <c r="J656" s="1370"/>
      <c r="K656" s="1370"/>
      <c r="L656" s="1370"/>
      <c r="M656" s="1370"/>
      <c r="N656" s="1370"/>
      <c r="O656" s="1370"/>
      <c r="P656" s="1370"/>
      <c r="Q656" s="1370"/>
      <c r="R656" s="1370"/>
      <c r="T656" s="22"/>
      <c r="U656" t="s">
        <v>18</v>
      </c>
      <c r="AA656" s="1370" t="s">
        <v>2733</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4" t="e">
        <f t="shared" si="3"/>
        <v>#VALUE!</v>
      </c>
      <c r="DY656" s="1444"/>
      <c r="DZ656" s="1444"/>
      <c r="EA656" s="1444"/>
      <c r="EB656" s="1444"/>
      <c r="EC656" s="1444" t="e">
        <f t="shared" si="4"/>
        <v>#VALUE!</v>
      </c>
      <c r="ED656" s="1444"/>
      <c r="EE656" s="1444"/>
      <c r="EF656" s="1444"/>
      <c r="EG656" s="1444"/>
      <c r="EH656" s="1444" t="e">
        <f t="shared" si="5"/>
        <v>#VALUE!</v>
      </c>
      <c r="EI656" s="1444"/>
      <c r="EJ656" s="1444"/>
      <c r="EK656" s="1444"/>
      <c r="EL656" s="1444"/>
      <c r="EM656" s="1444" t="e">
        <f t="shared" si="6"/>
        <v>#VALUE!</v>
      </c>
      <c r="EN656" s="1444"/>
      <c r="EO656" s="1444"/>
      <c r="EP656" s="1444"/>
      <c r="EQ656" s="1444"/>
      <c r="ER656" s="1444" t="e">
        <f t="shared" si="7"/>
        <v>#VALUE!</v>
      </c>
      <c r="ES656" s="1444"/>
      <c r="ET656" s="1444"/>
      <c r="EU656" s="1444"/>
      <c r="EV656" s="1444"/>
      <c r="EW656" s="1444" t="e">
        <f t="shared" si="8"/>
        <v>#VALUE!</v>
      </c>
      <c r="EX656" s="1444"/>
      <c r="EY656" s="1444"/>
      <c r="EZ656" s="1444"/>
      <c r="FA656" s="1444"/>
    </row>
    <row r="657" spans="1:157" ht="12.95"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3"/>
        <v>#VALUE!</v>
      </c>
      <c r="DY657" s="1444"/>
      <c r="DZ657" s="1444"/>
      <c r="EA657" s="1444"/>
      <c r="EB657" s="1444"/>
      <c r="EC657" s="1444" t="e">
        <f t="shared" si="4"/>
        <v>#VALUE!</v>
      </c>
      <c r="ED657" s="1444"/>
      <c r="EE657" s="1444"/>
      <c r="EF657" s="1444"/>
      <c r="EG657" s="1444"/>
      <c r="EH657" s="1444" t="e">
        <f t="shared" si="5"/>
        <v>#VALUE!</v>
      </c>
      <c r="EI657" s="1444"/>
      <c r="EJ657" s="1444"/>
      <c r="EK657" s="1444"/>
      <c r="EL657" s="1444"/>
      <c r="EM657" s="1444" t="e">
        <f t="shared" si="6"/>
        <v>#VALUE!</v>
      </c>
      <c r="EN657" s="1444"/>
      <c r="EO657" s="1444"/>
      <c r="EP657" s="1444"/>
      <c r="EQ657" s="1444"/>
      <c r="ER657" s="1444" t="e">
        <f t="shared" si="7"/>
        <v>#VALUE!</v>
      </c>
      <c r="ES657" s="1444"/>
      <c r="ET657" s="1444"/>
      <c r="EU657" s="1444"/>
      <c r="EV657" s="1444"/>
      <c r="EW657" s="1444" t="e">
        <f t="shared" si="8"/>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3"/>
        <v>#VALUE!</v>
      </c>
      <c r="DY658" s="1444"/>
      <c r="DZ658" s="1444"/>
      <c r="EA658" s="1444"/>
      <c r="EB658" s="1444"/>
      <c r="EC658" s="1444" t="e">
        <f t="shared" si="4"/>
        <v>#VALUE!</v>
      </c>
      <c r="ED658" s="1444"/>
      <c r="EE658" s="1444"/>
      <c r="EF658" s="1444"/>
      <c r="EG658" s="1444"/>
      <c r="EH658" s="1444" t="e">
        <f t="shared" si="5"/>
        <v>#VALUE!</v>
      </c>
      <c r="EI658" s="1444"/>
      <c r="EJ658" s="1444"/>
      <c r="EK658" s="1444"/>
      <c r="EL658" s="1444"/>
      <c r="EM658" s="1444" t="e">
        <f t="shared" si="6"/>
        <v>#VALUE!</v>
      </c>
      <c r="EN658" s="1444"/>
      <c r="EO658" s="1444"/>
      <c r="EP658" s="1444"/>
      <c r="EQ658" s="1444"/>
      <c r="ER658" s="1444" t="e">
        <f t="shared" si="7"/>
        <v>#VALUE!</v>
      </c>
      <c r="ES658" s="1444"/>
      <c r="ET658" s="1444"/>
      <c r="EU658" s="1444"/>
      <c r="EV658" s="1444"/>
      <c r="EW658" s="1444" t="e">
        <f t="shared" si="8"/>
        <v>#VALUE!</v>
      </c>
      <c r="EX658" s="1444"/>
      <c r="EY658" s="1444"/>
      <c r="EZ658" s="1444"/>
      <c r="FA658" s="1444"/>
    </row>
    <row r="659" spans="1:157" ht="12.95" customHeight="1">
      <c r="A659" s="55" t="s">
        <v>764</v>
      </c>
      <c r="B659" t="s">
        <v>464</v>
      </c>
      <c r="G659" s="1357" t="str">
        <f>C631</f>
        <v>Deferred Developer Fee</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3"/>
        <v>#VALUE!</v>
      </c>
      <c r="DY659" s="1444"/>
      <c r="DZ659" s="1444"/>
      <c r="EA659" s="1444"/>
      <c r="EB659" s="1444"/>
      <c r="EC659" s="1444" t="e">
        <f t="shared" si="4"/>
        <v>#VALUE!</v>
      </c>
      <c r="ED659" s="1444"/>
      <c r="EE659" s="1444"/>
      <c r="EF659" s="1444"/>
      <c r="EG659" s="1444"/>
      <c r="EH659" s="1444" t="e">
        <f t="shared" si="5"/>
        <v>#VALUE!</v>
      </c>
      <c r="EI659" s="1444"/>
      <c r="EJ659" s="1444"/>
      <c r="EK659" s="1444"/>
      <c r="EL659" s="1444"/>
      <c r="EM659" s="1444" t="e">
        <f t="shared" si="6"/>
        <v>#VALUE!</v>
      </c>
      <c r="EN659" s="1444"/>
      <c r="EO659" s="1444"/>
      <c r="EP659" s="1444"/>
      <c r="EQ659" s="1444"/>
      <c r="ER659" s="1444" t="e">
        <f t="shared" si="7"/>
        <v>#VALUE!</v>
      </c>
      <c r="ES659" s="1444"/>
      <c r="ET659" s="1444"/>
      <c r="EU659" s="1444"/>
      <c r="EV659" s="1444"/>
      <c r="EW659" s="1444" t="e">
        <f t="shared" si="8"/>
        <v>#VALUE!</v>
      </c>
      <c r="EX659" s="1444"/>
      <c r="EY659" s="1444"/>
      <c r="EZ659" s="1444"/>
      <c r="FA659" s="1444"/>
    </row>
    <row r="660" spans="1:157" ht="12.95" customHeight="1">
      <c r="A660" s="22"/>
      <c r="B660" t="s">
        <v>85</v>
      </c>
      <c r="G660" s="1370" t="s">
        <v>2636</v>
      </c>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4" t="e">
        <f t="shared" si="3"/>
        <v>#VALUE!</v>
      </c>
      <c r="DY660" s="1444"/>
      <c r="DZ660" s="1444"/>
      <c r="EA660" s="1444"/>
      <c r="EB660" s="1444"/>
      <c r="EC660" s="1444" t="e">
        <f t="shared" si="4"/>
        <v>#VALUE!</v>
      </c>
      <c r="ED660" s="1444"/>
      <c r="EE660" s="1444"/>
      <c r="EF660" s="1444"/>
      <c r="EG660" s="1444"/>
      <c r="EH660" s="1444" t="e">
        <f t="shared" si="5"/>
        <v>#VALUE!</v>
      </c>
      <c r="EI660" s="1444"/>
      <c r="EJ660" s="1444"/>
      <c r="EK660" s="1444"/>
      <c r="EL660" s="1444"/>
      <c r="EM660" s="1444" t="e">
        <f t="shared" si="6"/>
        <v>#VALUE!</v>
      </c>
      <c r="EN660" s="1444"/>
      <c r="EO660" s="1444"/>
      <c r="EP660" s="1444"/>
      <c r="EQ660" s="1444"/>
      <c r="ER660" s="1444" t="e">
        <f t="shared" si="7"/>
        <v>#VALUE!</v>
      </c>
      <c r="ES660" s="1444"/>
      <c r="ET660" s="1444"/>
      <c r="EU660" s="1444"/>
      <c r="EV660" s="1444"/>
      <c r="EW660" s="1444" t="e">
        <f t="shared" si="8"/>
        <v>#VALUE!</v>
      </c>
      <c r="EX660" s="1444"/>
      <c r="EY660" s="1444"/>
      <c r="EZ660" s="1444"/>
      <c r="FA660" s="1444"/>
    </row>
    <row r="661" spans="1:157" ht="12.95" customHeight="1">
      <c r="A661" s="22"/>
      <c r="B661" t="s">
        <v>581</v>
      </c>
      <c r="G661" s="1370" t="s">
        <v>2652</v>
      </c>
      <c r="H661" s="1370"/>
      <c r="I661" s="1370"/>
      <c r="J661" s="1370"/>
      <c r="K661" s="1370"/>
      <c r="L661" s="1370"/>
      <c r="M661" s="1370"/>
      <c r="N661" s="1370"/>
      <c r="O661" s="1370"/>
      <c r="P661" s="1370"/>
      <c r="Q661" s="1370"/>
      <c r="R661" s="1370"/>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3"/>
        <v>#VALUE!</v>
      </c>
      <c r="DY661" s="1444"/>
      <c r="DZ661" s="1444"/>
      <c r="EA661" s="1444"/>
      <c r="EB661" s="1444"/>
      <c r="EC661" s="1444" t="e">
        <f t="shared" si="4"/>
        <v>#VALUE!</v>
      </c>
      <c r="ED661" s="1444"/>
      <c r="EE661" s="1444"/>
      <c r="EF661" s="1444"/>
      <c r="EG661" s="1444"/>
      <c r="EH661" s="1444" t="e">
        <f t="shared" si="5"/>
        <v>#VALUE!</v>
      </c>
      <c r="EI661" s="1444"/>
      <c r="EJ661" s="1444"/>
      <c r="EK661" s="1444"/>
      <c r="EL661" s="1444"/>
      <c r="EM661" s="1444" t="e">
        <f t="shared" si="6"/>
        <v>#VALUE!</v>
      </c>
      <c r="EN661" s="1444"/>
      <c r="EO661" s="1444"/>
      <c r="EP661" s="1444"/>
      <c r="EQ661" s="1444"/>
      <c r="ER661" s="1444" t="e">
        <f t="shared" si="7"/>
        <v>#VALUE!</v>
      </c>
      <c r="ES661" s="1444"/>
      <c r="ET661" s="1444"/>
      <c r="EU661" s="1444"/>
      <c r="EV661" s="1444"/>
      <c r="EW661" s="1444" t="e">
        <f t="shared" si="8"/>
        <v>#VALUE!</v>
      </c>
      <c r="EX661" s="1444"/>
      <c r="EY661" s="1444"/>
      <c r="EZ661" s="1444"/>
      <c r="FA661" s="1444"/>
    </row>
    <row r="662" spans="1:157" ht="12.95" customHeight="1">
      <c r="A662" s="22"/>
      <c r="B662" t="s">
        <v>17</v>
      </c>
      <c r="G662" s="1370" t="s">
        <v>2612</v>
      </c>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3"/>
        <v>#VALUE!</v>
      </c>
      <c r="DY662" s="1444"/>
      <c r="DZ662" s="1444"/>
      <c r="EA662" s="1444"/>
      <c r="EB662" s="1444"/>
      <c r="EC662" s="1444" t="e">
        <f t="shared" si="4"/>
        <v>#VALUE!</v>
      </c>
      <c r="ED662" s="1444"/>
      <c r="EE662" s="1444"/>
      <c r="EF662" s="1444"/>
      <c r="EG662" s="1444"/>
      <c r="EH662" s="1444" t="e">
        <f t="shared" si="5"/>
        <v>#VALUE!</v>
      </c>
      <c r="EI662" s="1444"/>
      <c r="EJ662" s="1444"/>
      <c r="EK662" s="1444"/>
      <c r="EL662" s="1444"/>
      <c r="EM662" s="1444" t="e">
        <f t="shared" si="6"/>
        <v>#VALUE!</v>
      </c>
      <c r="EN662" s="1444"/>
      <c r="EO662" s="1444"/>
      <c r="EP662" s="1444"/>
      <c r="EQ662" s="1444"/>
      <c r="ER662" s="1444" t="e">
        <f t="shared" si="7"/>
        <v>#VALUE!</v>
      </c>
      <c r="ES662" s="1444"/>
      <c r="ET662" s="1444"/>
      <c r="EU662" s="1444"/>
      <c r="EV662" s="1444"/>
      <c r="EW662" s="1444" t="e">
        <f t="shared" si="8"/>
        <v>#VALUE!</v>
      </c>
      <c r="EX662" s="1444"/>
      <c r="EY662" s="1444"/>
      <c r="EZ662" s="1444"/>
      <c r="FA662" s="1444"/>
    </row>
    <row r="663" spans="1:157" ht="12.95" customHeight="1">
      <c r="A663" s="22"/>
      <c r="B663" t="s">
        <v>316</v>
      </c>
      <c r="G663" s="1345" t="str">
        <f>Z655</f>
        <v>805-807-5555</v>
      </c>
      <c r="H663" s="1345"/>
      <c r="I663" s="1345"/>
      <c r="J663" s="1345"/>
      <c r="K663" s="1345"/>
      <c r="L663" s="1345"/>
      <c r="O663" s="33" t="s">
        <v>206</v>
      </c>
      <c r="P663" s="1436"/>
      <c r="Q663" s="1436"/>
      <c r="R663" s="1436"/>
      <c r="T663" s="22"/>
      <c r="U663" t="s">
        <v>316</v>
      </c>
      <c r="Z663" s="1680"/>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3"/>
        <v>#VALUE!</v>
      </c>
      <c r="DY663" s="1444"/>
      <c r="DZ663" s="1444"/>
      <c r="EA663" s="1444"/>
      <c r="EB663" s="1444"/>
      <c r="EC663" s="1444" t="e">
        <f t="shared" si="4"/>
        <v>#VALUE!</v>
      </c>
      <c r="ED663" s="1444"/>
      <c r="EE663" s="1444"/>
      <c r="EF663" s="1444"/>
      <c r="EG663" s="1444"/>
      <c r="EH663" s="1444" t="e">
        <f t="shared" si="5"/>
        <v>#VALUE!</v>
      </c>
      <c r="EI663" s="1444"/>
      <c r="EJ663" s="1444"/>
      <c r="EK663" s="1444"/>
      <c r="EL663" s="1444"/>
      <c r="EM663" s="1444" t="e">
        <f t="shared" si="6"/>
        <v>#VALUE!</v>
      </c>
      <c r="EN663" s="1444"/>
      <c r="EO663" s="1444"/>
      <c r="EP663" s="1444"/>
      <c r="EQ663" s="1444"/>
      <c r="ER663" s="1444" t="e">
        <f t="shared" si="7"/>
        <v>#VALUE!</v>
      </c>
      <c r="ES663" s="1444"/>
      <c r="ET663" s="1444"/>
      <c r="EU663" s="1444"/>
      <c r="EV663" s="1444"/>
      <c r="EW663" s="1444" t="e">
        <f t="shared" si="8"/>
        <v>#VALUE!</v>
      </c>
      <c r="EX663" s="1444"/>
      <c r="EY663" s="1444"/>
      <c r="EZ663" s="1444"/>
      <c r="FA663" s="1444"/>
    </row>
    <row r="664" spans="1:157" ht="12.95" customHeight="1">
      <c r="A664" s="22"/>
      <c r="B664" t="s">
        <v>18</v>
      </c>
      <c r="H664" s="1370" t="str">
        <f>G659</f>
        <v>Deferred Developer Fee</v>
      </c>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3"/>
        <v>#VALUE!</v>
      </c>
      <c r="DY664" s="1444"/>
      <c r="DZ664" s="1444"/>
      <c r="EA664" s="1444"/>
      <c r="EB664" s="1444"/>
      <c r="EC664" s="1444" t="e">
        <f t="shared" si="4"/>
        <v>#VALUE!</v>
      </c>
      <c r="ED664" s="1444"/>
      <c r="EE664" s="1444"/>
      <c r="EF664" s="1444"/>
      <c r="EG664" s="1444"/>
      <c r="EH664" s="1444" t="e">
        <f t="shared" si="5"/>
        <v>#VALUE!</v>
      </c>
      <c r="EI664" s="1444"/>
      <c r="EJ664" s="1444"/>
      <c r="EK664" s="1444"/>
      <c r="EL664" s="1444"/>
      <c r="EM664" s="1444" t="e">
        <f t="shared" si="6"/>
        <v>#VALUE!</v>
      </c>
      <c r="EN664" s="1444"/>
      <c r="EO664" s="1444"/>
      <c r="EP664" s="1444"/>
      <c r="EQ664" s="1444"/>
      <c r="ER664" s="1444" t="e">
        <f t="shared" si="7"/>
        <v>#VALUE!</v>
      </c>
      <c r="ES664" s="1444"/>
      <c r="ET664" s="1444"/>
      <c r="EU664" s="1444"/>
      <c r="EV664" s="1444"/>
      <c r="EW664" s="1444" t="e">
        <f t="shared" si="8"/>
        <v>#VALUE!</v>
      </c>
      <c r="EX664" s="1444"/>
      <c r="EY664" s="1444"/>
      <c r="EZ664" s="1444"/>
      <c r="FA664" s="1444"/>
    </row>
    <row r="665" spans="1:157" ht="12.95" customHeight="1">
      <c r="A665" s="22"/>
      <c r="B665" t="s">
        <v>20</v>
      </c>
      <c r="N665" s="1331" t="s">
        <v>546</v>
      </c>
      <c r="O665" s="1331"/>
      <c r="T665" s="22"/>
      <c r="U665" t="s">
        <v>20</v>
      </c>
      <c r="AG665" s="1331"/>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3"/>
        <v>#VALUE!</v>
      </c>
      <c r="DY665" s="1444"/>
      <c r="DZ665" s="1444"/>
      <c r="EA665" s="1444"/>
      <c r="EB665" s="1444"/>
      <c r="EC665" s="1444" t="e">
        <f t="shared" si="4"/>
        <v>#VALUE!</v>
      </c>
      <c r="ED665" s="1444"/>
      <c r="EE665" s="1444"/>
      <c r="EF665" s="1444"/>
      <c r="EG665" s="1444"/>
      <c r="EH665" s="1444" t="e">
        <f t="shared" si="5"/>
        <v>#VALUE!</v>
      </c>
      <c r="EI665" s="1444"/>
      <c r="EJ665" s="1444"/>
      <c r="EK665" s="1444"/>
      <c r="EL665" s="1444"/>
      <c r="EM665" s="1444" t="e">
        <f t="shared" si="6"/>
        <v>#VALUE!</v>
      </c>
      <c r="EN665" s="1444"/>
      <c r="EO665" s="1444"/>
      <c r="EP665" s="1444"/>
      <c r="EQ665" s="1444"/>
      <c r="ER665" s="1444" t="e">
        <f t="shared" si="7"/>
        <v>#VALUE!</v>
      </c>
      <c r="ES665" s="1444"/>
      <c r="ET665" s="1444"/>
      <c r="EU665" s="1444"/>
      <c r="EV665" s="1444"/>
      <c r="EW665" s="1444" t="e">
        <f t="shared" si="8"/>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3"/>
        <v>#VALUE!</v>
      </c>
      <c r="DY666" s="1444"/>
      <c r="DZ666" s="1444"/>
      <c r="EA666" s="1444"/>
      <c r="EB666" s="1444"/>
      <c r="EC666" s="1444" t="e">
        <f t="shared" si="4"/>
        <v>#VALUE!</v>
      </c>
      <c r="ED666" s="1444"/>
      <c r="EE666" s="1444"/>
      <c r="EF666" s="1444"/>
      <c r="EG666" s="1444"/>
      <c r="EH666" s="1444" t="e">
        <f t="shared" si="5"/>
        <v>#VALUE!</v>
      </c>
      <c r="EI666" s="1444"/>
      <c r="EJ666" s="1444"/>
      <c r="EK666" s="1444"/>
      <c r="EL666" s="1444"/>
      <c r="EM666" s="1444" t="e">
        <f t="shared" si="6"/>
        <v>#VALUE!</v>
      </c>
      <c r="EN666" s="1444"/>
      <c r="EO666" s="1444"/>
      <c r="EP666" s="1444"/>
      <c r="EQ666" s="1444"/>
      <c r="ER666" s="1444" t="e">
        <f t="shared" si="7"/>
        <v>#VALUE!</v>
      </c>
      <c r="ES666" s="1444"/>
      <c r="ET666" s="1444"/>
      <c r="EU666" s="1444"/>
      <c r="EV666" s="1444"/>
      <c r="EW666" s="1444" t="e">
        <f t="shared" si="8"/>
        <v>#VALUE!</v>
      </c>
      <c r="EX666" s="1444"/>
      <c r="EY666" s="1444"/>
      <c r="EZ666" s="1444"/>
      <c r="FA666" s="1444"/>
    </row>
    <row r="667" spans="1:157" ht="12.95"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3"/>
        <v>#VALUE!</v>
      </c>
      <c r="DY667" s="1444"/>
      <c r="DZ667" s="1444"/>
      <c r="EA667" s="1444"/>
      <c r="EB667" s="1444"/>
      <c r="EC667" s="1444" t="e">
        <f t="shared" si="4"/>
        <v>#VALUE!</v>
      </c>
      <c r="ED667" s="1444"/>
      <c r="EE667" s="1444"/>
      <c r="EF667" s="1444"/>
      <c r="EG667" s="1444"/>
      <c r="EH667" s="1444" t="e">
        <f t="shared" si="5"/>
        <v>#VALUE!</v>
      </c>
      <c r="EI667" s="1444"/>
      <c r="EJ667" s="1444"/>
      <c r="EK667" s="1444"/>
      <c r="EL667" s="1444"/>
      <c r="EM667" s="1444" t="e">
        <f t="shared" si="6"/>
        <v>#VALUE!</v>
      </c>
      <c r="EN667" s="1444"/>
      <c r="EO667" s="1444"/>
      <c r="EP667" s="1444"/>
      <c r="EQ667" s="1444"/>
      <c r="ER667" s="1444" t="e">
        <f t="shared" si="7"/>
        <v>#VALUE!</v>
      </c>
      <c r="ES667" s="1444"/>
      <c r="ET667" s="1444"/>
      <c r="EU667" s="1444"/>
      <c r="EV667" s="1444"/>
      <c r="EW667" s="1444" t="e">
        <f t="shared" si="8"/>
        <v>#VALUE!</v>
      </c>
      <c r="EX667" s="1444"/>
      <c r="EY667" s="1444"/>
      <c r="EZ667" s="1444"/>
      <c r="FA667" s="1444"/>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3"/>
        <v>#VALUE!</v>
      </c>
      <c r="DY668" s="1444"/>
      <c r="DZ668" s="1444"/>
      <c r="EA668" s="1444"/>
      <c r="EB668" s="1444"/>
      <c r="EC668" s="1444" t="e">
        <f t="shared" si="4"/>
        <v>#VALUE!</v>
      </c>
      <c r="ED668" s="1444"/>
      <c r="EE668" s="1444"/>
      <c r="EF668" s="1444"/>
      <c r="EG668" s="1444"/>
      <c r="EH668" s="1444" t="e">
        <f t="shared" si="5"/>
        <v>#VALUE!</v>
      </c>
      <c r="EI668" s="1444"/>
      <c r="EJ668" s="1444"/>
      <c r="EK668" s="1444"/>
      <c r="EL668" s="1444"/>
      <c r="EM668" s="1444" t="e">
        <f t="shared" si="6"/>
        <v>#VALUE!</v>
      </c>
      <c r="EN668" s="1444"/>
      <c r="EO668" s="1444"/>
      <c r="EP668" s="1444"/>
      <c r="EQ668" s="1444"/>
      <c r="ER668" s="1444" t="e">
        <f t="shared" si="7"/>
        <v>#VALUE!</v>
      </c>
      <c r="ES668" s="1444"/>
      <c r="ET668" s="1444"/>
      <c r="EU668" s="1444"/>
      <c r="EV668" s="1444"/>
      <c r="EW668" s="1444" t="e">
        <f t="shared" si="8"/>
        <v>#VALUE!</v>
      </c>
      <c r="EX668" s="1444"/>
      <c r="EY668" s="1444"/>
      <c r="EZ668" s="1444"/>
      <c r="FA668" s="1444"/>
    </row>
    <row r="669" spans="1:157" ht="12.95" customHeight="1">
      <c r="A669" s="22"/>
      <c r="B669" t="s">
        <v>581</v>
      </c>
      <c r="G669" s="1370"/>
      <c r="H669" s="1370"/>
      <c r="I669" s="1370"/>
      <c r="J669" s="1370"/>
      <c r="K669" s="1370"/>
      <c r="L669" s="1370"/>
      <c r="M669" s="1370"/>
      <c r="N669" s="1370"/>
      <c r="O669" s="1370"/>
      <c r="P669" s="1370"/>
      <c r="Q669" s="1370"/>
      <c r="R669" s="1370"/>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3"/>
        <v>#VALUE!</v>
      </c>
      <c r="DY669" s="1444"/>
      <c r="DZ669" s="1444"/>
      <c r="EA669" s="1444"/>
      <c r="EB669" s="1444"/>
      <c r="EC669" s="1444" t="e">
        <f t="shared" si="4"/>
        <v>#VALUE!</v>
      </c>
      <c r="ED669" s="1444"/>
      <c r="EE669" s="1444"/>
      <c r="EF669" s="1444"/>
      <c r="EG669" s="1444"/>
      <c r="EH669" s="1444" t="e">
        <f t="shared" si="5"/>
        <v>#VALUE!</v>
      </c>
      <c r="EI669" s="1444"/>
      <c r="EJ669" s="1444"/>
      <c r="EK669" s="1444"/>
      <c r="EL669" s="1444"/>
      <c r="EM669" s="1444" t="e">
        <f t="shared" si="6"/>
        <v>#VALUE!</v>
      </c>
      <c r="EN669" s="1444"/>
      <c r="EO669" s="1444"/>
      <c r="EP669" s="1444"/>
      <c r="EQ669" s="1444"/>
      <c r="ER669" s="1444" t="e">
        <f t="shared" si="7"/>
        <v>#VALUE!</v>
      </c>
      <c r="ES669" s="1444"/>
      <c r="ET669" s="1444"/>
      <c r="EU669" s="1444"/>
      <c r="EV669" s="1444"/>
      <c r="EW669" s="1444" t="e">
        <f t="shared" si="8"/>
        <v>#VALUE!</v>
      </c>
      <c r="EX669" s="1444"/>
      <c r="EY669" s="1444"/>
      <c r="EZ669" s="1444"/>
      <c r="FA669" s="1444"/>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518.14782608695657</v>
      </c>
      <c r="DY670" s="1444"/>
      <c r="DZ670" s="1444"/>
      <c r="EA670" s="1444"/>
      <c r="EB670" s="1444"/>
      <c r="EC670" s="1444">
        <f>SUMIF(EC635:EG669,"&gt;0")</f>
        <v>0</v>
      </c>
      <c r="ED670" s="1444"/>
      <c r="EE670" s="1444"/>
      <c r="EF670" s="1444"/>
      <c r="EG670" s="1444"/>
      <c r="EH670" s="1444">
        <f>SUMIF(EH635:EL669,"&gt;0")</f>
        <v>881.2</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670</v>
      </c>
      <c r="O673" s="1331"/>
      <c r="T673" s="22"/>
      <c r="U673" t="s">
        <v>20</v>
      </c>
      <c r="AG673" s="1331" t="s">
        <v>670</v>
      </c>
      <c r="AH673" s="1331"/>
      <c r="AZ673" s="3"/>
    </row>
    <row r="674" spans="1:52" ht="12.95" customHeight="1">
      <c r="A674" s="22"/>
      <c r="T674" s="22"/>
      <c r="AZ674" s="3"/>
    </row>
    <row r="675" spans="1:52" ht="12.95"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581</v>
      </c>
      <c r="G677" s="1370"/>
      <c r="H677" s="1370"/>
      <c r="I677" s="1370"/>
      <c r="J677" s="1370"/>
      <c r="K677" s="1370"/>
      <c r="L677" s="1370"/>
      <c r="M677" s="1370"/>
      <c r="N677" s="1370"/>
      <c r="O677" s="1370"/>
      <c r="P677" s="1370"/>
      <c r="Q677" s="1370"/>
      <c r="R677" s="1370"/>
      <c r="T677" s="22"/>
      <c r="U677" t="s">
        <v>581</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670</v>
      </c>
      <c r="O681" s="1331"/>
      <c r="T681" s="22"/>
      <c r="U681" t="s">
        <v>20</v>
      </c>
      <c r="AG681" s="1331" t="s">
        <v>670</v>
      </c>
      <c r="AH681" s="1331"/>
      <c r="AZ681" s="3"/>
    </row>
    <row r="682" spans="1:52" ht="12.95" customHeight="1">
      <c r="A682" s="22"/>
      <c r="T682" s="22"/>
      <c r="AZ682" s="3"/>
    </row>
    <row r="683" spans="1:52" ht="12.95"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581</v>
      </c>
      <c r="G685" s="1370"/>
      <c r="H685" s="1370"/>
      <c r="I685" s="1370"/>
      <c r="J685" s="1370"/>
      <c r="K685" s="1370"/>
      <c r="L685" s="1370"/>
      <c r="M685" s="1370"/>
      <c r="N685" s="1370"/>
      <c r="O685" s="1370"/>
      <c r="P685" s="1370"/>
      <c r="Q685" s="1370"/>
      <c r="R685" s="1370"/>
      <c r="U685" t="s">
        <v>581</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670</v>
      </c>
      <c r="O689" s="1331"/>
      <c r="U689" t="s">
        <v>20</v>
      </c>
      <c r="AG689" s="1331" t="s">
        <v>670</v>
      </c>
      <c r="AH689" s="1331"/>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546</v>
      </c>
      <c r="AF693" s="1331"/>
      <c r="AZ693" s="3"/>
    </row>
    <row r="694" spans="1:67" ht="12.95" customHeight="1">
      <c r="B694" s="135"/>
      <c r="C694" s="135"/>
      <c r="D694" s="136" t="s">
        <v>438</v>
      </c>
      <c r="E694" s="135"/>
      <c r="F694" s="135"/>
      <c r="G694" s="135"/>
      <c r="H694" s="135"/>
      <c r="AE694" s="1331" t="s">
        <v>546</v>
      </c>
      <c r="AF694" s="1331"/>
      <c r="AZ694" s="3"/>
    </row>
    <row r="695" spans="1:67" ht="12.95" customHeight="1">
      <c r="B695" s="135"/>
      <c r="C695" s="135"/>
      <c r="D695" s="136" t="s">
        <v>921</v>
      </c>
      <c r="E695" s="135"/>
      <c r="F695" s="135"/>
      <c r="G695" s="135"/>
      <c r="H695" s="135"/>
      <c r="AE695" s="1691">
        <v>45685</v>
      </c>
      <c r="AF695" s="1691"/>
      <c r="AG695" s="1691"/>
      <c r="AH695" s="1691"/>
      <c r="AI695" s="1691"/>
    </row>
    <row r="696" spans="1:67" ht="12.95" customHeight="1">
      <c r="B696" s="135"/>
      <c r="C696" s="135"/>
      <c r="D696" s="318" t="s">
        <v>984</v>
      </c>
      <c r="E696" s="135"/>
      <c r="F696" s="135"/>
      <c r="G696" s="135"/>
      <c r="H696" s="135"/>
      <c r="AE696" s="1702">
        <v>45755</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45935</v>
      </c>
      <c r="AF698" s="1691"/>
      <c r="AG698" s="1691"/>
      <c r="AH698" s="1691"/>
      <c r="AI698" s="1691"/>
    </row>
    <row r="699" spans="1:67" ht="12.95" customHeight="1">
      <c r="B699" s="135"/>
      <c r="C699" s="135"/>
      <c r="D699" s="136" t="s">
        <v>436</v>
      </c>
      <c r="E699" s="135"/>
      <c r="F699" s="135"/>
      <c r="G699" s="135"/>
      <c r="H699" s="135"/>
      <c r="AE699" s="1660">
        <f>AM554/SUM('Sources and Uses Budget'!S107,'Sources and Uses Budget'!C4,'Sources and Uses Budget'!C5,'Sources and Uses Budget'!C29)</f>
        <v>0.51753917303858132</v>
      </c>
      <c r="AF699" s="1660"/>
      <c r="AG699" s="1660"/>
      <c r="AH699" s="1660"/>
      <c r="AI699" s="1660"/>
    </row>
    <row r="700" spans="1:67" ht="12.95" customHeight="1">
      <c r="B700" s="135"/>
      <c r="C700" s="135"/>
      <c r="D700" s="136" t="s">
        <v>437</v>
      </c>
      <c r="E700" s="135"/>
      <c r="F700" s="135"/>
      <c r="G700" s="135"/>
      <c r="H700" s="135"/>
      <c r="W700" s="1357" t="str">
        <f>H335</f>
        <v>CMFA</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670</v>
      </c>
      <c r="AF702" s="1331"/>
      <c r="AZ702" s="4" t="s">
        <v>324</v>
      </c>
    </row>
    <row r="703" spans="1:67" ht="12.95"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19" t="s">
        <v>1680</v>
      </c>
      <c r="L714" s="1720"/>
      <c r="M714" s="1720"/>
      <c r="N714" s="1721"/>
      <c r="O714" s="1361" t="s">
        <v>448</v>
      </c>
      <c r="P714" s="1362"/>
      <c r="Q714" s="1362"/>
      <c r="R714" s="1362"/>
      <c r="S714" s="1363"/>
      <c r="T714" s="1658" t="s">
        <v>1951</v>
      </c>
      <c r="U714" s="1362"/>
      <c r="V714" s="1362"/>
      <c r="W714" s="1363"/>
      <c r="X714" s="1658" t="s">
        <v>1953</v>
      </c>
      <c r="Y714" s="1362"/>
      <c r="Z714" s="1362"/>
      <c r="AA714" s="1362"/>
      <c r="AB714" s="1363"/>
      <c r="AC714" s="1658" t="s">
        <v>1952</v>
      </c>
      <c r="AD714" s="1362"/>
      <c r="AE714" s="1362"/>
      <c r="AF714" s="1362"/>
      <c r="AG714" s="1363"/>
      <c r="AH714" s="1658" t="s">
        <v>1954</v>
      </c>
      <c r="AI714" s="1362"/>
      <c r="AJ714" s="1363"/>
      <c r="AK714" s="1658"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2"/>
      <c r="L715" s="1723"/>
      <c r="M715" s="1723"/>
      <c r="N715" s="1724"/>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2"/>
      <c r="L716" s="1723"/>
      <c r="M716" s="1723"/>
      <c r="N716" s="1724"/>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2"/>
      <c r="L717" s="1723"/>
      <c r="M717" s="1723"/>
      <c r="N717" s="1724"/>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5" t="s">
        <v>634</v>
      </c>
      <c r="CQ717" s="1386"/>
      <c r="CR717" s="1386"/>
      <c r="CS717" s="1386"/>
      <c r="CT717" s="1387"/>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6" t="s">
        <v>324</v>
      </c>
      <c r="C718" s="1337"/>
      <c r="D718" s="1337"/>
      <c r="E718" s="1337"/>
      <c r="F718" s="1338"/>
      <c r="G718" s="1348">
        <v>13</v>
      </c>
      <c r="H718" s="1349"/>
      <c r="I718" s="1349"/>
      <c r="J718" s="1350"/>
      <c r="K718" s="1342">
        <v>347</v>
      </c>
      <c r="L718" s="1343"/>
      <c r="M718" s="1343"/>
      <c r="N718" s="1344"/>
      <c r="O718" s="1339">
        <f>468.8</f>
        <v>468.8</v>
      </c>
      <c r="P718" s="1340"/>
      <c r="Q718" s="1340"/>
      <c r="R718" s="1340"/>
      <c r="S718" s="1341"/>
      <c r="T718" s="1339">
        <v>76</v>
      </c>
      <c r="U718" s="1340"/>
      <c r="V718" s="1340"/>
      <c r="W718" s="1341"/>
      <c r="X718" s="1351">
        <f t="shared" ref="X718:X741" si="9">O718+T718</f>
        <v>544.79999999999995</v>
      </c>
      <c r="Y718" s="1352"/>
      <c r="Z718" s="1352"/>
      <c r="AA718" s="1352"/>
      <c r="AB718" s="1353"/>
      <c r="AC718" s="1358">
        <v>0.3</v>
      </c>
      <c r="AD718" s="1359"/>
      <c r="AE718" s="1359"/>
      <c r="AF718" s="1359"/>
      <c r="AG718" s="1360"/>
      <c r="AH718" s="1354">
        <f>IF($AC718&gt;0,($X718/$AZ718), "")</f>
        <v>0.19999999999999998</v>
      </c>
      <c r="AI718" s="1355"/>
      <c r="AJ718" s="1356"/>
      <c r="AK718" s="1336" t="s">
        <v>2102</v>
      </c>
      <c r="AL718" s="1337"/>
      <c r="AM718" s="1337"/>
      <c r="AN718" s="1337"/>
      <c r="AO718" s="1338"/>
      <c r="AP718" s="3"/>
      <c r="AQ718" s="3"/>
      <c r="AR718" s="3"/>
      <c r="AS718" s="3"/>
      <c r="AZ718" s="118">
        <f>IF($G718=0,"N/A",VLOOKUP($T$189,TC_Rent,(MATCH($B718,bedrooms,FALSE)),FALSE))</f>
        <v>2724</v>
      </c>
      <c r="BA718" s="3"/>
      <c r="BB718" s="3"/>
      <c r="BC718" s="3"/>
      <c r="BD718" s="3"/>
      <c r="BE718" s="205"/>
      <c r="BF718" s="294">
        <f t="shared" ref="BF718:BF752" si="10">G718</f>
        <v>13</v>
      </c>
      <c r="BG718" s="298">
        <f t="shared" ref="BG718:BG752" si="11">IF($BF$753=0,0,BF718/$BF$753)</f>
        <v>9.0909090909090912E-2</v>
      </c>
      <c r="BH718" s="299">
        <f t="shared" ref="BH718:BH752" si="12">IF(BG718=0,"",BG718*AC718)</f>
        <v>2.7272727272727271E-2</v>
      </c>
      <c r="BI718" s="3"/>
      <c r="BJ718" s="3"/>
      <c r="BK718" s="3"/>
      <c r="BL718" s="3"/>
      <c r="BM718" s="3"/>
      <c r="BN718" s="3"/>
      <c r="BS718" s="294">
        <f t="shared" ref="BS718:BS752" si="13">G718</f>
        <v>13</v>
      </c>
      <c r="BT718" s="298">
        <f t="shared" ref="BT718:BT752" si="14">IF($BS$753=0,0,BS718/$BS$753)</f>
        <v>9.0909090909090912E-2</v>
      </c>
      <c r="BU718" s="299">
        <f t="shared" ref="BU718:BU752" si="15">IF(BT718=0,"",BT718*AH718)</f>
        <v>1.8181818181818181E-2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13</v>
      </c>
      <c r="CN718" s="1469"/>
      <c r="CO718" s="3"/>
      <c r="CP718" s="1457">
        <f t="shared" ref="CP718:CP752" si="18">IF(B718="SRO/Studio",G718,0)</f>
        <v>13</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13</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468.8</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6" t="s">
        <v>324</v>
      </c>
      <c r="C719" s="1337"/>
      <c r="D719" s="1337"/>
      <c r="E719" s="1337"/>
      <c r="F719" s="1338"/>
      <c r="G719" s="1348">
        <v>3</v>
      </c>
      <c r="H719" s="1349"/>
      <c r="I719" s="1349"/>
      <c r="J719" s="1350"/>
      <c r="K719" s="1342">
        <v>347</v>
      </c>
      <c r="L719" s="1343"/>
      <c r="M719" s="1343"/>
      <c r="N719" s="1344"/>
      <c r="O719" s="1339">
        <v>741.2</v>
      </c>
      <c r="P719" s="1340"/>
      <c r="Q719" s="1340"/>
      <c r="R719" s="1340"/>
      <c r="S719" s="1341"/>
      <c r="T719" s="1339">
        <v>76</v>
      </c>
      <c r="U719" s="1340"/>
      <c r="V719" s="1340"/>
      <c r="W719" s="1341"/>
      <c r="X719" s="1351">
        <f t="shared" si="9"/>
        <v>817.2</v>
      </c>
      <c r="Y719" s="1352"/>
      <c r="Z719" s="1352"/>
      <c r="AA719" s="1352"/>
      <c r="AB719" s="1353"/>
      <c r="AC719" s="1358">
        <v>0.3</v>
      </c>
      <c r="AD719" s="1359"/>
      <c r="AE719" s="1359"/>
      <c r="AF719" s="1359"/>
      <c r="AG719" s="1360"/>
      <c r="AH719" s="1354">
        <f t="shared" ref="AH719:AH752" si="36">IF($AC719&gt;0,($X719/$AZ719), "")</f>
        <v>0.30000000000000004</v>
      </c>
      <c r="AI719" s="1355"/>
      <c r="AJ719" s="1356"/>
      <c r="AK719" s="1336" t="s">
        <v>2102</v>
      </c>
      <c r="AL719" s="1337"/>
      <c r="AM719" s="1337"/>
      <c r="AN719" s="1337"/>
      <c r="AO719" s="1338"/>
      <c r="AP719" s="3"/>
      <c r="AQ719" s="3"/>
      <c r="AR719" s="3"/>
      <c r="AS719" s="3"/>
      <c r="AZ719" s="118">
        <f>IF($G719=0,"N/A",VLOOKUP($T$189,TC_Rent,(MATCH($B719,bedrooms,FALSE)),FALSE))</f>
        <v>2724</v>
      </c>
      <c r="BA719" s="3"/>
      <c r="BB719" s="3"/>
      <c r="BC719" s="3"/>
      <c r="BD719" s="3"/>
      <c r="BE719" s="205"/>
      <c r="BF719" s="295">
        <f t="shared" si="10"/>
        <v>3</v>
      </c>
      <c r="BG719" s="298">
        <f t="shared" si="11"/>
        <v>2.097902097902098E-2</v>
      </c>
      <c r="BH719" s="299">
        <f t="shared" si="12"/>
        <v>6.2937062937062941E-3</v>
      </c>
      <c r="BI719" s="3"/>
      <c r="BJ719" s="3"/>
      <c r="BK719" s="3"/>
      <c r="BL719" s="3"/>
      <c r="BM719" s="3"/>
      <c r="BN719" s="3"/>
      <c r="BS719" s="295">
        <f t="shared" si="13"/>
        <v>3</v>
      </c>
      <c r="BT719" s="298">
        <f t="shared" si="14"/>
        <v>2.097902097902098E-2</v>
      </c>
      <c r="BU719" s="299">
        <f t="shared" si="15"/>
        <v>6.293706293706295E-3</v>
      </c>
      <c r="CC719" s="3"/>
      <c r="CD719" s="3"/>
      <c r="CE719" s="3"/>
      <c r="CF719" s="3"/>
      <c r="CG719" s="1462">
        <f t="shared" ref="CG719:CG752" si="37">IF(AND(AC719&lt;=0.5,AC719&gt;=0.36),1,0)</f>
        <v>0</v>
      </c>
      <c r="CH719" s="1463"/>
      <c r="CI719" s="1468">
        <f t="shared" ref="CI719:CI752" si="38">IF(CG719=1,G719,0)</f>
        <v>0</v>
      </c>
      <c r="CJ719" s="1469"/>
      <c r="CK719" s="1462">
        <f t="shared" si="16"/>
        <v>1</v>
      </c>
      <c r="CL719" s="1463"/>
      <c r="CM719" s="1468">
        <f t="shared" si="17"/>
        <v>3</v>
      </c>
      <c r="CN719" s="1469"/>
      <c r="CO719" s="3"/>
      <c r="CP719" s="1457">
        <f t="shared" si="18"/>
        <v>3</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3</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741.2</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6" t="s">
        <v>324</v>
      </c>
      <c r="C720" s="1337"/>
      <c r="D720" s="1337"/>
      <c r="E720" s="1337"/>
      <c r="F720" s="1338"/>
      <c r="G720" s="1348">
        <v>30</v>
      </c>
      <c r="H720" s="1349"/>
      <c r="I720" s="1349"/>
      <c r="J720" s="1350"/>
      <c r="K720" s="1342">
        <v>347</v>
      </c>
      <c r="L720" s="1343"/>
      <c r="M720" s="1343"/>
      <c r="N720" s="1344"/>
      <c r="O720" s="1339">
        <v>196.4</v>
      </c>
      <c r="P720" s="1340"/>
      <c r="Q720" s="1340"/>
      <c r="R720" s="1340"/>
      <c r="S720" s="1341"/>
      <c r="T720" s="1339">
        <v>76</v>
      </c>
      <c r="U720" s="1340"/>
      <c r="V720" s="1340"/>
      <c r="W720" s="1341"/>
      <c r="X720" s="1351">
        <f t="shared" si="9"/>
        <v>272.39999999999998</v>
      </c>
      <c r="Y720" s="1352"/>
      <c r="Z720" s="1352"/>
      <c r="AA720" s="1352"/>
      <c r="AB720" s="1353"/>
      <c r="AC720" s="1358">
        <v>0.3</v>
      </c>
      <c r="AD720" s="1359"/>
      <c r="AE720" s="1359"/>
      <c r="AF720" s="1359"/>
      <c r="AG720" s="1360"/>
      <c r="AH720" s="1354">
        <f t="shared" si="36"/>
        <v>9.9999999999999992E-2</v>
      </c>
      <c r="AI720" s="1355"/>
      <c r="AJ720" s="1356"/>
      <c r="AK720" s="1336" t="s">
        <v>2102</v>
      </c>
      <c r="AL720" s="1337"/>
      <c r="AM720" s="1337"/>
      <c r="AN720" s="1337"/>
      <c r="AO720" s="1338"/>
      <c r="AP720" s="3"/>
      <c r="AQ720" s="3"/>
      <c r="AR720" s="3"/>
      <c r="AS720" s="3"/>
      <c r="AZ720" s="118">
        <f>IF($G720=0,"N/A",VLOOKUP($T$189,TC_Rent,(MATCH($B720,bedrooms,FALSE)),FALSE))</f>
        <v>2724</v>
      </c>
      <c r="BA720" s="3"/>
      <c r="BB720" s="3"/>
      <c r="BC720" s="3"/>
      <c r="BD720" s="3"/>
      <c r="BE720" s="205"/>
      <c r="BF720" s="295">
        <f t="shared" si="10"/>
        <v>30</v>
      </c>
      <c r="BG720" s="298">
        <f t="shared" si="11"/>
        <v>0.20979020979020979</v>
      </c>
      <c r="BH720" s="299">
        <f t="shared" si="12"/>
        <v>6.2937062937062929E-2</v>
      </c>
      <c r="BI720" s="3"/>
      <c r="BJ720" s="3"/>
      <c r="BK720" s="3"/>
      <c r="BL720" s="3"/>
      <c r="BM720" s="3"/>
      <c r="BN720" s="3"/>
      <c r="BS720" s="295">
        <f t="shared" si="13"/>
        <v>30</v>
      </c>
      <c r="BT720" s="298">
        <f t="shared" si="14"/>
        <v>0.20979020979020979</v>
      </c>
      <c r="BU720" s="299">
        <f t="shared" si="15"/>
        <v>2.0979020979020976E-2</v>
      </c>
      <c r="CC720" s="3"/>
      <c r="CD720" s="3"/>
      <c r="CE720" s="3"/>
      <c r="CF720" s="3"/>
      <c r="CG720" s="1462">
        <f t="shared" si="37"/>
        <v>0</v>
      </c>
      <c r="CH720" s="1463"/>
      <c r="CI720" s="1468">
        <f t="shared" si="38"/>
        <v>0</v>
      </c>
      <c r="CJ720" s="1469"/>
      <c r="CK720" s="1462">
        <f t="shared" si="16"/>
        <v>1</v>
      </c>
      <c r="CL720" s="1463"/>
      <c r="CM720" s="1468">
        <f t="shared" si="17"/>
        <v>30</v>
      </c>
      <c r="CN720" s="1469"/>
      <c r="CO720" s="3"/>
      <c r="CP720" s="1457">
        <f t="shared" si="18"/>
        <v>30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30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f t="shared" si="30"/>
        <v>196.4</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6" t="s">
        <v>324</v>
      </c>
      <c r="C721" s="1337"/>
      <c r="D721" s="1337"/>
      <c r="E721" s="1337"/>
      <c r="F721" s="1338"/>
      <c r="G721" s="1348">
        <v>40</v>
      </c>
      <c r="H721" s="1349"/>
      <c r="I721" s="1349"/>
      <c r="J721" s="1350"/>
      <c r="K721" s="1342">
        <v>347</v>
      </c>
      <c r="L721" s="1343"/>
      <c r="M721" s="1343"/>
      <c r="N721" s="1344"/>
      <c r="O721" s="1339">
        <v>468.8</v>
      </c>
      <c r="P721" s="1340"/>
      <c r="Q721" s="1340"/>
      <c r="R721" s="1340"/>
      <c r="S721" s="1341"/>
      <c r="T721" s="1339">
        <v>76</v>
      </c>
      <c r="U721" s="1340"/>
      <c r="V721" s="1340"/>
      <c r="W721" s="1341"/>
      <c r="X721" s="1351">
        <f t="shared" si="9"/>
        <v>544.79999999999995</v>
      </c>
      <c r="Y721" s="1352"/>
      <c r="Z721" s="1352"/>
      <c r="AA721" s="1352"/>
      <c r="AB721" s="1353"/>
      <c r="AC721" s="1358">
        <v>0.3</v>
      </c>
      <c r="AD721" s="1359"/>
      <c r="AE721" s="1359"/>
      <c r="AF721" s="1359"/>
      <c r="AG721" s="1360"/>
      <c r="AH721" s="1354">
        <f t="shared" si="36"/>
        <v>0.19999999999999998</v>
      </c>
      <c r="AI721" s="1355"/>
      <c r="AJ721" s="1356"/>
      <c r="AK721" s="1336" t="s">
        <v>2102</v>
      </c>
      <c r="AL721" s="1337"/>
      <c r="AM721" s="1337"/>
      <c r="AN721" s="1337"/>
      <c r="AO721" s="1338"/>
      <c r="AP721" s="3"/>
      <c r="AQ721" s="3"/>
      <c r="AR721" s="3"/>
      <c r="AS721" s="3"/>
      <c r="AY721" s="116"/>
      <c r="AZ721" s="118">
        <f>IF($G721=0,"N/A",VLOOKUP($T$189,TC_Rent,(MATCH($B721,bedrooms,FALSE)),FALSE))</f>
        <v>2724</v>
      </c>
      <c r="BA721" s="3"/>
      <c r="BB721" s="3"/>
      <c r="BC721" s="3"/>
      <c r="BD721" s="3"/>
      <c r="BE721" s="205"/>
      <c r="BF721" s="295">
        <f t="shared" si="10"/>
        <v>40</v>
      </c>
      <c r="BG721" s="298">
        <f t="shared" si="11"/>
        <v>0.27972027972027974</v>
      </c>
      <c r="BH721" s="299">
        <f t="shared" si="12"/>
        <v>8.3916083916083919E-2</v>
      </c>
      <c r="BI721" s="3"/>
      <c r="BJ721" s="3"/>
      <c r="BK721" s="3"/>
      <c r="BL721" s="3"/>
      <c r="BM721" s="3"/>
      <c r="BN721" s="3"/>
      <c r="BS721" s="295">
        <f t="shared" si="13"/>
        <v>40</v>
      </c>
      <c r="BT721" s="298">
        <f t="shared" si="14"/>
        <v>0.27972027972027974</v>
      </c>
      <c r="BU721" s="299">
        <f t="shared" si="15"/>
        <v>5.5944055944055944E-2</v>
      </c>
      <c r="CC721" s="3"/>
      <c r="CD721" s="3"/>
      <c r="CE721" s="3"/>
      <c r="CF721" s="3"/>
      <c r="CG721" s="1462">
        <f t="shared" si="37"/>
        <v>0</v>
      </c>
      <c r="CH721" s="1463"/>
      <c r="CI721" s="1468">
        <f t="shared" si="38"/>
        <v>0</v>
      </c>
      <c r="CJ721" s="1469"/>
      <c r="CK721" s="1462">
        <f t="shared" si="16"/>
        <v>1</v>
      </c>
      <c r="CL721" s="1463"/>
      <c r="CM721" s="1468">
        <f t="shared" si="17"/>
        <v>40</v>
      </c>
      <c r="CN721" s="1469"/>
      <c r="CO721" s="3"/>
      <c r="CP721" s="1457">
        <f t="shared" si="18"/>
        <v>40</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40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f t="shared" si="30"/>
        <v>468.8</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6" t="s">
        <v>324</v>
      </c>
      <c r="C722" s="1337"/>
      <c r="D722" s="1337"/>
      <c r="E722" s="1337"/>
      <c r="F722" s="1338"/>
      <c r="G722" s="1348">
        <v>52</v>
      </c>
      <c r="H722" s="1349"/>
      <c r="I722" s="1349"/>
      <c r="J722" s="1350"/>
      <c r="K722" s="1342">
        <v>347</v>
      </c>
      <c r="L722" s="1343"/>
      <c r="M722" s="1343"/>
      <c r="N722" s="1344"/>
      <c r="O722" s="1339">
        <v>741.2</v>
      </c>
      <c r="P722" s="1340"/>
      <c r="Q722" s="1340"/>
      <c r="R722" s="1340"/>
      <c r="S722" s="1341"/>
      <c r="T722" s="1339">
        <v>76</v>
      </c>
      <c r="U722" s="1340"/>
      <c r="V722" s="1340"/>
      <c r="W722" s="1341"/>
      <c r="X722" s="1351">
        <f t="shared" si="9"/>
        <v>817.2</v>
      </c>
      <c r="Y722" s="1352"/>
      <c r="Z722" s="1352"/>
      <c r="AA722" s="1352"/>
      <c r="AB722" s="1353"/>
      <c r="AC722" s="1358">
        <v>0.3</v>
      </c>
      <c r="AD722" s="1359"/>
      <c r="AE722" s="1359"/>
      <c r="AF722" s="1359"/>
      <c r="AG722" s="1360"/>
      <c r="AH722" s="1354">
        <f t="shared" si="36"/>
        <v>0.30000000000000004</v>
      </c>
      <c r="AI722" s="1355"/>
      <c r="AJ722" s="1356"/>
      <c r="AK722" s="1336" t="s">
        <v>2102</v>
      </c>
      <c r="AL722" s="1337"/>
      <c r="AM722" s="1337"/>
      <c r="AN722" s="1337"/>
      <c r="AO722" s="1338"/>
      <c r="AP722" s="3"/>
      <c r="AQ722" s="3"/>
      <c r="AR722" s="3"/>
      <c r="AS722" s="3"/>
      <c r="AY722" s="116"/>
      <c r="AZ722" s="118">
        <f>IF($G722=0,"N/A",VLOOKUP($T$189,TC_Rent,(MATCH($B722,bedrooms,FALSE)),FALSE))</f>
        <v>2724</v>
      </c>
      <c r="BA722" s="3"/>
      <c r="BB722" s="3"/>
      <c r="BC722" s="3"/>
      <c r="BD722" s="3"/>
      <c r="BE722" s="205"/>
      <c r="BF722" s="295">
        <f t="shared" si="10"/>
        <v>52</v>
      </c>
      <c r="BG722" s="298">
        <f t="shared" si="11"/>
        <v>0.36363636363636365</v>
      </c>
      <c r="BH722" s="299">
        <f t="shared" si="12"/>
        <v>0.10909090909090909</v>
      </c>
      <c r="BI722" s="3"/>
      <c r="BJ722" s="3"/>
      <c r="BK722" s="3"/>
      <c r="BL722" s="3"/>
      <c r="BM722" s="3"/>
      <c r="BN722" s="3"/>
      <c r="BS722" s="295">
        <f t="shared" si="13"/>
        <v>52</v>
      </c>
      <c r="BT722" s="298">
        <f t="shared" si="14"/>
        <v>0.36363636363636365</v>
      </c>
      <c r="BU722" s="299">
        <f t="shared" si="15"/>
        <v>0.10909090909090911</v>
      </c>
      <c r="CC722" s="3"/>
      <c r="CD722" s="3"/>
      <c r="CE722" s="3"/>
      <c r="CF722" s="3"/>
      <c r="CG722" s="1462">
        <f t="shared" si="37"/>
        <v>0</v>
      </c>
      <c r="CH722" s="1463"/>
      <c r="CI722" s="1468">
        <f t="shared" si="38"/>
        <v>0</v>
      </c>
      <c r="CJ722" s="1469"/>
      <c r="CK722" s="1462">
        <f t="shared" si="16"/>
        <v>1</v>
      </c>
      <c r="CL722" s="1463"/>
      <c r="CM722" s="1468">
        <f t="shared" si="17"/>
        <v>52</v>
      </c>
      <c r="CN722" s="1469"/>
      <c r="CO722" s="3"/>
      <c r="CP722" s="1457">
        <f t="shared" si="18"/>
        <v>52</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52</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f t="shared" si="30"/>
        <v>741.2</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9"/>
        <v>0</v>
      </c>
      <c r="Y723" s="1352"/>
      <c r="Z723" s="1352"/>
      <c r="AA723" s="1352"/>
      <c r="AB723" s="1353"/>
      <c r="AC723" s="1358"/>
      <c r="AD723" s="1359"/>
      <c r="AE723" s="1359"/>
      <c r="AF723" s="1359"/>
      <c r="AG723" s="1360"/>
      <c r="AH723" s="1354" t="str">
        <f t="shared" si="36"/>
        <v/>
      </c>
      <c r="AI723" s="1355"/>
      <c r="AJ723" s="1356"/>
      <c r="AK723" s="1336" t="s">
        <v>592</v>
      </c>
      <c r="AL723" s="1337"/>
      <c r="AM723" s="1337"/>
      <c r="AN723" s="1337"/>
      <c r="AO723" s="1338"/>
      <c r="AP723" s="3"/>
      <c r="AQ723" s="3"/>
      <c r="AR723" s="3"/>
      <c r="AS723" s="3"/>
      <c r="AY723" s="116"/>
      <c r="AZ723" s="118" t="str">
        <f>IF($G723=0,"N/A",VLOOKUP($T$189,TC_Rent,(MATCH($B723,bedrooms,FALSE)),FALSE))</f>
        <v>N/A</v>
      </c>
      <c r="BA723" s="3"/>
      <c r="BB723" s="3"/>
      <c r="BC723" s="3"/>
      <c r="BD723" s="3"/>
      <c r="BE723" s="205"/>
      <c r="BF723" s="295">
        <f t="shared" si="10"/>
        <v>0</v>
      </c>
      <c r="BG723" s="298">
        <f t="shared" si="11"/>
        <v>0</v>
      </c>
      <c r="BH723" s="299" t="str">
        <f t="shared" si="12"/>
        <v/>
      </c>
      <c r="BI723" s="3"/>
      <c r="BJ723" s="3"/>
      <c r="BK723" s="3"/>
      <c r="BL723" s="3"/>
      <c r="BM723" s="3"/>
      <c r="BN723" s="3"/>
      <c r="BS723" s="295">
        <f t="shared" si="13"/>
        <v>0</v>
      </c>
      <c r="BT723" s="298">
        <f t="shared" si="14"/>
        <v>0</v>
      </c>
      <c r="BU723" s="299"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6" t="s">
        <v>163</v>
      </c>
      <c r="C724" s="1337"/>
      <c r="D724" s="1337"/>
      <c r="E724" s="1337"/>
      <c r="F724" s="1338"/>
      <c r="G724" s="1348">
        <v>5</v>
      </c>
      <c r="H724" s="1349"/>
      <c r="I724" s="1349"/>
      <c r="J724" s="1350"/>
      <c r="K724" s="1342">
        <v>916</v>
      </c>
      <c r="L724" s="1343"/>
      <c r="M724" s="1343"/>
      <c r="N724" s="1344"/>
      <c r="O724" s="1339">
        <v>881.2</v>
      </c>
      <c r="P724" s="1340"/>
      <c r="Q724" s="1340"/>
      <c r="R724" s="1340"/>
      <c r="S724" s="1341"/>
      <c r="T724" s="1339">
        <v>170</v>
      </c>
      <c r="U724" s="1340"/>
      <c r="V724" s="1340"/>
      <c r="W724" s="1341"/>
      <c r="X724" s="1351">
        <f t="shared" si="9"/>
        <v>1051.2</v>
      </c>
      <c r="Y724" s="1352"/>
      <c r="Z724" s="1352"/>
      <c r="AA724" s="1352"/>
      <c r="AB724" s="1353"/>
      <c r="AC724" s="1358">
        <v>0.3</v>
      </c>
      <c r="AD724" s="1359"/>
      <c r="AE724" s="1359"/>
      <c r="AF724" s="1359"/>
      <c r="AG724" s="1360"/>
      <c r="AH724" s="1354">
        <f t="shared" si="36"/>
        <v>0.3</v>
      </c>
      <c r="AI724" s="1355"/>
      <c r="AJ724" s="1356"/>
      <c r="AK724" s="1336" t="s">
        <v>2102</v>
      </c>
      <c r="AL724" s="1337"/>
      <c r="AM724" s="1337"/>
      <c r="AN724" s="1337"/>
      <c r="AO724" s="1338"/>
      <c r="AP724" s="3"/>
      <c r="AQ724" s="3"/>
      <c r="AR724" s="3"/>
      <c r="AS724" s="3"/>
      <c r="AY724" s="116"/>
      <c r="AZ724" s="118">
        <f>IF($G724=0,"N/A",VLOOKUP($T$189,TC_Rent,(MATCH($B724,bedrooms,FALSE)),FALSE))</f>
        <v>3504</v>
      </c>
      <c r="BA724" s="3"/>
      <c r="BB724" s="3"/>
      <c r="BC724" s="3"/>
      <c r="BD724" s="3"/>
      <c r="BE724" s="205"/>
      <c r="BF724" s="295">
        <f t="shared" si="10"/>
        <v>5</v>
      </c>
      <c r="BG724" s="298">
        <f t="shared" si="11"/>
        <v>3.4965034965034968E-2</v>
      </c>
      <c r="BH724" s="299">
        <f t="shared" si="12"/>
        <v>1.048951048951049E-2</v>
      </c>
      <c r="BI724" s="3"/>
      <c r="BJ724" s="3"/>
      <c r="BK724" s="3"/>
      <c r="BL724" s="3"/>
      <c r="BM724" s="3"/>
      <c r="BN724" s="3"/>
      <c r="BS724" s="295">
        <f t="shared" si="13"/>
        <v>5</v>
      </c>
      <c r="BT724" s="298">
        <f t="shared" si="14"/>
        <v>3.4965034965034968E-2</v>
      </c>
      <c r="BU724" s="299">
        <f t="shared" si="15"/>
        <v>1.048951048951049E-2</v>
      </c>
      <c r="CC724" s="3"/>
      <c r="CE724" s="3"/>
      <c r="CF724" s="3"/>
      <c r="CG724" s="1462">
        <f t="shared" si="37"/>
        <v>0</v>
      </c>
      <c r="CH724" s="1463"/>
      <c r="CI724" s="1468">
        <f t="shared" si="38"/>
        <v>0</v>
      </c>
      <c r="CJ724" s="1469"/>
      <c r="CK724" s="1462">
        <f t="shared" si="16"/>
        <v>1</v>
      </c>
      <c r="CL724" s="1463"/>
      <c r="CM724" s="1468">
        <f t="shared" si="17"/>
        <v>5</v>
      </c>
      <c r="CN724" s="1469"/>
      <c r="CO724" s="3"/>
      <c r="CP724" s="1457">
        <f t="shared" si="18"/>
        <v>0</v>
      </c>
      <c r="CQ724" s="1458"/>
      <c r="CR724" s="1458"/>
      <c r="CS724" s="1458"/>
      <c r="CT724" s="1459"/>
      <c r="CU724" s="1442">
        <f t="shared" si="19"/>
        <v>0</v>
      </c>
      <c r="CV724" s="1442"/>
      <c r="CW724" s="1442"/>
      <c r="CX724" s="1442"/>
      <c r="CY724" s="1442"/>
      <c r="CZ724" s="1442">
        <f t="shared" si="20"/>
        <v>5</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5</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f t="shared" si="32"/>
        <v>881.2</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9"/>
        <v>0</v>
      </c>
      <c r="Y725" s="1352"/>
      <c r="Z725" s="1352"/>
      <c r="AA725" s="1352"/>
      <c r="AB725" s="1353"/>
      <c r="AC725" s="1358"/>
      <c r="AD725" s="1359"/>
      <c r="AE725" s="1359"/>
      <c r="AF725" s="1359"/>
      <c r="AG725" s="1360"/>
      <c r="AH725" s="1354" t="str">
        <f t="shared" si="36"/>
        <v/>
      </c>
      <c r="AI725" s="1355"/>
      <c r="AJ725" s="1356"/>
      <c r="AK725" s="1336" t="s">
        <v>592</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9"/>
        <v>0</v>
      </c>
      <c r="Y726" s="1352"/>
      <c r="Z726" s="1352"/>
      <c r="AA726" s="1352"/>
      <c r="AB726" s="1353"/>
      <c r="AC726" s="1358"/>
      <c r="AD726" s="1359"/>
      <c r="AE726" s="1359"/>
      <c r="AF726" s="1359"/>
      <c r="AG726" s="1360"/>
      <c r="AH726" s="1354" t="str">
        <f t="shared" si="36"/>
        <v/>
      </c>
      <c r="AI726" s="1355"/>
      <c r="AJ726" s="1356"/>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9"/>
        <v>0</v>
      </c>
      <c r="Y727" s="1352"/>
      <c r="Z727" s="1352"/>
      <c r="AA727" s="1352"/>
      <c r="AB727" s="1353"/>
      <c r="AC727" s="1358"/>
      <c r="AD727" s="1359"/>
      <c r="AE727" s="1359"/>
      <c r="AF727" s="1359"/>
      <c r="AG727" s="1360"/>
      <c r="AH727" s="1354" t="str">
        <f t="shared" si="36"/>
        <v/>
      </c>
      <c r="AI727" s="1355"/>
      <c r="AJ727" s="1356"/>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9"/>
        <v>0</v>
      </c>
      <c r="Y728" s="1352"/>
      <c r="Z728" s="1352"/>
      <c r="AA728" s="1352"/>
      <c r="AB728" s="1353"/>
      <c r="AC728" s="1358"/>
      <c r="AD728" s="1359"/>
      <c r="AE728" s="1359"/>
      <c r="AF728" s="1359"/>
      <c r="AG728" s="1360"/>
      <c r="AH728" s="1354" t="str">
        <f t="shared" si="36"/>
        <v/>
      </c>
      <c r="AI728" s="1355"/>
      <c r="AJ728" s="1356"/>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9"/>
        <v>0</v>
      </c>
      <c r="Y729" s="1352"/>
      <c r="Z729" s="1352"/>
      <c r="AA729" s="1352"/>
      <c r="AB729" s="1353"/>
      <c r="AC729" s="1358"/>
      <c r="AD729" s="1359"/>
      <c r="AE729" s="1359"/>
      <c r="AF729" s="1359"/>
      <c r="AG729" s="1360"/>
      <c r="AH729" s="1354" t="str">
        <f t="shared" si="36"/>
        <v/>
      </c>
      <c r="AI729" s="1355"/>
      <c r="AJ729" s="1356"/>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9"/>
        <v>0</v>
      </c>
      <c r="Y730" s="1352"/>
      <c r="Z730" s="1352"/>
      <c r="AA730" s="1352"/>
      <c r="AB730" s="1353"/>
      <c r="AC730" s="1358"/>
      <c r="AD730" s="1359"/>
      <c r="AE730" s="1359"/>
      <c r="AF730" s="1359"/>
      <c r="AG730" s="1360"/>
      <c r="AH730" s="1354" t="str">
        <f t="shared" si="36"/>
        <v/>
      </c>
      <c r="AI730" s="1355"/>
      <c r="AJ730" s="1356"/>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9"/>
        <v>0</v>
      </c>
      <c r="Y731" s="1352"/>
      <c r="Z731" s="1352"/>
      <c r="AA731" s="1352"/>
      <c r="AB731" s="1353"/>
      <c r="AC731" s="1358"/>
      <c r="AD731" s="1359"/>
      <c r="AE731" s="1359"/>
      <c r="AF731" s="1359"/>
      <c r="AG731" s="1360"/>
      <c r="AH731" s="1354" t="str">
        <f t="shared" si="36"/>
        <v/>
      </c>
      <c r="AI731" s="1355"/>
      <c r="AJ731" s="1356"/>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9"/>
        <v>0</v>
      </c>
      <c r="Y732" s="1352"/>
      <c r="Z732" s="1352"/>
      <c r="AA732" s="1352"/>
      <c r="AB732" s="1353"/>
      <c r="AC732" s="1358"/>
      <c r="AD732" s="1359"/>
      <c r="AE732" s="1359"/>
      <c r="AF732" s="1359"/>
      <c r="AG732" s="1360"/>
      <c r="AH732" s="1354" t="str">
        <f t="shared" si="36"/>
        <v/>
      </c>
      <c r="AI732" s="1355"/>
      <c r="AJ732" s="1356"/>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9"/>
        <v>0</v>
      </c>
      <c r="Y733" s="1352"/>
      <c r="Z733" s="1352"/>
      <c r="AA733" s="1352"/>
      <c r="AB733" s="1353"/>
      <c r="AC733" s="1358"/>
      <c r="AD733" s="1359"/>
      <c r="AE733" s="1359"/>
      <c r="AF733" s="1359"/>
      <c r="AG733" s="1360"/>
      <c r="AH733" s="1354" t="str">
        <f t="shared" si="36"/>
        <v/>
      </c>
      <c r="AI733" s="1355"/>
      <c r="AJ733" s="1356"/>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9"/>
        <v>0</v>
      </c>
      <c r="Y734" s="1352"/>
      <c r="Z734" s="1352"/>
      <c r="AA734" s="1352"/>
      <c r="AB734" s="1353"/>
      <c r="AC734" s="1358"/>
      <c r="AD734" s="1359"/>
      <c r="AE734" s="1359"/>
      <c r="AF734" s="1359"/>
      <c r="AG734" s="1360"/>
      <c r="AH734" s="1354" t="str">
        <f t="shared" si="36"/>
        <v/>
      </c>
      <c r="AI734" s="1355"/>
      <c r="AJ734" s="1356"/>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9"/>
        <v>0</v>
      </c>
      <c r="Y735" s="1352"/>
      <c r="Z735" s="1352"/>
      <c r="AA735" s="1352"/>
      <c r="AB735" s="1353"/>
      <c r="AC735" s="1358"/>
      <c r="AD735" s="1359"/>
      <c r="AE735" s="1359"/>
      <c r="AF735" s="1359"/>
      <c r="AG735" s="1360"/>
      <c r="AH735" s="1354" t="str">
        <f t="shared" si="36"/>
        <v/>
      </c>
      <c r="AI735" s="1355"/>
      <c r="AJ735" s="1356"/>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9"/>
        <v>0</v>
      </c>
      <c r="Y736" s="1352"/>
      <c r="Z736" s="1352"/>
      <c r="AA736" s="1352"/>
      <c r="AB736" s="1353"/>
      <c r="AC736" s="1358"/>
      <c r="AD736" s="1359"/>
      <c r="AE736" s="1359"/>
      <c r="AF736" s="1359"/>
      <c r="AG736" s="1360"/>
      <c r="AH736" s="1354" t="str">
        <f t="shared" si="36"/>
        <v/>
      </c>
      <c r="AI736" s="1355"/>
      <c r="AJ736" s="1356"/>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9"/>
        <v>0</v>
      </c>
      <c r="Y737" s="1352"/>
      <c r="Z737" s="1352"/>
      <c r="AA737" s="1352"/>
      <c r="AB737" s="1353"/>
      <c r="AC737" s="1358"/>
      <c r="AD737" s="1359"/>
      <c r="AE737" s="1359"/>
      <c r="AF737" s="1359"/>
      <c r="AG737" s="1360"/>
      <c r="AH737" s="1354" t="str">
        <f t="shared" si="36"/>
        <v/>
      </c>
      <c r="AI737" s="1355"/>
      <c r="AJ737" s="1356"/>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9"/>
        <v>0</v>
      </c>
      <c r="Y738" s="1352"/>
      <c r="Z738" s="1352"/>
      <c r="AA738" s="1352"/>
      <c r="AB738" s="1353"/>
      <c r="AC738" s="1358"/>
      <c r="AD738" s="1359"/>
      <c r="AE738" s="1359"/>
      <c r="AF738" s="1359"/>
      <c r="AG738" s="1360"/>
      <c r="AH738" s="1354" t="str">
        <f t="shared" si="36"/>
        <v/>
      </c>
      <c r="AI738" s="1355"/>
      <c r="AJ738" s="1356"/>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9"/>
        <v>0</v>
      </c>
      <c r="Y739" s="1352"/>
      <c r="Z739" s="1352"/>
      <c r="AA739" s="1352"/>
      <c r="AB739" s="1353"/>
      <c r="AC739" s="1358"/>
      <c r="AD739" s="1359"/>
      <c r="AE739" s="1359"/>
      <c r="AF739" s="1359"/>
      <c r="AG739" s="1360"/>
      <c r="AH739" s="1354" t="str">
        <f t="shared" si="36"/>
        <v/>
      </c>
      <c r="AI739" s="1355"/>
      <c r="AJ739" s="1356"/>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9"/>
        <v>0</v>
      </c>
      <c r="Y740" s="1352"/>
      <c r="Z740" s="1352"/>
      <c r="AA740" s="1352"/>
      <c r="AB740" s="1353"/>
      <c r="AC740" s="1358"/>
      <c r="AD740" s="1359"/>
      <c r="AE740" s="1359"/>
      <c r="AF740" s="1359"/>
      <c r="AG740" s="1360"/>
      <c r="AH740" s="1354" t="str">
        <f t="shared" si="36"/>
        <v/>
      </c>
      <c r="AI740" s="1355"/>
      <c r="AJ740" s="1356"/>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9"/>
        <v>0</v>
      </c>
      <c r="Y741" s="1352"/>
      <c r="Z741" s="1352"/>
      <c r="AA741" s="1352"/>
      <c r="AB741" s="1353"/>
      <c r="AC741" s="1358"/>
      <c r="AD741" s="1359"/>
      <c r="AE741" s="1359"/>
      <c r="AF741" s="1359"/>
      <c r="AG741" s="1360"/>
      <c r="AH741" s="1354" t="str">
        <f t="shared" si="36"/>
        <v/>
      </c>
      <c r="AI741" s="1355"/>
      <c r="AJ741" s="1356"/>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6"/>
        <v/>
      </c>
      <c r="AI742" s="1355"/>
      <c r="AJ742" s="1356"/>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6"/>
        <v/>
      </c>
      <c r="AI743" s="1355"/>
      <c r="AJ743" s="1356"/>
      <c r="AK743" s="1336" t="s">
        <v>592</v>
      </c>
      <c r="AL743" s="1337"/>
      <c r="AM743" s="1337"/>
      <c r="AN743" s="1337"/>
      <c r="AO743" s="1338"/>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6"/>
        <v/>
      </c>
      <c r="AI744" s="1355"/>
      <c r="AJ744" s="1356"/>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6"/>
        <v/>
      </c>
      <c r="AI745" s="1355"/>
      <c r="AJ745" s="1356"/>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6"/>
        <v/>
      </c>
      <c r="AI746" s="1355"/>
      <c r="AJ746" s="1356"/>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6"/>
        <v/>
      </c>
      <c r="AI747" s="1355"/>
      <c r="AJ747" s="1356"/>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6"/>
        <v/>
      </c>
      <c r="AI748" s="1355"/>
      <c r="AJ748" s="1356"/>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6"/>
        <v/>
      </c>
      <c r="AI749" s="1355"/>
      <c r="AJ749" s="1356"/>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6"/>
        <v/>
      </c>
      <c r="AI750" s="1355"/>
      <c r="AJ750" s="1356"/>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6"/>
        <v/>
      </c>
      <c r="AI751" s="1355"/>
      <c r="AJ751" s="1356"/>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6"/>
        <v/>
      </c>
      <c r="AI752" s="1355"/>
      <c r="AJ752" s="1356"/>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143</v>
      </c>
      <c r="H753" s="1621"/>
      <c r="I753" s="1621"/>
      <c r="J753" s="1622"/>
      <c r="K753" s="903" t="s">
        <v>124</v>
      </c>
      <c r="L753" s="5"/>
      <c r="M753" s="5"/>
      <c r="N753" s="46"/>
      <c r="O753" s="1351">
        <f>SUMPRODUCT(G718:G752,O718:O752)</f>
        <v>75910.399999999994</v>
      </c>
      <c r="P753" s="1352"/>
      <c r="Q753" s="1352"/>
      <c r="R753" s="1352"/>
      <c r="S753" s="1353"/>
      <c r="T753"/>
      <c r="U753"/>
      <c r="V753"/>
      <c r="W753"/>
      <c r="X753" s="905" t="s">
        <v>901</v>
      </c>
      <c r="Y753" s="904"/>
      <c r="Z753" s="904"/>
      <c r="AA753" s="904"/>
      <c r="AB753" s="906"/>
      <c r="AC753" s="1603">
        <f>BH753</f>
        <v>0.29999999999999993</v>
      </c>
      <c r="AD753" s="1604"/>
      <c r="AE753" s="1604"/>
      <c r="AF753" s="1604"/>
      <c r="AG753" s="1605"/>
      <c r="AH753" s="1603">
        <f>IFERROR(BU753,"")</f>
        <v>0.22097902097902103</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143</v>
      </c>
      <c r="BG753" s="301">
        <f>SUM(BG718:BG752)</f>
        <v>1</v>
      </c>
      <c r="BH753" s="301">
        <f>SUM(BH718:BH752)</f>
        <v>0.29999999999999993</v>
      </c>
      <c r="BI753"/>
      <c r="BJ753"/>
      <c r="BK753"/>
      <c r="BL753"/>
      <c r="BO753"/>
      <c r="BP753"/>
      <c r="BQ753"/>
      <c r="BR753"/>
      <c r="BS753" s="860">
        <f>SUM(BS718:BS752)</f>
        <v>143</v>
      </c>
      <c r="BT753" s="301">
        <f>SUM(BT718:BT752)</f>
        <v>1</v>
      </c>
      <c r="BU753" s="301">
        <f>SUM(BU718:BU752)</f>
        <v>0.22097902097902103</v>
      </c>
      <c r="CI753" s="1462">
        <f>SUM(CI718:CJ752)</f>
        <v>0</v>
      </c>
      <c r="CJ753" s="1463"/>
      <c r="CM753" s="1462">
        <f>SUM(CM718:CN752)</f>
        <v>143</v>
      </c>
      <c r="CN753" s="1463"/>
      <c r="CP753" s="1462">
        <f>SUM(CP718:CT752)</f>
        <v>138</v>
      </c>
      <c r="CQ753" s="1464"/>
      <c r="CR753" s="1464"/>
      <c r="CS753" s="1464"/>
      <c r="CT753" s="1463"/>
      <c r="CU753" s="1460">
        <f>SUM(CU718:CY752)</f>
        <v>0</v>
      </c>
      <c r="CV753" s="1460"/>
      <c r="CW753" s="1460"/>
      <c r="CX753" s="1460"/>
      <c r="CY753" s="1460"/>
      <c r="CZ753" s="1460">
        <f>SUM(CZ718:DD752)</f>
        <v>5</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138</v>
      </c>
      <c r="DV753" s="1460"/>
      <c r="DW753" s="1460"/>
      <c r="DX753" s="1460"/>
      <c r="DY753" s="1460"/>
      <c r="DZ753" s="1460">
        <f>SUM(DZ718:ED752)</f>
        <v>0</v>
      </c>
      <c r="EA753" s="1460"/>
      <c r="EB753" s="1460"/>
      <c r="EC753" s="1460"/>
      <c r="ED753" s="1460"/>
      <c r="EE753" s="1460">
        <f>SUM(EE718:EI752)</f>
        <v>5</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2616.4</v>
      </c>
      <c r="FA753" s="1460"/>
      <c r="FB753" s="1460"/>
      <c r="FC753" s="1460"/>
      <c r="FD753" s="1460"/>
      <c r="FE753" s="1460">
        <f>SUM(FE718:FI752)</f>
        <v>0</v>
      </c>
      <c r="FF753" s="1460"/>
      <c r="FG753" s="1460"/>
      <c r="FH753" s="1460"/>
      <c r="FI753" s="1460"/>
      <c r="FJ753" s="1460">
        <f>SUM(FJ718:FN752)</f>
        <v>881.2</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143</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138</v>
      </c>
      <c r="CU755" s="3"/>
      <c r="CV755" s="3"/>
      <c r="CW755" s="3"/>
      <c r="CX755" s="3"/>
      <c r="CY755" s="862">
        <f>CU753*1</f>
        <v>0</v>
      </c>
      <c r="CZ755" s="3"/>
      <c r="DA755" s="3"/>
      <c r="DB755" s="3"/>
      <c r="DC755" s="3"/>
      <c r="DD755" s="862">
        <f>CZ753*2</f>
        <v>10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148</v>
      </c>
      <c r="DV755" s="57" t="s">
        <v>1864</v>
      </c>
      <c r="DW755" s="3"/>
      <c r="DX755" s="3"/>
      <c r="DY755" s="3"/>
      <c r="DZ755" s="3"/>
      <c r="EA755" s="3"/>
      <c r="EB755" s="3"/>
      <c r="EC755" s="3"/>
      <c r="ED755" s="3"/>
      <c r="EE755" s="3"/>
      <c r="EF755" s="3"/>
      <c r="EG755" s="3"/>
      <c r="EH755" s="3"/>
    </row>
    <row r="756" spans="1:185" ht="12.95" customHeight="1">
      <c r="A756" s="3"/>
      <c r="B756" s="3"/>
      <c r="C756" s="118" t="s">
        <v>1893</v>
      </c>
      <c r="D756" s="1033"/>
      <c r="E756" s="1033"/>
      <c r="F756" s="1033"/>
      <c r="G756" s="1034"/>
      <c r="H756" s="1034"/>
      <c r="I756" s="1034"/>
      <c r="J756" s="1034"/>
      <c r="K756" s="1033"/>
      <c r="L756" s="1033"/>
      <c r="M756" s="1033"/>
      <c r="N756" s="1033"/>
      <c r="O756" s="1460">
        <f>DU755</f>
        <v>148</v>
      </c>
      <c r="P756" s="1460"/>
      <c r="Q756" s="1460"/>
      <c r="R756" s="1460"/>
      <c r="S756" s="970"/>
      <c r="T756" s="970"/>
      <c r="U756" s="118" t="s">
        <v>1894</v>
      </c>
      <c r="V756" s="1033"/>
      <c r="W756" s="1033"/>
      <c r="X756" s="1033"/>
      <c r="Y756" s="1034"/>
      <c r="Z756" s="1034"/>
      <c r="AA756" s="1034"/>
      <c r="AB756" s="1034"/>
      <c r="AC756" s="1033"/>
      <c r="AD756" s="1033"/>
      <c r="AE756" s="1033"/>
      <c r="AF756" s="1033"/>
      <c r="AG756" s="1626">
        <f>O756</f>
        <v>148</v>
      </c>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618" t="s">
        <v>285</v>
      </c>
      <c r="P769" s="1618"/>
      <c r="Q769" s="1618"/>
      <c r="R769" s="1618"/>
      <c r="S769" s="1618"/>
      <c r="T769" s="1719" t="s">
        <v>1680</v>
      </c>
      <c r="U769" s="1720"/>
      <c r="V769" s="1720"/>
      <c r="W769" s="1721"/>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8"/>
      <c r="P770" s="1618"/>
      <c r="Q770" s="1618"/>
      <c r="R770" s="1618"/>
      <c r="S770" s="1618"/>
      <c r="T770" s="1722"/>
      <c r="U770" s="1723"/>
      <c r="V770" s="1723"/>
      <c r="W770" s="1724"/>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8"/>
      <c r="P771" s="1618"/>
      <c r="Q771" s="1618"/>
      <c r="R771" s="1618"/>
      <c r="S771" s="1618"/>
      <c r="T771" s="1722"/>
      <c r="U771" s="1723"/>
      <c r="V771" s="1723"/>
      <c r="W771" s="1724"/>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8"/>
      <c r="P772" s="1618"/>
      <c r="Q772" s="1618"/>
      <c r="R772" s="1618"/>
      <c r="S772" s="1618"/>
      <c r="T772" s="1725"/>
      <c r="U772" s="1726"/>
      <c r="V772" s="1726"/>
      <c r="W772" s="1727"/>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163</v>
      </c>
      <c r="K773" s="1337"/>
      <c r="L773" s="1337"/>
      <c r="M773" s="1337"/>
      <c r="N773" s="1338"/>
      <c r="O773" s="1612">
        <v>1</v>
      </c>
      <c r="P773" s="1612"/>
      <c r="Q773" s="1612"/>
      <c r="R773" s="1612"/>
      <c r="S773" s="1612"/>
      <c r="T773" s="1342">
        <v>916</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2.95"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618" t="s">
        <v>285</v>
      </c>
      <c r="P783" s="1618"/>
      <c r="Q783" s="1618"/>
      <c r="R783" s="1618"/>
      <c r="S783" s="1618"/>
      <c r="T783" s="1719" t="s">
        <v>1680</v>
      </c>
      <c r="U783" s="1720"/>
      <c r="V783" s="1720"/>
      <c r="W783" s="1721"/>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8"/>
      <c r="P784" s="1618"/>
      <c r="Q784" s="1618"/>
      <c r="R784" s="1618"/>
      <c r="S784" s="1618"/>
      <c r="T784" s="1722"/>
      <c r="U784" s="1723"/>
      <c r="V784" s="1723"/>
      <c r="W784" s="1724"/>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8"/>
      <c r="P785" s="1618"/>
      <c r="Q785" s="1618"/>
      <c r="R785" s="1618"/>
      <c r="S785" s="1618"/>
      <c r="T785" s="1722"/>
      <c r="U785" s="1723"/>
      <c r="V785" s="1723"/>
      <c r="W785" s="1724"/>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8"/>
      <c r="P786" s="1618"/>
      <c r="Q786" s="1618"/>
      <c r="R786" s="1618"/>
      <c r="S786" s="1618"/>
      <c r="T786" s="1725"/>
      <c r="U786" s="1726"/>
      <c r="V786" s="1726"/>
      <c r="W786" s="1727"/>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75910.399999999994</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910924.79999999993</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138</v>
      </c>
      <c r="CQ802" s="1472"/>
      <c r="CR802" s="1472"/>
      <c r="CS802" s="1472"/>
      <c r="CT802" s="1473"/>
      <c r="CU802" s="1471">
        <f>CU753+CU777+CU797</f>
        <v>0</v>
      </c>
      <c r="CV802" s="1472"/>
      <c r="CW802" s="1472"/>
      <c r="CX802" s="1472"/>
      <c r="CY802" s="1473"/>
      <c r="CZ802" s="1471">
        <f>CZ753+CZ777+CZ797</f>
        <v>6</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148</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21</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15</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t="s">
        <v>2626</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340692</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21450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21450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1273066.7999999998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7"/>
      <c r="E825" s="1357"/>
      <c r="F825" s="1357"/>
      <c r="G825" s="1357"/>
      <c r="H825" s="1357"/>
      <c r="I825" s="48"/>
      <c r="J825" s="48"/>
      <c r="K825" s="48"/>
      <c r="L825" s="49"/>
      <c r="M825" s="1641">
        <v>26</v>
      </c>
      <c r="N825" s="1641"/>
      <c r="O825" s="1641"/>
      <c r="P825" s="1641"/>
      <c r="Q825" s="1641"/>
      <c r="R825" s="1641"/>
      <c r="S825" s="1641"/>
      <c r="T825" s="1641"/>
      <c r="U825" s="1641">
        <v>49</v>
      </c>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v>20</v>
      </c>
      <c r="N826" s="1641"/>
      <c r="O826" s="1641"/>
      <c r="P826" s="1641"/>
      <c r="Q826" s="1641"/>
      <c r="R826" s="1641"/>
      <c r="S826" s="1641"/>
      <c r="T826" s="1641"/>
      <c r="U826" s="1641">
        <v>46</v>
      </c>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6</v>
      </c>
      <c r="N827" s="1641"/>
      <c r="O827" s="1641"/>
      <c r="P827" s="1641"/>
      <c r="Q827" s="1641"/>
      <c r="R827" s="1641"/>
      <c r="S827" s="1641"/>
      <c r="T827" s="1641"/>
      <c r="U827" s="1641">
        <v>18</v>
      </c>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v>24</v>
      </c>
      <c r="N829" s="1641"/>
      <c r="O829" s="1641"/>
      <c r="P829" s="1641"/>
      <c r="Q829" s="1641"/>
      <c r="R829" s="1641"/>
      <c r="S829" s="1641"/>
      <c r="T829" s="1641"/>
      <c r="U829" s="1641">
        <v>57</v>
      </c>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76</v>
      </c>
      <c r="N832" s="1635"/>
      <c r="O832" s="1635"/>
      <c r="P832" s="1635"/>
      <c r="Q832" s="1635">
        <f>SUM(Q825:T831)</f>
        <v>0</v>
      </c>
      <c r="R832" s="1635"/>
      <c r="S832" s="1635"/>
      <c r="T832" s="1635"/>
      <c r="U832" s="1635">
        <f>SUM(U825:X831)</f>
        <v>170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2721</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25400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SUM(W842:AC846)</f>
        <v>25400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343432</v>
      </c>
      <c r="X849" s="1466"/>
      <c r="Y849" s="1466"/>
      <c r="Z849" s="1466"/>
      <c r="AA849" s="1466"/>
      <c r="AB849" s="1466"/>
      <c r="AC849" s="1467"/>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v>24000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60000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90000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SUM(W851:AC854)</f>
        <v>174000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c r="X857" s="1630"/>
      <c r="Y857" s="1630"/>
      <c r="Z857" s="1630"/>
      <c r="AA857" s="1630"/>
      <c r="AB857" s="1630"/>
      <c r="AC857" s="1631"/>
      <c r="AD857" s="529"/>
      <c r="AZ857" s="34"/>
      <c r="BA857" s="34"/>
      <c r="BB857" s="34"/>
      <c r="BC857" s="34"/>
    </row>
    <row r="858" spans="3:55" ht="12.95" customHeight="1">
      <c r="C858" s="2" t="s">
        <v>347</v>
      </c>
      <c r="J858" s="121" t="s">
        <v>1656</v>
      </c>
      <c r="K858" s="5"/>
      <c r="L858" s="5"/>
      <c r="M858" s="5"/>
      <c r="N858" s="5"/>
      <c r="O858" s="5"/>
      <c r="P858" s="5"/>
      <c r="Q858" s="5"/>
      <c r="R858" s="5"/>
      <c r="S858" s="5"/>
      <c r="T858" s="1709">
        <v>3</v>
      </c>
      <c r="U858" s="1696"/>
      <c r="V858" s="1710"/>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29">
        <v>214032</v>
      </c>
      <c r="X859" s="1630"/>
      <c r="Y859" s="1630"/>
      <c r="Z859" s="1630"/>
      <c r="AA859" s="1630"/>
      <c r="AB859" s="1630"/>
      <c r="AC859" s="1631"/>
      <c r="AD859" s="534"/>
      <c r="AZ859" s="34"/>
      <c r="BA859" s="34"/>
      <c r="BB859" s="34"/>
      <c r="BC859" s="34"/>
    </row>
    <row r="860" spans="3:55" ht="12.95" customHeight="1">
      <c r="C860" s="2"/>
      <c r="J860" s="121" t="s">
        <v>1657</v>
      </c>
      <c r="K860" s="5"/>
      <c r="L860" s="5"/>
      <c r="M860" s="5"/>
      <c r="N860" s="5"/>
      <c r="O860" s="5"/>
      <c r="P860" s="5"/>
      <c r="Q860" s="5"/>
      <c r="R860" s="5"/>
      <c r="S860" s="5"/>
      <c r="T860" s="1709">
        <v>3</v>
      </c>
      <c r="U860" s="1696"/>
      <c r="V860" s="1710"/>
      <c r="W860" s="875"/>
      <c r="X860" s="876"/>
      <c r="Y860" s="876"/>
      <c r="Z860" s="876"/>
      <c r="AA860" s="876"/>
      <c r="AB860" s="876"/>
      <c r="AC860" s="877"/>
      <c r="AD860" s="534"/>
      <c r="AZ860" s="34"/>
      <c r="BA860" s="34"/>
      <c r="BB860" s="34"/>
      <c r="BC860" s="34"/>
    </row>
    <row r="861" spans="3:55" ht="12.95" customHeight="1">
      <c r="J861" s="45" t="s">
        <v>170</v>
      </c>
      <c r="K861" s="5"/>
      <c r="L861" s="5"/>
      <c r="M861" s="1592" t="s">
        <v>2627</v>
      </c>
      <c r="N861" s="1593"/>
      <c r="O861" s="1593"/>
      <c r="P861" s="1593"/>
      <c r="Q861" s="1593"/>
      <c r="R861" s="1593"/>
      <c r="S861" s="1593"/>
      <c r="T861" s="1593"/>
      <c r="U861" s="1593"/>
      <c r="V861" s="1594"/>
      <c r="W861" s="1629">
        <f>82252+17172+31081-1</f>
        <v>130504</v>
      </c>
      <c r="X861" s="1630"/>
      <c r="Y861" s="1630"/>
      <c r="Z861" s="1630"/>
      <c r="AA861" s="1630"/>
      <c r="AB861" s="1630"/>
      <c r="AC861" s="1631"/>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SUM(W857:AC861)</f>
        <v>344536</v>
      </c>
      <c r="X862" s="1712"/>
      <c r="Y862" s="1712"/>
      <c r="Z862" s="1712"/>
      <c r="AA862" s="1712"/>
      <c r="AB862" s="1712"/>
      <c r="AC862" s="1713"/>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100000</v>
      </c>
      <c r="X863" s="1630"/>
      <c r="Y863" s="1630"/>
      <c r="Z863" s="1630"/>
      <c r="AA863" s="1630"/>
      <c r="AB863" s="1630"/>
      <c r="AC863" s="1631"/>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f>126500-AC894</f>
        <v>112975</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27600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SUM(W865:AC871)</f>
        <v>140575</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4"/>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4"/>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SUM(W874:AC878)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1127943</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4">
        <f>O797+O777+G753</f>
        <v>144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7832</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'Sources and Uses Budget'!C75</f>
        <v>523590</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840892</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72000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40000</v>
      </c>
      <c r="AD891" s="1466"/>
      <c r="AE891" s="1466"/>
      <c r="AF891" s="1466"/>
      <c r="AG891" s="1466"/>
      <c r="AH891" s="1467"/>
      <c r="AZ891" s="34"/>
      <c r="BA891" s="34"/>
      <c r="BB891" s="34"/>
      <c r="BC891" s="34"/>
    </row>
    <row r="892" spans="3:55" ht="12.95" hidden="1" customHeight="1">
      <c r="C892" s="1448" t="s">
        <v>2236</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2730</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13525</v>
      </c>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2.95" customHeight="1">
      <c r="AZ909" s="34"/>
      <c r="BB909" s="30"/>
      <c r="BC909" s="817"/>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8"/>
      <c r="BE910" s="1627"/>
      <c r="BF910" s="912"/>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0" t="s">
        <v>546</v>
      </c>
      <c r="V918" s="1401"/>
      <c r="W918" s="1401"/>
      <c r="X918" s="1401"/>
      <c r="Y918" s="1401"/>
      <c r="Z918" s="1402"/>
      <c r="AA918" s="1406">
        <f>AM554</f>
        <v>27010622</v>
      </c>
      <c r="AB918" s="1407"/>
      <c r="AC918" s="1407"/>
      <c r="AD918" s="1407"/>
      <c r="AE918" s="1407"/>
      <c r="AF918" s="1408"/>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0" t="s">
        <v>546</v>
      </c>
      <c r="V919" s="1401"/>
      <c r="W919" s="1401"/>
      <c r="X919" s="1401"/>
      <c r="Y919" s="1401"/>
      <c r="Z919" s="1402"/>
      <c r="AA919" s="1406">
        <f>AM555</f>
        <v>6000000</v>
      </c>
      <c r="AB919" s="1407"/>
      <c r="AC919" s="1407"/>
      <c r="AD919" s="1407"/>
      <c r="AE919" s="1407"/>
      <c r="AF919" s="1408"/>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0" t="s">
        <v>592</v>
      </c>
      <c r="V920" s="1401"/>
      <c r="W920" s="1401"/>
      <c r="X920" s="1401"/>
      <c r="Y920" s="1401"/>
      <c r="Z920" s="1402"/>
      <c r="AA920" s="1406"/>
      <c r="AB920" s="1407"/>
      <c r="AC920" s="1407"/>
      <c r="AD920" s="1407"/>
      <c r="AE920" s="1407"/>
      <c r="AF920" s="1408"/>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0" t="s">
        <v>592</v>
      </c>
      <c r="V921" s="1401"/>
      <c r="W921" s="1401"/>
      <c r="X921" s="1401"/>
      <c r="Y921" s="1401"/>
      <c r="Z921" s="1402"/>
      <c r="AA921" s="1406"/>
      <c r="AB921" s="1407"/>
      <c r="AC921" s="1407"/>
      <c r="AD921" s="1407"/>
      <c r="AE921" s="1407"/>
      <c r="AF921" s="1408"/>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0" t="s">
        <v>592</v>
      </c>
      <c r="V922" s="1401"/>
      <c r="W922" s="1401"/>
      <c r="X922" s="1401"/>
      <c r="Y922" s="1401"/>
      <c r="Z922" s="1402"/>
      <c r="AA922" s="1406"/>
      <c r="AB922" s="1407"/>
      <c r="AC922" s="1407"/>
      <c r="AD922" s="1407"/>
      <c r="AE922" s="1407"/>
      <c r="AF922" s="1408"/>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0" t="s">
        <v>592</v>
      </c>
      <c r="V923" s="1401"/>
      <c r="W923" s="1401"/>
      <c r="X923" s="1401"/>
      <c r="Y923" s="1401"/>
      <c r="Z923" s="1402"/>
      <c r="AA923" s="1406"/>
      <c r="AB923" s="1407"/>
      <c r="AC923" s="1407"/>
      <c r="AD923" s="1407"/>
      <c r="AE923" s="1407"/>
      <c r="AF923" s="1408"/>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0" t="s">
        <v>592</v>
      </c>
      <c r="V924" s="1401"/>
      <c r="W924" s="1401"/>
      <c r="X924" s="1401"/>
      <c r="Y924" s="1401"/>
      <c r="Z924" s="1402"/>
      <c r="AA924" s="1406"/>
      <c r="AB924" s="1407"/>
      <c r="AC924" s="1407"/>
      <c r="AD924" s="1407"/>
      <c r="AE924" s="1407"/>
      <c r="AF924" s="1408"/>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0" t="s">
        <v>592</v>
      </c>
      <c r="V925" s="1401"/>
      <c r="W925" s="1401"/>
      <c r="X925" s="1401"/>
      <c r="Y925" s="1401"/>
      <c r="Z925" s="1402"/>
      <c r="AA925" s="1406"/>
      <c r="AB925" s="1407"/>
      <c r="AC925" s="1407"/>
      <c r="AD925" s="1407"/>
      <c r="AE925" s="1407"/>
      <c r="AF925" s="1408"/>
      <c r="AZ925" s="34"/>
      <c r="BA925" s="34"/>
      <c r="BB925" s="34"/>
      <c r="BC925" s="34"/>
    </row>
    <row r="926" spans="1:58" ht="12.95" customHeight="1">
      <c r="F926" s="1600" t="s">
        <v>2195</v>
      </c>
      <c r="G926" s="1601"/>
      <c r="H926" s="1601"/>
      <c r="I926" s="1601"/>
      <c r="J926" s="1601"/>
      <c r="K926" s="1601"/>
      <c r="L926" s="1601"/>
      <c r="M926" s="1601"/>
      <c r="N926" s="1601"/>
      <c r="O926" s="1601"/>
      <c r="P926" s="1601"/>
      <c r="Q926" s="1601"/>
      <c r="R926" s="1601"/>
      <c r="S926" s="1601"/>
      <c r="T926" s="1602"/>
      <c r="U926" s="1400" t="s">
        <v>592</v>
      </c>
      <c r="V926" s="1401"/>
      <c r="W926" s="1401"/>
      <c r="X926" s="1401"/>
      <c r="Y926" s="1401"/>
      <c r="Z926" s="1402"/>
      <c r="AA926" s="1406"/>
      <c r="AB926" s="1407"/>
      <c r="AC926" s="1407"/>
      <c r="AD926" s="1407"/>
      <c r="AE926" s="1407"/>
      <c r="AF926" s="1408"/>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0" t="s">
        <v>592</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600" t="s">
        <v>2196</v>
      </c>
      <c r="G928" s="1601"/>
      <c r="H928" s="1601"/>
      <c r="I928" s="1601"/>
      <c r="J928" s="1601"/>
      <c r="K928" s="1601"/>
      <c r="L928" s="1601"/>
      <c r="M928" s="1601"/>
      <c r="N928" s="1601"/>
      <c r="O928" s="1601"/>
      <c r="P928" s="1601"/>
      <c r="Q928" s="1601"/>
      <c r="R928" s="1601"/>
      <c r="S928" s="1601"/>
      <c r="T928" s="1602"/>
      <c r="U928" s="1400" t="s">
        <v>592</v>
      </c>
      <c r="V928" s="1401"/>
      <c r="W928" s="1401"/>
      <c r="X928" s="1401"/>
      <c r="Y928" s="1401"/>
      <c r="Z928" s="1402"/>
      <c r="AA928" s="1406"/>
      <c r="AB928" s="1407"/>
      <c r="AC928" s="1407"/>
      <c r="AD928" s="1407"/>
      <c r="AE928" s="1407"/>
      <c r="AF928" s="1408"/>
      <c r="AU928" s="2"/>
      <c r="AZ928" s="34"/>
      <c r="BA928" s="34"/>
      <c r="BB928" s="34"/>
      <c r="BC928" s="34"/>
    </row>
    <row r="929" spans="6:55" ht="12.95" customHeight="1">
      <c r="F929" s="1600" t="s">
        <v>2197</v>
      </c>
      <c r="G929" s="1601"/>
      <c r="H929" s="1601"/>
      <c r="I929" s="1601"/>
      <c r="J929" s="1601"/>
      <c r="K929" s="1601"/>
      <c r="L929" s="1601"/>
      <c r="M929" s="1601"/>
      <c r="N929" s="1601"/>
      <c r="O929" s="1601"/>
      <c r="P929" s="1601"/>
      <c r="Q929" s="1601"/>
      <c r="R929" s="1601"/>
      <c r="S929" s="1601"/>
      <c r="T929" s="1602"/>
      <c r="U929" s="1400" t="s">
        <v>592</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600" t="s">
        <v>2198</v>
      </c>
      <c r="G930" s="1601"/>
      <c r="H930" s="1601"/>
      <c r="I930" s="1601"/>
      <c r="J930" s="1601"/>
      <c r="K930" s="1601"/>
      <c r="L930" s="1601"/>
      <c r="M930" s="1601"/>
      <c r="N930" s="1601"/>
      <c r="O930" s="1601"/>
      <c r="P930" s="1601"/>
      <c r="Q930" s="1601"/>
      <c r="R930" s="1601"/>
      <c r="S930" s="1601"/>
      <c r="T930" s="1602"/>
      <c r="U930" s="1400" t="s">
        <v>592</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600" t="s">
        <v>2199</v>
      </c>
      <c r="G931" s="1601"/>
      <c r="H931" s="1601"/>
      <c r="I931" s="1601"/>
      <c r="J931" s="1601"/>
      <c r="K931" s="1601"/>
      <c r="L931" s="1601"/>
      <c r="M931" s="1601"/>
      <c r="N931" s="1601"/>
      <c r="O931" s="1601"/>
      <c r="P931" s="1601"/>
      <c r="Q931" s="1601"/>
      <c r="R931" s="1601"/>
      <c r="S931" s="1601"/>
      <c r="T931" s="1602"/>
      <c r="U931" s="1400" t="s">
        <v>592</v>
      </c>
      <c r="V931" s="1401"/>
      <c r="W931" s="1401"/>
      <c r="X931" s="1401"/>
      <c r="Y931" s="1401"/>
      <c r="Z931" s="1402"/>
      <c r="AA931" s="1406"/>
      <c r="AB931" s="1407"/>
      <c r="AC931" s="1407"/>
      <c r="AD931" s="1407"/>
      <c r="AE931" s="1407"/>
      <c r="AF931" s="1408"/>
      <c r="AU931" s="2"/>
      <c r="AZ931" s="34"/>
      <c r="BA931" s="34"/>
      <c r="BB931" s="34"/>
      <c r="BC931" s="34"/>
    </row>
    <row r="932" spans="6:55" ht="12.95" customHeight="1">
      <c r="F932" s="1600" t="s">
        <v>2200</v>
      </c>
      <c r="G932" s="1601"/>
      <c r="H932" s="1601"/>
      <c r="I932" s="1601"/>
      <c r="J932" s="1601"/>
      <c r="K932" s="1601"/>
      <c r="L932" s="1601"/>
      <c r="M932" s="1601"/>
      <c r="N932" s="1601"/>
      <c r="O932" s="1601"/>
      <c r="P932" s="1601"/>
      <c r="Q932" s="1601"/>
      <c r="R932" s="1601"/>
      <c r="S932" s="1601"/>
      <c r="T932" s="1602"/>
      <c r="U932" s="1400" t="s">
        <v>546</v>
      </c>
      <c r="V932" s="1401"/>
      <c r="W932" s="1401"/>
      <c r="X932" s="1401"/>
      <c r="Y932" s="1401"/>
      <c r="Z932" s="1402"/>
      <c r="AA932" s="1406">
        <f>AO627</f>
        <v>32500000</v>
      </c>
      <c r="AB932" s="1407"/>
      <c r="AC932" s="1407"/>
      <c r="AD932" s="1407"/>
      <c r="AE932" s="1407"/>
      <c r="AF932" s="1408"/>
      <c r="AZ932" s="30"/>
      <c r="BA932" s="30"/>
    </row>
    <row r="933" spans="6:55" ht="12.95" customHeight="1">
      <c r="F933" s="178" t="s">
        <v>677</v>
      </c>
      <c r="G933" s="5"/>
      <c r="H933" s="5"/>
      <c r="I933" s="5"/>
      <c r="J933" s="5"/>
      <c r="K933" s="5"/>
      <c r="L933" s="5"/>
      <c r="M933" s="5"/>
      <c r="N933" s="5"/>
      <c r="O933" s="5"/>
      <c r="P933" s="5"/>
      <c r="Q933" s="5"/>
      <c r="R933" s="5"/>
      <c r="S933" s="5"/>
      <c r="T933" s="46"/>
      <c r="U933" s="1400" t="s">
        <v>592</v>
      </c>
      <c r="V933" s="1401"/>
      <c r="W933" s="1401"/>
      <c r="X933" s="1401"/>
      <c r="Y933" s="1401"/>
      <c r="Z933" s="1402"/>
      <c r="AA933" s="1406"/>
      <c r="AB933" s="1407"/>
      <c r="AC933" s="1407"/>
      <c r="AD933" s="1407"/>
      <c r="AE933" s="1407"/>
      <c r="AF933" s="1408"/>
    </row>
    <row r="934" spans="6:55" ht="12.95" customHeight="1">
      <c r="F934" s="121" t="s">
        <v>1278</v>
      </c>
      <c r="G934" s="5"/>
      <c r="H934" s="5"/>
      <c r="I934" s="5"/>
      <c r="J934" s="5"/>
      <c r="K934" s="5"/>
      <c r="L934" s="5"/>
      <c r="M934" s="5"/>
      <c r="N934" s="5"/>
      <c r="O934" s="5"/>
      <c r="P934" s="5"/>
      <c r="Q934" s="5"/>
      <c r="R934" s="5"/>
      <c r="S934" s="5"/>
      <c r="T934" s="46"/>
      <c r="U934" s="1400" t="s">
        <v>592</v>
      </c>
      <c r="V934" s="1401"/>
      <c r="W934" s="1401"/>
      <c r="X934" s="1401"/>
      <c r="Y934" s="1401"/>
      <c r="Z934" s="1402"/>
      <c r="AA934" s="1406"/>
      <c r="AB934" s="1407"/>
      <c r="AC934" s="1407"/>
      <c r="AD934" s="1407"/>
      <c r="AE934" s="1407"/>
      <c r="AF934" s="1408"/>
      <c r="AZ934" s="30"/>
      <c r="BA934" s="14"/>
    </row>
    <row r="935" spans="6:55" ht="12.95" customHeight="1">
      <c r="F935" s="66" t="s">
        <v>803</v>
      </c>
      <c r="G935" s="5"/>
      <c r="H935" s="5"/>
      <c r="I935" s="5"/>
      <c r="J935" s="5"/>
      <c r="K935" s="5"/>
      <c r="L935" s="5"/>
      <c r="M935" s="5"/>
      <c r="N935" s="5"/>
      <c r="O935" s="5"/>
      <c r="P935" s="5"/>
      <c r="Q935" s="5"/>
      <c r="R935" s="5"/>
      <c r="S935" s="5"/>
      <c r="T935" s="46"/>
      <c r="U935" s="1400" t="s">
        <v>592</v>
      </c>
      <c r="V935" s="1401"/>
      <c r="W935" s="1401"/>
      <c r="X935" s="1401"/>
      <c r="Y935" s="1401"/>
      <c r="Z935" s="1402"/>
      <c r="AA935" s="1406"/>
      <c r="AB935" s="1407"/>
      <c r="AC935" s="1407"/>
      <c r="AD935" s="1407"/>
      <c r="AE935" s="1407"/>
      <c r="AF935" s="1408"/>
      <c r="AZ935" s="30"/>
      <c r="BA935" s="14"/>
    </row>
    <row r="936" spans="6:55" ht="12.95" customHeight="1">
      <c r="F936" s="1638" t="s">
        <v>2204</v>
      </c>
      <c r="G936" s="1639"/>
      <c r="H936" s="1639"/>
      <c r="I936" s="1639"/>
      <c r="J936" s="1639"/>
      <c r="K936" s="1639"/>
      <c r="L936" s="1639"/>
      <c r="M936" s="1639"/>
      <c r="N936" s="1639"/>
      <c r="O936" s="1639"/>
      <c r="P936" s="1639"/>
      <c r="Q936" s="1639"/>
      <c r="R936" s="1639"/>
      <c r="S936" s="1639"/>
      <c r="T936" s="1640"/>
      <c r="U936" s="1400" t="s">
        <v>592</v>
      </c>
      <c r="V936" s="1401"/>
      <c r="W936" s="1401"/>
      <c r="X936" s="1401"/>
      <c r="Y936" s="1401"/>
      <c r="Z936" s="1402"/>
      <c r="AA936" s="1406"/>
      <c r="AB936" s="1407"/>
      <c r="AC936" s="1407"/>
      <c r="AD936" s="1407"/>
      <c r="AE936" s="1407"/>
      <c r="AF936" s="1408"/>
      <c r="AZ936" s="30"/>
      <c r="BA936" s="14"/>
    </row>
    <row r="937" spans="6:55" ht="12.95" customHeight="1">
      <c r="F937" s="1638" t="s">
        <v>2205</v>
      </c>
      <c r="G937" s="1639"/>
      <c r="H937" s="1639"/>
      <c r="I937" s="1639"/>
      <c r="J937" s="1639"/>
      <c r="K937" s="1639"/>
      <c r="L937" s="1639"/>
      <c r="M937" s="1639"/>
      <c r="N937" s="1639"/>
      <c r="O937" s="1639"/>
      <c r="P937" s="1639"/>
      <c r="Q937" s="1639"/>
      <c r="R937" s="1639"/>
      <c r="S937" s="1639"/>
      <c r="T937" s="1640"/>
      <c r="U937" s="1400" t="s">
        <v>592</v>
      </c>
      <c r="V937" s="1401"/>
      <c r="W937" s="1401"/>
      <c r="X937" s="1401"/>
      <c r="Y937" s="1401"/>
      <c r="Z937" s="1402"/>
      <c r="AA937" s="1406"/>
      <c r="AB937" s="1407"/>
      <c r="AC937" s="1407"/>
      <c r="AD937" s="1407"/>
      <c r="AE937" s="1407"/>
      <c r="AF937" s="1408"/>
      <c r="AZ937" s="30"/>
      <c r="BA937" s="30"/>
    </row>
    <row r="938" spans="6:55" ht="12.95" customHeight="1">
      <c r="F938" s="1600" t="s">
        <v>2201</v>
      </c>
      <c r="G938" s="1601"/>
      <c r="H938" s="1601"/>
      <c r="I938" s="1601"/>
      <c r="J938" s="1601"/>
      <c r="K938" s="1601"/>
      <c r="L938" s="1601"/>
      <c r="M938" s="1601"/>
      <c r="N938" s="1601"/>
      <c r="O938" s="1601"/>
      <c r="P938" s="1601"/>
      <c r="Q938" s="1601"/>
      <c r="R938" s="1601"/>
      <c r="S938" s="1601"/>
      <c r="T938" s="1602"/>
      <c r="U938" s="1400" t="s">
        <v>592</v>
      </c>
      <c r="V938" s="1401"/>
      <c r="W938" s="1401"/>
      <c r="X938" s="1401"/>
      <c r="Y938" s="1401"/>
      <c r="Z938" s="1402"/>
      <c r="AA938" s="1406"/>
      <c r="AB938" s="1407"/>
      <c r="AC938" s="1407"/>
      <c r="AD938" s="1407"/>
      <c r="AE938" s="1407"/>
      <c r="AF938" s="1408"/>
      <c r="AZ938" s="30"/>
      <c r="BA938" s="30"/>
    </row>
    <row r="939" spans="6:55" ht="12.95" customHeight="1">
      <c r="F939" s="1600" t="s">
        <v>2202</v>
      </c>
      <c r="G939" s="1601"/>
      <c r="H939" s="1601"/>
      <c r="I939" s="1601"/>
      <c r="J939" s="1601"/>
      <c r="K939" s="1601"/>
      <c r="L939" s="1601"/>
      <c r="M939" s="1601"/>
      <c r="N939" s="1601"/>
      <c r="O939" s="1601"/>
      <c r="P939" s="1601"/>
      <c r="Q939" s="1601"/>
      <c r="R939" s="1601"/>
      <c r="S939" s="1601"/>
      <c r="T939" s="1602"/>
      <c r="U939" s="1400" t="s">
        <v>592</v>
      </c>
      <c r="V939" s="1401"/>
      <c r="W939" s="1401"/>
      <c r="X939" s="1401"/>
      <c r="Y939" s="1401"/>
      <c r="Z939" s="1402"/>
      <c r="AA939" s="1406"/>
      <c r="AB939" s="1407"/>
      <c r="AC939" s="1407"/>
      <c r="AD939" s="1407"/>
      <c r="AE939" s="1407"/>
      <c r="AF939" s="1408"/>
      <c r="AZ939" s="30"/>
      <c r="BA939" s="30"/>
    </row>
    <row r="940" spans="6:55" ht="12.95" customHeight="1">
      <c r="F940" s="1600" t="s">
        <v>2203</v>
      </c>
      <c r="G940" s="1601"/>
      <c r="H940" s="1601"/>
      <c r="I940" s="1601"/>
      <c r="J940" s="1601"/>
      <c r="K940" s="1601"/>
      <c r="L940" s="1601"/>
      <c r="M940" s="1601"/>
      <c r="N940" s="1601"/>
      <c r="O940" s="1601"/>
      <c r="P940" s="1601"/>
      <c r="Q940" s="1601"/>
      <c r="R940" s="1601"/>
      <c r="S940" s="1601"/>
      <c r="T940" s="1602"/>
      <c r="U940" s="1400" t="s">
        <v>592</v>
      </c>
      <c r="V940" s="1401"/>
      <c r="W940" s="1401"/>
      <c r="X940" s="1401"/>
      <c r="Y940" s="1401"/>
      <c r="Z940" s="1402"/>
      <c r="AA940" s="1406"/>
      <c r="AB940" s="1407"/>
      <c r="AC940" s="1407"/>
      <c r="AD940" s="1407"/>
      <c r="AE940" s="1407"/>
      <c r="AF940" s="1408"/>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0" t="s">
        <v>592</v>
      </c>
      <c r="V941" s="1401"/>
      <c r="W941" s="1401"/>
      <c r="X941" s="1401"/>
      <c r="Y941" s="1401"/>
      <c r="Z941" s="1402"/>
      <c r="AA941" s="1406"/>
      <c r="AB941" s="1407"/>
      <c r="AC941" s="1407"/>
      <c r="AD941" s="1407"/>
      <c r="AE941" s="1407"/>
      <c r="AF941" s="1408"/>
      <c r="AZ941" s="34"/>
      <c r="BA941" s="34"/>
      <c r="BB941" s="14"/>
      <c r="BC941" s="14"/>
    </row>
    <row r="942" spans="6:55" ht="12.95" customHeight="1">
      <c r="F942" s="1638" t="s">
        <v>2206</v>
      </c>
      <c r="G942" s="1639"/>
      <c r="H942" s="1639"/>
      <c r="I942" s="1639"/>
      <c r="J942" s="1639"/>
      <c r="K942" s="1639"/>
      <c r="L942" s="1639"/>
      <c r="M942" s="1639"/>
      <c r="N942" s="1639"/>
      <c r="O942" s="1639"/>
      <c r="P942" s="1639"/>
      <c r="Q942" s="1639"/>
      <c r="R942" s="1639"/>
      <c r="S942" s="1639"/>
      <c r="T942" s="1640"/>
      <c r="U942" s="1400" t="s">
        <v>592</v>
      </c>
      <c r="V942" s="1401"/>
      <c r="W942" s="1401"/>
      <c r="X942" s="1401"/>
      <c r="Y942" s="1401"/>
      <c r="Z942" s="1402"/>
      <c r="AA942" s="1406"/>
      <c r="AB942" s="1407"/>
      <c r="AC942" s="1407"/>
      <c r="AD942" s="1407"/>
      <c r="AE942" s="1407"/>
      <c r="AF942" s="1408"/>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0" t="s">
        <v>592</v>
      </c>
      <c r="V943" s="1401"/>
      <c r="W943" s="1401"/>
      <c r="X943" s="1401"/>
      <c r="Y943" s="1401"/>
      <c r="Z943" s="1402"/>
      <c r="AA943" s="1406"/>
      <c r="AB943" s="1407"/>
      <c r="AC943" s="1407"/>
      <c r="AD943" s="1407"/>
      <c r="AE943" s="1407"/>
      <c r="AF943" s="1408"/>
      <c r="AZ943" s="34"/>
      <c r="BA943" s="34"/>
      <c r="BB943" s="34"/>
      <c r="BC943" s="34"/>
    </row>
    <row r="944" spans="6:55" ht="12.95" customHeight="1">
      <c r="F944" s="1638" t="s">
        <v>2207</v>
      </c>
      <c r="G944" s="1639"/>
      <c r="H944" s="1639"/>
      <c r="I944" s="1639"/>
      <c r="J944" s="1639"/>
      <c r="K944" s="1639"/>
      <c r="L944" s="1639"/>
      <c r="M944" s="1639"/>
      <c r="N944" s="1639"/>
      <c r="O944" s="1639"/>
      <c r="P944" s="1639"/>
      <c r="Q944" s="1639"/>
      <c r="R944" s="1639"/>
      <c r="S944" s="1639"/>
      <c r="T944" s="1640"/>
      <c r="U944" s="1400" t="s">
        <v>592</v>
      </c>
      <c r="V944" s="1401"/>
      <c r="W944" s="1401"/>
      <c r="X944" s="1401"/>
      <c r="Y944" s="1401"/>
      <c r="Z944" s="1402"/>
      <c r="AA944" s="1406"/>
      <c r="AB944" s="1407"/>
      <c r="AC944" s="1407"/>
      <c r="AD944" s="1407"/>
      <c r="AE944" s="1407"/>
      <c r="AF944" s="1408"/>
      <c r="AZ944" s="34"/>
      <c r="BA944" s="34"/>
      <c r="BB944" s="34"/>
      <c r="BC944" s="34"/>
    </row>
    <row r="945" spans="1:55" ht="12.95" customHeight="1">
      <c r="F945" s="45" t="s">
        <v>807</v>
      </c>
      <c r="G945" s="5"/>
      <c r="H945" s="5"/>
      <c r="I945" s="5"/>
      <c r="J945" s="5"/>
      <c r="K945" s="5"/>
      <c r="L945" s="5"/>
      <c r="M945" s="5"/>
      <c r="N945" s="5"/>
      <c r="O945" s="5"/>
      <c r="P945" s="1400" t="s">
        <v>670</v>
      </c>
      <c r="Q945" s="1401"/>
      <c r="R945" s="1401"/>
      <c r="S945" s="1401"/>
      <c r="T945" s="1402"/>
      <c r="U945" s="1400" t="s">
        <v>592</v>
      </c>
      <c r="V945" s="1401"/>
      <c r="W945" s="1401"/>
      <c r="X945" s="1401"/>
      <c r="Y945" s="1401"/>
      <c r="Z945" s="1402"/>
      <c r="AA945" s="1406"/>
      <c r="AB945" s="1407"/>
      <c r="AC945" s="1407"/>
      <c r="AD945" s="1407"/>
      <c r="AE945" s="1407"/>
      <c r="AF945" s="1408"/>
      <c r="AZ945" s="34"/>
      <c r="BA945" s="34"/>
      <c r="BB945" s="34"/>
      <c r="BC945" s="34"/>
    </row>
    <row r="946" spans="1:55" ht="12.95" customHeight="1">
      <c r="F946" s="1600" t="s">
        <v>2194</v>
      </c>
      <c r="G946" s="1601"/>
      <c r="H946" s="1602"/>
      <c r="I946" s="1592" t="s">
        <v>334</v>
      </c>
      <c r="J946" s="1593"/>
      <c r="K946" s="1593"/>
      <c r="L946" s="1593"/>
      <c r="M946" s="1593"/>
      <c r="N946" s="1593"/>
      <c r="O946" s="1593"/>
      <c r="P946" s="1593"/>
      <c r="Q946" s="1593"/>
      <c r="R946" s="1593"/>
      <c r="S946" s="1593"/>
      <c r="T946" s="1594"/>
      <c r="U946" s="1400" t="s">
        <v>592</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0" t="s">
        <v>592</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92" t="s">
        <v>2729</v>
      </c>
      <c r="J948" s="1536"/>
      <c r="K948" s="1536"/>
      <c r="L948" s="1536"/>
      <c r="M948" s="1536"/>
      <c r="N948" s="1536"/>
      <c r="O948" s="1536"/>
      <c r="P948" s="1536"/>
      <c r="Q948" s="1536"/>
      <c r="R948" s="1536"/>
      <c r="S948" s="1536"/>
      <c r="T948" s="1537"/>
      <c r="U948" s="1400" t="s">
        <v>546</v>
      </c>
      <c r="V948" s="1401"/>
      <c r="W948" s="1401"/>
      <c r="X948" s="1401"/>
      <c r="Y948" s="1401"/>
      <c r="Z948" s="1402"/>
      <c r="AA948" s="1406">
        <f>AO629</f>
        <v>12500000</v>
      </c>
      <c r="AB948" s="1407"/>
      <c r="AC948" s="1407"/>
      <c r="AD948" s="1407"/>
      <c r="AE948" s="1407"/>
      <c r="AF948" s="1408"/>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0" t="s">
        <v>592</v>
      </c>
      <c r="V949" s="1401"/>
      <c r="W949" s="1401"/>
      <c r="X949" s="1401"/>
      <c r="Y949" s="1401"/>
      <c r="Z949" s="1402"/>
      <c r="AA949" s="1406"/>
      <c r="AB949" s="1407"/>
      <c r="AC949" s="1407"/>
      <c r="AD949" s="1407"/>
      <c r="AE949" s="1407"/>
      <c r="AF949" s="1408"/>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0" t="s">
        <v>592</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45693</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2628</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2629</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v>0.14685314685314685</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21</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v>365484</v>
      </c>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v>7309680</v>
      </c>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1662</v>
      </c>
      <c r="D962" s="5"/>
      <c r="E962" s="5"/>
      <c r="F962" s="5"/>
      <c r="G962" s="5"/>
      <c r="H962" s="5"/>
      <c r="I962" s="5"/>
      <c r="J962" s="5"/>
      <c r="K962" s="5"/>
      <c r="L962" s="46"/>
      <c r="M962" s="1403">
        <v>20</v>
      </c>
      <c r="N962" s="1404"/>
      <c r="O962" s="1404"/>
      <c r="P962" s="1404"/>
      <c r="Q962" s="1404"/>
      <c r="R962" s="1404"/>
      <c r="S962" s="1405"/>
      <c r="U962" s="121" t="s">
        <v>1662</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1" t="s">
        <v>549</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30"/>
      <c r="D986" s="1385" t="s">
        <v>634</v>
      </c>
      <c r="E986" s="1386"/>
      <c r="F986" s="1386"/>
      <c r="G986" s="1386"/>
      <c r="H986" s="1386"/>
      <c r="I986" s="1386"/>
      <c r="J986" s="1386"/>
      <c r="K986" s="1386"/>
      <c r="L986" s="1386"/>
      <c r="M986" s="1386"/>
      <c r="N986" s="1386"/>
      <c r="O986" s="1386"/>
      <c r="P986" s="1386"/>
      <c r="Q986" s="1387"/>
      <c r="R986" s="1551">
        <f>IF(ISNA(IF($CU$122="4%",(INDEX($CS$160:$CW$217,MATCH($DG$122,$CR$160:$CR$217,0),MATCH(D986,$CS$159:$CW$159,0))),(INDEX($CZ$160:$DD$217,MATCH($DG$122,$CY$160:$CY$217,0),MATCH(D986,$CZ$159:$DD$159,0))))),0,IF($CU$122="4%",(INDEX($CS$160:$CW$217,MATCH($DG$122,$CR$160:$CR$217,0),MATCH(D986,$CS$159:$CW$159,0))),(INDEX($CZ$160:$DD$217,MATCH($DG$122,$CY$160:$CY$217,0),MATCH(D986,$CZ$159:$DD$159,0)))))</f>
        <v>473390</v>
      </c>
      <c r="S986" s="1551"/>
      <c r="T986" s="1551"/>
      <c r="U986" s="1551"/>
      <c r="V986" s="1551"/>
      <c r="W986" s="1551"/>
      <c r="X986" s="1551"/>
      <c r="Y986" s="1551"/>
      <c r="Z986" s="1551"/>
      <c r="AA986" s="1551"/>
      <c r="AB986" s="1388">
        <f>CP802</f>
        <v>138</v>
      </c>
      <c r="AC986" s="1389"/>
      <c r="AD986" s="1389"/>
      <c r="AE986" s="1389"/>
      <c r="AF986" s="1389"/>
      <c r="AG986" s="1389"/>
      <c r="AH986" s="1389"/>
      <c r="AI986" s="1390"/>
      <c r="AJ986" s="1487">
        <f>IF(ISERROR((R986*AB986)),0,(R986*AB986))</f>
        <v>65327820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1">
        <f>IF(ISNA(IF($CU$122="4%",(INDEX($CS$160:$CW$217,MATCH($DG$122,$CR$160:$CR$217,0),MATCH(D987,$CS$159:$CW$159,0))),(INDEX($CZ$160:$DD$217,MATCH($DG$122,$CY$160:$CY$217,0),MATCH(D987,$CZ$159:$DD$159,0))))),0,IF($CU$122="4%",(INDEX($CS$160:$CW$217,MATCH($DG$122,$CR$160:$CR$217,0),MATCH(D987,$CS$159:$CW$159,0))),(INDEX($CZ$160:$DD$217,MATCH($DG$122,$CY$160:$CY$217,0),MATCH(D987,$CZ$159:$DD$159,0)))))</f>
        <v>545814</v>
      </c>
      <c r="S987" s="1551"/>
      <c r="T987" s="1551"/>
      <c r="U987" s="1551"/>
      <c r="V987" s="1551"/>
      <c r="W987" s="1551"/>
      <c r="X987" s="1551"/>
      <c r="Y987" s="1551"/>
      <c r="Z987" s="1551"/>
      <c r="AA987" s="1551"/>
      <c r="AB987" s="1388">
        <f>CU802</f>
        <v>0</v>
      </c>
      <c r="AC987" s="1389"/>
      <c r="AD987" s="1389"/>
      <c r="AE987" s="1389"/>
      <c r="AF987" s="1389"/>
      <c r="AG987" s="1389"/>
      <c r="AH987" s="1389"/>
      <c r="AI987" s="1390"/>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1">
        <f>IF(ISNA(IF($CU$122="4%",(INDEX($CS$160:$CW$217,MATCH($DG$122,$CR$160:$CR$217,0),MATCH(D988,$CS$159:$CW$159,0))),(INDEX($CZ$160:$DD$217,MATCH($DG$122,$CY$160:$CY$217,0),MATCH(D988,$CZ$159:$DD$159,0))))),0,IF($CU$122="4%",(INDEX($CS$160:$CW$217,MATCH($DG$122,$CR$160:$CR$217,0),MATCH(D988,$CS$159:$CW$159,0))),(INDEX($CZ$160:$DD$217,MATCH($DG$122,$CY$160:$CY$217,0),MATCH(D988,$CZ$159:$DD$159,0)))))</f>
        <v>658400</v>
      </c>
      <c r="S988" s="1551"/>
      <c r="T988" s="1551"/>
      <c r="U988" s="1551"/>
      <c r="V988" s="1551"/>
      <c r="W988" s="1551"/>
      <c r="X988" s="1551"/>
      <c r="Y988" s="1551"/>
      <c r="Z988" s="1551"/>
      <c r="AA988" s="1551"/>
      <c r="AB988" s="1388">
        <f>CZ802</f>
        <v>6</v>
      </c>
      <c r="AC988" s="1389"/>
      <c r="AD988" s="1389"/>
      <c r="AE988" s="1389"/>
      <c r="AF988" s="1389"/>
      <c r="AG988" s="1389"/>
      <c r="AH988" s="1389"/>
      <c r="AI988" s="1390"/>
      <c r="AJ988" s="1487">
        <f>IF(ISERROR((R988*AB988)),0,(R988*AB988))</f>
        <v>3950400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1">
        <f>IF(ISNA(IF($CU$122="4%",(INDEX($CS$160:$CW$217,MATCH($DG$122,$CR$160:$CR$217,0),MATCH(D989,$CS$159:$CW$159,0))),(INDEX($CZ$160:$DD$217,MATCH($DG$122,$CY$160:$CY$217,0),MATCH(D989,$CZ$159:$DD$159,0))))),0,IF($CU$122="4%",(INDEX($CS$160:$CW$217,MATCH($DG$122,$CR$160:$CR$217,0),MATCH(D989,$CS$159:$CW$159,0))),(INDEX($CZ$160:$DD$217,MATCH($DG$122,$CY$160:$CY$217,0),MATCH(D989,$CZ$159:$DD$159,0)))))</f>
        <v>842752</v>
      </c>
      <c r="S989" s="1551"/>
      <c r="T989" s="1551"/>
      <c r="U989" s="1551"/>
      <c r="V989" s="1551"/>
      <c r="W989" s="1551"/>
      <c r="X989" s="1551"/>
      <c r="Y989" s="1551"/>
      <c r="Z989" s="1551"/>
      <c r="AA989" s="1551"/>
      <c r="AB989" s="1388">
        <f>DE802</f>
        <v>0</v>
      </c>
      <c r="AC989" s="1389"/>
      <c r="AD989" s="1389"/>
      <c r="AE989" s="1389"/>
      <c r="AF989" s="1389"/>
      <c r="AG989" s="1389"/>
      <c r="AH989" s="1389"/>
      <c r="AI989" s="1390"/>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5" t="s">
        <v>461</v>
      </c>
      <c r="E990" s="1386"/>
      <c r="F990" s="1386"/>
      <c r="G990" s="1386"/>
      <c r="H990" s="1386"/>
      <c r="I990" s="1386"/>
      <c r="J990" s="1386"/>
      <c r="K990" s="1386"/>
      <c r="L990" s="1386"/>
      <c r="M990" s="1386"/>
      <c r="N990" s="1386"/>
      <c r="O990" s="1386"/>
      <c r="P990" s="1386"/>
      <c r="Q990" s="1387"/>
      <c r="R990" s="1551">
        <f>IF(ISNA(IF($CU$122="4%",(INDEX($CS$160:$CW$217,MATCH($DG$122,$CR$160:$CR$217,0),MATCH(D990,$CS$159:$CW$159,0))),(INDEX($CZ$160:$DD$217,MATCH($DG$122,$CY$160:$CY$217,0),MATCH(D990,$CZ$159:$DD$159,0))))),0,IF($CU$122="4%",(INDEX($CS$160:$CW$217,MATCH($DG$122,$CR$160:$CR$217,0),MATCH(D990,$CS$159:$CW$159,0))),(INDEX($CZ$160:$DD$217,MATCH($DG$122,$CY$160:$CY$217,0),MATCH(D990,$CZ$159:$DD$159,0)))))</f>
        <v>938878</v>
      </c>
      <c r="S990" s="1551"/>
      <c r="T990" s="1551"/>
      <c r="U990" s="1551"/>
      <c r="V990" s="1551"/>
      <c r="W990" s="1551"/>
      <c r="X990" s="1551"/>
      <c r="Y990" s="1551"/>
      <c r="Z990" s="1551"/>
      <c r="AA990" s="1551"/>
      <c r="AB990" s="1388">
        <f>DO802+DJ802</f>
        <v>0</v>
      </c>
      <c r="AC990" s="1389"/>
      <c r="AD990" s="1389"/>
      <c r="AE990" s="1389"/>
      <c r="AF990" s="1389"/>
      <c r="AG990" s="1389"/>
      <c r="AH990" s="1389"/>
      <c r="AI990" s="1390"/>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8">
        <f>SUM(AB986:AI990)</f>
        <v>144</v>
      </c>
      <c r="AC991" s="1389"/>
      <c r="AD991" s="1389"/>
      <c r="AE991" s="1389"/>
      <c r="AF991" s="1389"/>
      <c r="AG991" s="1389"/>
      <c r="AH991" s="1389"/>
      <c r="AI991" s="1390"/>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69278220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546</v>
      </c>
      <c r="AH994" s="1500"/>
      <c r="AI994" s="87"/>
      <c r="AJ994" s="1391">
        <f>ROUND(IF(AND(AG994="yes",D1000&gt;0),AJ992*0.2,0),0)</f>
        <v>13855644</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8" t="s">
        <v>2238</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09" t="s">
        <v>139</v>
      </c>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143</v>
      </c>
      <c r="AZ1003" s="34"/>
      <c r="BB1003" s="34"/>
    </row>
    <row r="1004" spans="1:55" ht="12.95" customHeight="1">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1</v>
      </c>
      <c r="AZ1006" s="34"/>
      <c r="BB1006" s="34"/>
    </row>
    <row r="1007" spans="1:55" ht="12.95" customHeight="1">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1">
        <f>ROUND(IF(AG1007="yes",AJ992*0.1,0),0)</f>
        <v>6927822</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546</v>
      </c>
      <c r="AH1013" s="1502"/>
      <c r="AI1013" s="79"/>
      <c r="AJ1013" s="1391">
        <f>ROUND(IF(AG1013="yes",AJ992*0.02,0),0)</f>
        <v>1385564</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503" t="s">
        <v>2239</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1">
        <f>ROUND(IF(AG1029="yes",(AJ992*0.1),0),0)</f>
        <v>6927822</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1">
        <f>ROUND(IF(AND(AG1036="yes",AJ1032=0),(AJ992*0.1),0),0)</f>
        <v>6927822</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1</v>
      </c>
      <c r="BB1039" s="3" t="s">
        <v>2496</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2493</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143</v>
      </c>
      <c r="BB1041" s="3" t="s">
        <v>2494</v>
      </c>
    </row>
    <row r="1042" spans="1:56" ht="12.95"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1</v>
      </c>
      <c r="BB1042" s="3" t="s">
        <v>2495</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1">
        <f>IF((X1048=0),0,AY1005*AJ992)</f>
        <v>0</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6385360.6499999994</v>
      </c>
      <c r="BA1046" s="1184">
        <f>IF(BA1040,20%,15%)</f>
        <v>0.15</v>
      </c>
      <c r="BB1046" s="3" t="s">
        <v>2482</v>
      </c>
      <c r="BC1046" s="3" t="s">
        <v>2483</v>
      </c>
      <c r="BD1046" s="3"/>
    </row>
    <row r="1047" spans="1:56" ht="12.95" customHeight="1">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973</v>
      </c>
      <c r="E1048" s="133"/>
      <c r="F1048" s="133"/>
      <c r="G1048" s="133"/>
      <c r="H1048" s="133"/>
      <c r="I1048" s="1569">
        <f>AY1003</f>
        <v>143</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5" customHeight="1">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1">
        <f>IF((X1052=0),0,(2*AY1006)*AJ992)</f>
        <v>138556440</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143</v>
      </c>
      <c r="J1052" s="1570"/>
      <c r="K1052" s="14"/>
      <c r="L1052" s="133"/>
      <c r="M1052" s="133"/>
      <c r="N1052" s="133"/>
      <c r="O1052" s="133"/>
      <c r="P1052" s="133"/>
      <c r="Q1052" s="133"/>
      <c r="R1052" s="133"/>
      <c r="S1052" s="133"/>
      <c r="T1052" s="133"/>
      <c r="U1052" s="133"/>
      <c r="V1052" s="134" t="s">
        <v>975</v>
      </c>
      <c r="X1052" s="1567">
        <f>CM753</f>
        <v>143</v>
      </c>
      <c r="Y1052" s="1568"/>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243859334</v>
      </c>
      <c r="AK1053" s="1579"/>
      <c r="AL1053" s="1579"/>
      <c r="AM1053" s="1579"/>
      <c r="AN1053" s="1579"/>
      <c r="AO1053" s="1579"/>
      <c r="AP1053" s="1579"/>
      <c r="AQ1053" s="1580"/>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0">
        <f>'Sources and Uses Budget'!S107+'Sources and Uses Budget'!T107</f>
        <v>48954431</v>
      </c>
      <c r="AB1056" s="1850"/>
      <c r="AC1056" s="1850"/>
      <c r="AD1056" s="1850"/>
      <c r="AE1056" s="1850"/>
      <c r="AF1056" s="185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6385360.6499999994</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1">
        <f>IFERROR((AA1056-BA1059)/(AJ1053-AJ1045-AJ1049),"")</f>
        <v>0.42799460953086438</v>
      </c>
      <c r="AB1057" s="1852"/>
      <c r="AC1057" s="1852"/>
      <c r="AD1057" s="1852"/>
      <c r="AE1057" s="1852"/>
      <c r="AF1057" s="185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7">
        <f>'Sources and Uses Budget'!$S$104+'Sources and Uses Budget'!$T$104</f>
        <v>6385360</v>
      </c>
      <c r="BB1058" s="3" t="s">
        <v>2497</v>
      </c>
    </row>
    <row r="1059" spans="1:54" ht="12.95" customHeight="1">
      <c r="A1059" s="14"/>
      <c r="B1059" s="14"/>
      <c r="C1059" s="209"/>
      <c r="D1059" s="859"/>
      <c r="E1059" s="859"/>
      <c r="F1059" s="859"/>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8">
        <f>MAX($BA$1058-$BA$1055,0)</f>
        <v>3885360</v>
      </c>
      <c r="BB1059" s="3" t="s">
        <v>2498</v>
      </c>
    </row>
    <row r="1060" spans="1:54" ht="12.95" customHeight="1">
      <c r="A1060" s="88"/>
      <c r="B1060" s="1174"/>
      <c r="C1060" s="1174"/>
      <c r="D1060" s="1174"/>
      <c r="E1060" s="1174"/>
      <c r="F1060" s="1174"/>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4"/>
      <c r="AP1060" s="1174"/>
      <c r="AQ1060" s="68"/>
      <c r="AR1060" s="68"/>
      <c r="AS1060" s="68"/>
      <c r="AT1060" s="68"/>
      <c r="AU1060" s="68"/>
      <c r="AV1060" s="68"/>
      <c r="AW1060" s="68"/>
      <c r="AX1060" s="68"/>
      <c r="AY1060" s="68"/>
    </row>
    <row r="1061" spans="1:54" ht="12.95" customHeight="1">
      <c r="A1061" s="1371" t="s">
        <v>795</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592</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592</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592</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592</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592</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592</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LQWZB0QgBKx5H7gv4Rz8kBVXC0clWY6qgB7Lo6ZTKKQgXfcqLAceqprzoKUEW4HGT/2+XmIWWdV2wBYyVeDKuQ==" saltValue="0TEJQyUOimr9inn7VWswo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H88" sqref="H8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1)HomeKey Capital</v>
      </c>
      <c r="G2" s="139" t="str">
        <f>Application!B628&amp;Application!C628</f>
        <v>2)Contributed Developer Fee</v>
      </c>
      <c r="H2" s="139" t="str">
        <f>Application!B629&amp;Application!C629</f>
        <v>3)R2H2 City Loan</v>
      </c>
      <c r="I2" s="139" t="str">
        <f>Application!B630&amp;Application!C630</f>
        <v>4)Accel Opportunity Fund VII, LP</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2570000</v>
      </c>
      <c r="C4" s="147">
        <v>2570000</v>
      </c>
      <c r="D4" s="147"/>
      <c r="E4" s="147">
        <f>C4-SUM(F4:Q4)</f>
        <v>2570000</v>
      </c>
      <c r="F4" s="147"/>
      <c r="G4" s="147"/>
      <c r="H4" s="147"/>
      <c r="I4" s="147"/>
      <c r="J4" s="147"/>
      <c r="K4" s="147"/>
      <c r="L4" s="147"/>
      <c r="M4" s="147"/>
      <c r="N4" s="147"/>
      <c r="O4" s="147"/>
      <c r="P4" s="147"/>
      <c r="Q4" s="147"/>
      <c r="R4" s="517">
        <f>SUM(E4:Q4)</f>
        <v>2570000</v>
      </c>
      <c r="S4" s="148"/>
      <c r="T4" s="148"/>
      <c r="U4" s="143"/>
    </row>
    <row r="5" spans="1:21" s="144" customFormat="1">
      <c r="A5" s="145" t="s">
        <v>28</v>
      </c>
      <c r="B5" s="146">
        <f>SUM(C5+D5)</f>
        <v>166057</v>
      </c>
      <c r="C5" s="147">
        <v>166057</v>
      </c>
      <c r="D5" s="147"/>
      <c r="E5" s="147">
        <f t="shared" ref="E5:E7" si="0">C5-SUM(F5:Q5)</f>
        <v>166057</v>
      </c>
      <c r="F5" s="147"/>
      <c r="G5" s="147"/>
      <c r="H5" s="147"/>
      <c r="I5" s="147"/>
      <c r="J5" s="147"/>
      <c r="K5" s="147"/>
      <c r="L5" s="147"/>
      <c r="M5" s="147"/>
      <c r="N5" s="147"/>
      <c r="O5" s="147"/>
      <c r="P5" s="147"/>
      <c r="Q5" s="147"/>
      <c r="R5" s="517">
        <f>SUM(E5:Q5)</f>
        <v>166057</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594</v>
      </c>
      <c r="B8" s="146">
        <f>SUM(C8:D8)</f>
        <v>2736057</v>
      </c>
      <c r="C8" s="146">
        <f t="shared" ref="C8:Q8" si="1">SUM(C4:C7)</f>
        <v>2736057</v>
      </c>
      <c r="D8" s="146">
        <f t="shared" si="1"/>
        <v>0</v>
      </c>
      <c r="E8" s="146">
        <f t="shared" si="1"/>
        <v>2736057</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2736057</v>
      </c>
      <c r="S8" s="148"/>
      <c r="T8" s="148"/>
      <c r="U8" s="143"/>
    </row>
    <row r="9" spans="1:21" s="144" customFormat="1">
      <c r="A9" s="145" t="s">
        <v>595</v>
      </c>
      <c r="B9" s="146">
        <f>SUM(C9+D9)</f>
        <v>0</v>
      </c>
      <c r="C9" s="147"/>
      <c r="D9" s="147"/>
      <c r="E9" s="147">
        <f t="shared" ref="E9:E10" si="2">C9-SUM(F9:Q9)</f>
        <v>0</v>
      </c>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0</v>
      </c>
      <c r="S11" s="148"/>
      <c r="T11" s="150">
        <f>SUM(T9:T10)</f>
        <v>0</v>
      </c>
      <c r="U11" s="143"/>
    </row>
    <row r="12" spans="1:21" s="144" customFormat="1">
      <c r="A12" s="149" t="s">
        <v>84</v>
      </c>
      <c r="B12" s="146">
        <f t="shared" ref="B12:Q12" si="4">SUM(B8+B11)</f>
        <v>2736057</v>
      </c>
      <c r="C12" s="146">
        <f t="shared" si="4"/>
        <v>2736057</v>
      </c>
      <c r="D12" s="146">
        <f t="shared" si="4"/>
        <v>0</v>
      </c>
      <c r="E12" s="146">
        <f t="shared" si="4"/>
        <v>2736057</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2736057</v>
      </c>
      <c r="S12" s="148"/>
      <c r="T12" s="148"/>
      <c r="U12" s="143"/>
    </row>
    <row r="13" spans="1:21" s="144" customFormat="1">
      <c r="A13" s="288" t="s">
        <v>903</v>
      </c>
      <c r="B13" s="146">
        <f>SUM(C13+D13)</f>
        <v>0</v>
      </c>
      <c r="C13" s="147"/>
      <c r="D13" s="147"/>
      <c r="E13" s="147">
        <f t="shared" ref="E13:E15" si="5">C13-SUM(F13:Q13)</f>
        <v>0</v>
      </c>
      <c r="F13" s="147"/>
      <c r="G13" s="147"/>
      <c r="H13" s="147"/>
      <c r="I13" s="147"/>
      <c r="J13" s="147"/>
      <c r="K13" s="147"/>
      <c r="L13" s="147"/>
      <c r="M13" s="147"/>
      <c r="N13" s="147"/>
      <c r="O13" s="147"/>
      <c r="P13" s="147"/>
      <c r="Q13" s="147"/>
      <c r="R13" s="517">
        <f>SUM(E13:Q13)</f>
        <v>0</v>
      </c>
      <c r="S13" s="147"/>
      <c r="T13" s="147"/>
      <c r="U13" s="143"/>
    </row>
    <row r="14" spans="1:21" s="144" customFormat="1" ht="24">
      <c r="A14" s="289" t="s">
        <v>1644</v>
      </c>
      <c r="B14" s="146">
        <f>SUM(C14+D14)</f>
        <v>0</v>
      </c>
      <c r="C14" s="147"/>
      <c r="D14" s="147"/>
      <c r="E14" s="147">
        <f t="shared" si="5"/>
        <v>0</v>
      </c>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7">
        <f t="shared" si="8"/>
        <v>0</v>
      </c>
      <c r="S23" s="147"/>
      <c r="T23" s="147"/>
      <c r="U23" s="143"/>
    </row>
    <row r="24" spans="1:21" s="144" customFormat="1">
      <c r="A24" s="509" t="s">
        <v>1641</v>
      </c>
      <c r="B24" s="146">
        <f t="shared" si="6"/>
        <v>0</v>
      </c>
      <c r="C24" s="147"/>
      <c r="D24" s="147"/>
      <c r="E24" s="147">
        <f t="shared" si="7"/>
        <v>0</v>
      </c>
      <c r="F24" s="147"/>
      <c r="G24" s="147"/>
      <c r="H24" s="147"/>
      <c r="I24" s="147"/>
      <c r="J24" s="147"/>
      <c r="K24" s="147"/>
      <c r="L24" s="147"/>
      <c r="M24" s="147"/>
      <c r="N24" s="147"/>
      <c r="O24" s="147"/>
      <c r="P24" s="147"/>
      <c r="Q24" s="147"/>
      <c r="R24" s="517">
        <f t="shared" si="8"/>
        <v>0</v>
      </c>
      <c r="S24" s="147"/>
      <c r="T24" s="147"/>
      <c r="U24" s="143"/>
    </row>
    <row r="25" spans="1:21" s="144" customFormat="1">
      <c r="A25" s="1151" t="s">
        <v>2623</v>
      </c>
      <c r="B25" s="146">
        <f t="shared" si="6"/>
        <v>0</v>
      </c>
      <c r="C25" s="147"/>
      <c r="D25" s="147"/>
      <c r="E25" s="147">
        <f t="shared" si="7"/>
        <v>0</v>
      </c>
      <c r="F25" s="147"/>
      <c r="G25" s="147"/>
      <c r="H25" s="147"/>
      <c r="I25" s="147"/>
      <c r="J25" s="147"/>
      <c r="K25" s="147"/>
      <c r="L25" s="147"/>
      <c r="M25" s="147"/>
      <c r="N25" s="147"/>
      <c r="O25" s="147"/>
      <c r="P25" s="147"/>
      <c r="Q25" s="147"/>
      <c r="R25" s="517">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7">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500000</v>
      </c>
      <c r="C29" s="147">
        <f>2250000-750000-1000000</f>
        <v>500000</v>
      </c>
      <c r="D29" s="147"/>
      <c r="E29" s="147">
        <f t="shared" ref="E29:E37" si="11">C29-SUM(F29:Q29)</f>
        <v>500000</v>
      </c>
      <c r="F29" s="147"/>
      <c r="G29" s="147"/>
      <c r="H29" s="147"/>
      <c r="I29" s="147"/>
      <c r="J29" s="147"/>
      <c r="K29" s="147"/>
      <c r="L29" s="147"/>
      <c r="M29" s="147"/>
      <c r="N29" s="147"/>
      <c r="O29" s="147"/>
      <c r="P29" s="147"/>
      <c r="Q29" s="147"/>
      <c r="R29" s="517">
        <f t="shared" ref="R29:R37" si="12">SUM(E29:Q29)</f>
        <v>500000</v>
      </c>
      <c r="S29" s="147"/>
      <c r="T29" s="147"/>
      <c r="U29" s="143"/>
    </row>
    <row r="30" spans="1:21" s="144" customFormat="1">
      <c r="A30" s="145" t="s">
        <v>600</v>
      </c>
      <c r="B30" s="146">
        <f t="shared" si="10"/>
        <v>39263943</v>
      </c>
      <c r="C30" s="147">
        <f>39430000-166057</f>
        <v>39263943</v>
      </c>
      <c r="D30" s="147"/>
      <c r="E30" s="147">
        <f t="shared" si="11"/>
        <v>0</v>
      </c>
      <c r="F30" s="147">
        <f>C30-SUM(G30:Q30)</f>
        <v>31763943</v>
      </c>
      <c r="G30" s="147"/>
      <c r="H30" s="147">
        <f>H108-H76</f>
        <v>7500000</v>
      </c>
      <c r="I30" s="147"/>
      <c r="J30" s="147"/>
      <c r="K30" s="147"/>
      <c r="L30" s="147"/>
      <c r="M30" s="147"/>
      <c r="N30" s="147"/>
      <c r="O30" s="147"/>
      <c r="P30" s="147"/>
      <c r="Q30" s="147"/>
      <c r="R30" s="517">
        <f t="shared" si="12"/>
        <v>39263943</v>
      </c>
      <c r="S30" s="147">
        <f>37263943+2000000</f>
        <v>39263943</v>
      </c>
      <c r="T30" s="147"/>
      <c r="U30" s="143"/>
    </row>
    <row r="31" spans="1:21" s="144" customFormat="1">
      <c r="A31" s="145" t="s">
        <v>601</v>
      </c>
      <c r="B31" s="146">
        <f t="shared" si="10"/>
        <v>125550</v>
      </c>
      <c r="C31" s="147">
        <v>125550</v>
      </c>
      <c r="D31" s="147"/>
      <c r="E31" s="147">
        <f t="shared" si="11"/>
        <v>125550</v>
      </c>
      <c r="F31" s="147"/>
      <c r="G31" s="147"/>
      <c r="H31" s="147"/>
      <c r="I31" s="147"/>
      <c r="J31" s="147"/>
      <c r="K31" s="147"/>
      <c r="L31" s="147"/>
      <c r="M31" s="147"/>
      <c r="N31" s="147"/>
      <c r="O31" s="147"/>
      <c r="P31" s="147"/>
      <c r="Q31" s="147"/>
      <c r="R31" s="517">
        <f t="shared" si="12"/>
        <v>125550</v>
      </c>
      <c r="S31" s="147">
        <v>125550</v>
      </c>
      <c r="T31" s="147"/>
      <c r="U31" s="143"/>
    </row>
    <row r="32" spans="1:21" s="144" customFormat="1">
      <c r="A32" s="145" t="s">
        <v>137</v>
      </c>
      <c r="B32" s="146">
        <f t="shared" si="10"/>
        <v>135000</v>
      </c>
      <c r="C32" s="147">
        <v>135000</v>
      </c>
      <c r="D32" s="147"/>
      <c r="E32" s="147">
        <f t="shared" si="11"/>
        <v>135000</v>
      </c>
      <c r="F32" s="147"/>
      <c r="G32" s="147"/>
      <c r="H32" s="147"/>
      <c r="I32" s="147"/>
      <c r="J32" s="147"/>
      <c r="K32" s="147"/>
      <c r="L32" s="147"/>
      <c r="M32" s="147"/>
      <c r="N32" s="147"/>
      <c r="O32" s="147"/>
      <c r="P32" s="147"/>
      <c r="Q32" s="147"/>
      <c r="R32" s="517">
        <f t="shared" si="12"/>
        <v>135000</v>
      </c>
      <c r="S32" s="147">
        <v>135000</v>
      </c>
      <c r="T32" s="147"/>
      <c r="U32" s="143"/>
    </row>
    <row r="33" spans="1:21" s="144" customFormat="1">
      <c r="A33" s="145" t="s">
        <v>138</v>
      </c>
      <c r="B33" s="146">
        <f t="shared" si="10"/>
        <v>0</v>
      </c>
      <c r="C33" s="147"/>
      <c r="D33" s="147"/>
      <c r="E33" s="147">
        <f t="shared" si="11"/>
        <v>0</v>
      </c>
      <c r="F33" s="147"/>
      <c r="G33" s="147"/>
      <c r="H33" s="147"/>
      <c r="I33" s="147"/>
      <c r="J33" s="147"/>
      <c r="K33" s="147"/>
      <c r="L33" s="147"/>
      <c r="M33" s="147"/>
      <c r="N33" s="147"/>
      <c r="O33" s="147"/>
      <c r="P33" s="147"/>
      <c r="Q33" s="147"/>
      <c r="R33" s="517">
        <f t="shared" si="12"/>
        <v>0</v>
      </c>
      <c r="S33" s="147">
        <v>0</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7">
        <f t="shared" si="12"/>
        <v>0</v>
      </c>
      <c r="S34" s="147">
        <v>0</v>
      </c>
      <c r="T34" s="147"/>
      <c r="U34" s="143"/>
    </row>
    <row r="35" spans="1:21" s="144" customFormat="1">
      <c r="A35" s="145" t="s">
        <v>140</v>
      </c>
      <c r="B35" s="146">
        <f t="shared" si="10"/>
        <v>25000</v>
      </c>
      <c r="C35" s="147">
        <v>25000</v>
      </c>
      <c r="D35" s="147"/>
      <c r="E35" s="147">
        <f t="shared" si="11"/>
        <v>25000</v>
      </c>
      <c r="F35" s="147"/>
      <c r="G35" s="147"/>
      <c r="H35" s="147"/>
      <c r="I35" s="147"/>
      <c r="J35" s="147"/>
      <c r="K35" s="147"/>
      <c r="L35" s="147"/>
      <c r="M35" s="147"/>
      <c r="N35" s="147"/>
      <c r="O35" s="147"/>
      <c r="P35" s="147"/>
      <c r="Q35" s="147"/>
      <c r="R35" s="517">
        <f t="shared" si="12"/>
        <v>25000</v>
      </c>
      <c r="S35" s="147">
        <v>25000</v>
      </c>
      <c r="T35" s="147"/>
      <c r="U35" s="143"/>
    </row>
    <row r="36" spans="1:21" s="144" customFormat="1">
      <c r="A36" s="284" t="s">
        <v>1641</v>
      </c>
      <c r="B36" s="146">
        <f t="shared" si="10"/>
        <v>60000</v>
      </c>
      <c r="C36" s="147">
        <v>60000</v>
      </c>
      <c r="D36" s="147"/>
      <c r="E36" s="147">
        <f t="shared" si="11"/>
        <v>60000</v>
      </c>
      <c r="F36" s="147"/>
      <c r="G36" s="147"/>
      <c r="H36" s="147"/>
      <c r="I36" s="147"/>
      <c r="J36" s="147"/>
      <c r="K36" s="147"/>
      <c r="L36" s="147"/>
      <c r="M36" s="147"/>
      <c r="N36" s="147"/>
      <c r="O36" s="147"/>
      <c r="P36" s="147"/>
      <c r="Q36" s="147"/>
      <c r="R36" s="517">
        <f t="shared" si="12"/>
        <v>60000</v>
      </c>
      <c r="S36" s="147">
        <v>60000</v>
      </c>
      <c r="T36" s="147"/>
      <c r="U36" s="143"/>
    </row>
    <row r="37" spans="1:21" s="144" customFormat="1">
      <c r="A37" s="1151" t="s">
        <v>2623</v>
      </c>
      <c r="B37" s="146">
        <f t="shared" si="10"/>
        <v>10000</v>
      </c>
      <c r="C37" s="147">
        <v>10000</v>
      </c>
      <c r="D37" s="147"/>
      <c r="E37" s="147">
        <f t="shared" si="11"/>
        <v>10000</v>
      </c>
      <c r="F37" s="147"/>
      <c r="G37" s="147"/>
      <c r="H37" s="147"/>
      <c r="I37" s="147"/>
      <c r="J37" s="147"/>
      <c r="K37" s="147"/>
      <c r="L37" s="147"/>
      <c r="M37" s="147"/>
      <c r="N37" s="147"/>
      <c r="O37" s="147"/>
      <c r="P37" s="147"/>
      <c r="Q37" s="147"/>
      <c r="R37" s="517">
        <f t="shared" si="12"/>
        <v>10000</v>
      </c>
      <c r="S37" s="147">
        <v>10000</v>
      </c>
      <c r="T37" s="147"/>
      <c r="U37" s="143"/>
    </row>
    <row r="38" spans="1:21" s="144" customFormat="1">
      <c r="A38" s="149" t="s">
        <v>143</v>
      </c>
      <c r="B38" s="146">
        <f t="shared" si="10"/>
        <v>40119493</v>
      </c>
      <c r="C38" s="146">
        <f>SUM(C29:C37)</f>
        <v>40119493</v>
      </c>
      <c r="D38" s="146">
        <f t="shared" ref="D38:Q38" si="13">SUM(D29:D37)</f>
        <v>0</v>
      </c>
      <c r="E38" s="146">
        <f t="shared" si="13"/>
        <v>855550</v>
      </c>
      <c r="F38" s="146">
        <f t="shared" si="13"/>
        <v>31763943</v>
      </c>
      <c r="G38" s="146">
        <f t="shared" si="13"/>
        <v>0</v>
      </c>
      <c r="H38" s="146">
        <f t="shared" si="13"/>
        <v>7500000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40119493</v>
      </c>
      <c r="S38" s="150">
        <f>SUM(S29:S37)</f>
        <v>39619493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v>
      </c>
      <c r="C40" s="147">
        <v>30000</v>
      </c>
      <c r="D40" s="147"/>
      <c r="E40" s="147">
        <f t="shared" ref="E40:E41" si="14">C40-SUM(F40:Q40)</f>
        <v>30000</v>
      </c>
      <c r="F40" s="147"/>
      <c r="G40" s="147"/>
      <c r="H40" s="147"/>
      <c r="I40" s="147"/>
      <c r="J40" s="147"/>
      <c r="K40" s="147"/>
      <c r="L40" s="147"/>
      <c r="M40" s="147"/>
      <c r="N40" s="147"/>
      <c r="O40" s="147"/>
      <c r="P40" s="147"/>
      <c r="Q40" s="147"/>
      <c r="R40" s="517">
        <f>SUM(E40:Q40)</f>
        <v>30000</v>
      </c>
      <c r="S40" s="147">
        <v>30000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30000</v>
      </c>
      <c r="C42" s="146">
        <f>SUM(C39:C41)</f>
        <v>30000</v>
      </c>
      <c r="D42" s="146">
        <f>SUM(D39:D41)</f>
        <v>0</v>
      </c>
      <c r="E42" s="146">
        <f t="shared" ref="E42:T42" si="15">SUM(E40:E41)</f>
        <v>30000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3">
        <f>SUM(R40:R41)</f>
        <v>30000</v>
      </c>
      <c r="S42" s="150">
        <f t="shared" si="15"/>
        <v>30000</v>
      </c>
      <c r="T42" s="150">
        <f t="shared" si="15"/>
        <v>0</v>
      </c>
      <c r="U42" s="143"/>
    </row>
    <row r="43" spans="1:21" s="144" customFormat="1">
      <c r="A43" s="149" t="s">
        <v>148</v>
      </c>
      <c r="B43" s="146">
        <f>SUM(C43:D43)</f>
        <v>0</v>
      </c>
      <c r="C43" s="147"/>
      <c r="D43" s="147"/>
      <c r="E43" s="147">
        <f>C43-SUM(F43:Q43)</f>
        <v>0</v>
      </c>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4181987</v>
      </c>
      <c r="C45" s="147">
        <f>3181987+1000000</f>
        <v>4181987</v>
      </c>
      <c r="D45" s="147"/>
      <c r="E45" s="147">
        <f t="shared" ref="E45:E53" si="17">C45-SUM(F45:Q45)</f>
        <v>3445930</v>
      </c>
      <c r="F45" s="147">
        <f>F108-F30</f>
        <v>736057</v>
      </c>
      <c r="G45" s="147"/>
      <c r="H45" s="147"/>
      <c r="I45" s="147"/>
      <c r="J45" s="147"/>
      <c r="K45" s="147"/>
      <c r="L45" s="147"/>
      <c r="M45" s="147"/>
      <c r="N45" s="147"/>
      <c r="O45" s="147"/>
      <c r="P45" s="147"/>
      <c r="Q45" s="147"/>
      <c r="R45" s="517">
        <f t="shared" ref="R45:R53" si="18">SUM(E45:Q45)</f>
        <v>4181987</v>
      </c>
      <c r="S45" s="147">
        <v>984961</v>
      </c>
      <c r="T45" s="147"/>
      <c r="U45" s="143"/>
    </row>
    <row r="46" spans="1:21" s="144" customFormat="1">
      <c r="A46" s="145" t="s">
        <v>151</v>
      </c>
      <c r="B46" s="146">
        <f t="shared" si="16"/>
        <v>300000</v>
      </c>
      <c r="C46" s="147">
        <v>300000</v>
      </c>
      <c r="D46" s="147"/>
      <c r="E46" s="147">
        <f t="shared" si="17"/>
        <v>300000</v>
      </c>
      <c r="F46" s="147"/>
      <c r="G46" s="147"/>
      <c r="H46" s="147"/>
      <c r="I46" s="147"/>
      <c r="J46" s="147"/>
      <c r="K46" s="147"/>
      <c r="L46" s="147"/>
      <c r="M46" s="147"/>
      <c r="N46" s="147"/>
      <c r="O46" s="147"/>
      <c r="P46" s="147"/>
      <c r="Q46" s="147"/>
      <c r="R46" s="517">
        <f t="shared" si="18"/>
        <v>300000</v>
      </c>
      <c r="S46" s="147">
        <v>44728</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7">
        <f t="shared" si="18"/>
        <v>0</v>
      </c>
      <c r="S47" s="147"/>
      <c r="T47" s="147"/>
      <c r="U47" s="143"/>
    </row>
    <row r="48" spans="1:21" s="144" customFormat="1">
      <c r="A48" s="145" t="s">
        <v>153</v>
      </c>
      <c r="B48" s="146">
        <f t="shared" si="16"/>
        <v>25106</v>
      </c>
      <c r="C48" s="147">
        <v>25106</v>
      </c>
      <c r="D48" s="147"/>
      <c r="E48" s="147">
        <f t="shared" si="17"/>
        <v>25106</v>
      </c>
      <c r="F48" s="147"/>
      <c r="G48" s="147"/>
      <c r="H48" s="147"/>
      <c r="I48" s="147"/>
      <c r="J48" s="147"/>
      <c r="K48" s="147"/>
      <c r="L48" s="147"/>
      <c r="M48" s="147"/>
      <c r="N48" s="147"/>
      <c r="O48" s="147"/>
      <c r="P48" s="147"/>
      <c r="Q48" s="147"/>
      <c r="R48" s="517">
        <f t="shared" si="18"/>
        <v>25106</v>
      </c>
      <c r="S48" s="147">
        <v>25106</v>
      </c>
      <c r="T48" s="147"/>
      <c r="U48" s="143"/>
    </row>
    <row r="49" spans="1:21" s="144" customFormat="1">
      <c r="A49" s="145" t="s">
        <v>57</v>
      </c>
      <c r="B49" s="146">
        <f t="shared" si="16"/>
        <v>125000</v>
      </c>
      <c r="C49" s="147">
        <v>125000</v>
      </c>
      <c r="D49" s="147"/>
      <c r="E49" s="147">
        <f t="shared" si="17"/>
        <v>125000</v>
      </c>
      <c r="F49" s="147"/>
      <c r="G49" s="147"/>
      <c r="H49" s="147"/>
      <c r="I49" s="147"/>
      <c r="J49" s="147"/>
      <c r="K49" s="147"/>
      <c r="L49" s="147"/>
      <c r="M49" s="147"/>
      <c r="N49" s="147"/>
      <c r="O49" s="147"/>
      <c r="P49" s="147"/>
      <c r="Q49" s="147"/>
      <c r="R49" s="517">
        <f t="shared" si="18"/>
        <v>125000</v>
      </c>
      <c r="S49" s="147"/>
      <c r="T49" s="147"/>
      <c r="U49" s="143"/>
    </row>
    <row r="50" spans="1:21" s="144" customFormat="1">
      <c r="A50" s="145" t="s">
        <v>156</v>
      </c>
      <c r="B50" s="146">
        <f t="shared" si="16"/>
        <v>30000</v>
      </c>
      <c r="C50" s="147">
        <v>30000</v>
      </c>
      <c r="D50" s="147"/>
      <c r="E50" s="147">
        <f t="shared" si="17"/>
        <v>30000</v>
      </c>
      <c r="F50" s="147"/>
      <c r="G50" s="147"/>
      <c r="H50" s="147"/>
      <c r="I50" s="147"/>
      <c r="J50" s="147"/>
      <c r="K50" s="147"/>
      <c r="L50" s="147"/>
      <c r="M50" s="147"/>
      <c r="N50" s="147"/>
      <c r="O50" s="147"/>
      <c r="P50" s="147"/>
      <c r="Q50" s="147"/>
      <c r="R50" s="517">
        <f t="shared" si="18"/>
        <v>30000</v>
      </c>
      <c r="S50" s="147">
        <v>30000</v>
      </c>
      <c r="T50" s="147"/>
      <c r="U50" s="143"/>
    </row>
    <row r="51" spans="1:21" s="144" customFormat="1">
      <c r="A51" s="284" t="s">
        <v>154</v>
      </c>
      <c r="B51" s="146">
        <f t="shared" si="16"/>
        <v>2000</v>
      </c>
      <c r="C51" s="147">
        <v>2000</v>
      </c>
      <c r="D51" s="147"/>
      <c r="E51" s="147">
        <f t="shared" si="17"/>
        <v>2000</v>
      </c>
      <c r="F51" s="147"/>
      <c r="G51" s="147"/>
      <c r="H51" s="147"/>
      <c r="I51" s="147"/>
      <c r="J51" s="147"/>
      <c r="K51" s="147"/>
      <c r="L51" s="147"/>
      <c r="M51" s="147"/>
      <c r="N51" s="147"/>
      <c r="O51" s="147"/>
      <c r="P51" s="147"/>
      <c r="Q51" s="147"/>
      <c r="R51" s="517">
        <f t="shared" si="18"/>
        <v>2000</v>
      </c>
      <c r="S51" s="147"/>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7">
        <f t="shared" si="18"/>
        <v>0</v>
      </c>
      <c r="S52" s="147"/>
      <c r="T52" s="147"/>
      <c r="U52" s="143"/>
    </row>
    <row r="53" spans="1:21" s="144" customFormat="1">
      <c r="A53" s="1151" t="s">
        <v>34</v>
      </c>
      <c r="B53" s="146">
        <f t="shared" si="16"/>
        <v>0</v>
      </c>
      <c r="C53" s="147"/>
      <c r="D53" s="147"/>
      <c r="E53" s="147">
        <f t="shared" si="17"/>
        <v>0</v>
      </c>
      <c r="F53" s="147"/>
      <c r="G53" s="147"/>
      <c r="H53" s="147"/>
      <c r="I53" s="147"/>
      <c r="J53" s="147"/>
      <c r="K53" s="147"/>
      <c r="L53" s="147"/>
      <c r="M53" s="147"/>
      <c r="N53" s="147"/>
      <c r="O53" s="147"/>
      <c r="P53" s="147"/>
      <c r="Q53" s="147"/>
      <c r="R53" s="517">
        <f t="shared" si="18"/>
        <v>0</v>
      </c>
      <c r="S53" s="147"/>
      <c r="T53" s="147"/>
      <c r="U53" s="143"/>
    </row>
    <row r="54" spans="1:21" s="153" customFormat="1">
      <c r="A54" s="149" t="s">
        <v>157</v>
      </c>
      <c r="B54" s="150">
        <f>SUM(C54:D54)</f>
        <v>4664093</v>
      </c>
      <c r="C54" s="150">
        <f t="shared" ref="C54:T54" si="19">SUM(C45:C53)</f>
        <v>4664093</v>
      </c>
      <c r="D54" s="150">
        <f t="shared" si="19"/>
        <v>0</v>
      </c>
      <c r="E54" s="150">
        <f t="shared" si="19"/>
        <v>3928036</v>
      </c>
      <c r="F54" s="150">
        <f t="shared" si="19"/>
        <v>736057</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3">
        <f t="shared" si="19"/>
        <v>4664093</v>
      </c>
      <c r="S54" s="150">
        <f t="shared" si="19"/>
        <v>1084795</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C56-SUM(F56:Q56)</f>
        <v>0</v>
      </c>
      <c r="F56" s="147"/>
      <c r="G56" s="147"/>
      <c r="H56" s="147"/>
      <c r="I56" s="147"/>
      <c r="J56" s="147"/>
      <c r="K56" s="147"/>
      <c r="L56" s="147"/>
      <c r="M56" s="147"/>
      <c r="N56" s="147"/>
      <c r="O56" s="147"/>
      <c r="P56" s="147"/>
      <c r="Q56" s="147"/>
      <c r="R56" s="517">
        <f t="shared" ref="R56:R61" si="22">SUM(E56:Q56)</f>
        <v>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7">
        <f t="shared" si="22"/>
        <v>0</v>
      </c>
      <c r="S57" s="194"/>
      <c r="T57" s="194"/>
      <c r="U57" s="191"/>
    </row>
    <row r="58" spans="1:21" s="144" customFormat="1">
      <c r="A58" s="145" t="s">
        <v>156</v>
      </c>
      <c r="B58" s="146">
        <f t="shared" si="20"/>
        <v>40000</v>
      </c>
      <c r="C58" s="147">
        <v>40000</v>
      </c>
      <c r="D58" s="147"/>
      <c r="E58" s="147">
        <f t="shared" si="21"/>
        <v>40000</v>
      </c>
      <c r="F58" s="147"/>
      <c r="G58" s="147"/>
      <c r="H58" s="147"/>
      <c r="I58" s="147"/>
      <c r="J58" s="147"/>
      <c r="K58" s="147"/>
      <c r="L58" s="147"/>
      <c r="M58" s="147"/>
      <c r="N58" s="147"/>
      <c r="O58" s="147"/>
      <c r="P58" s="147"/>
      <c r="Q58" s="147"/>
      <c r="R58" s="517">
        <f t="shared" si="22"/>
        <v>40000</v>
      </c>
      <c r="S58" s="148"/>
      <c r="T58" s="148"/>
      <c r="U58" s="143"/>
    </row>
    <row r="59" spans="1:21" s="144" customFormat="1">
      <c r="A59" s="284" t="s">
        <v>154</v>
      </c>
      <c r="B59" s="146">
        <f t="shared" si="20"/>
        <v>0</v>
      </c>
      <c r="C59" s="147"/>
      <c r="D59" s="147"/>
      <c r="E59" s="147">
        <f t="shared" si="21"/>
        <v>0</v>
      </c>
      <c r="F59" s="147"/>
      <c r="G59" s="147"/>
      <c r="H59" s="147"/>
      <c r="I59" s="147"/>
      <c r="J59" s="147"/>
      <c r="K59" s="147"/>
      <c r="L59" s="147"/>
      <c r="M59" s="147"/>
      <c r="N59" s="147"/>
      <c r="O59" s="147"/>
      <c r="P59" s="147"/>
      <c r="Q59" s="147"/>
      <c r="R59" s="517">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7">
        <f t="shared" si="22"/>
        <v>0</v>
      </c>
      <c r="S60" s="148"/>
      <c r="T60" s="148"/>
      <c r="U60" s="143"/>
    </row>
    <row r="61" spans="1:21" s="144" customFormat="1">
      <c r="A61" s="1151" t="s">
        <v>34</v>
      </c>
      <c r="B61" s="146">
        <f t="shared" si="20"/>
        <v>0</v>
      </c>
      <c r="C61" s="147"/>
      <c r="D61" s="147"/>
      <c r="E61" s="147">
        <f t="shared" si="21"/>
        <v>0</v>
      </c>
      <c r="F61" s="147"/>
      <c r="G61" s="147"/>
      <c r="H61" s="147"/>
      <c r="I61" s="147"/>
      <c r="J61" s="147"/>
      <c r="K61" s="147"/>
      <c r="L61" s="147"/>
      <c r="M61" s="147"/>
      <c r="N61" s="147"/>
      <c r="O61" s="147"/>
      <c r="P61" s="147"/>
      <c r="Q61" s="147"/>
      <c r="R61" s="517">
        <f t="shared" si="22"/>
        <v>0</v>
      </c>
      <c r="S61" s="148"/>
      <c r="T61" s="148"/>
      <c r="U61" s="143"/>
    </row>
    <row r="62" spans="1:21" s="144" customFormat="1" ht="13.7" customHeight="1">
      <c r="A62" s="149" t="s">
        <v>301</v>
      </c>
      <c r="B62" s="146">
        <f>SUM(C62:D62)</f>
        <v>40000</v>
      </c>
      <c r="C62" s="146">
        <f t="shared" ref="C62:R62" si="23">SUM(C56:C61)</f>
        <v>40000</v>
      </c>
      <c r="D62" s="146">
        <f t="shared" si="23"/>
        <v>0</v>
      </c>
      <c r="E62" s="146">
        <f t="shared" si="23"/>
        <v>40000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3">
        <f t="shared" si="23"/>
        <v>40000</v>
      </c>
      <c r="S62" s="148"/>
      <c r="T62" s="148"/>
      <c r="U62" s="143"/>
    </row>
    <row r="63" spans="1:21" s="144" customFormat="1">
      <c r="A63" s="154" t="s">
        <v>302</v>
      </c>
      <c r="B63" s="146">
        <f t="shared" ref="B63:R63" si="24">SUM(B8+B11+B13+B14+B15+B26+B27+B38+B42+B43+B54+B62)</f>
        <v>47589643</v>
      </c>
      <c r="C63" s="146">
        <f t="shared" si="24"/>
        <v>47589643</v>
      </c>
      <c r="D63" s="146">
        <f t="shared" si="24"/>
        <v>0</v>
      </c>
      <c r="E63" s="146">
        <f t="shared" si="24"/>
        <v>7589643</v>
      </c>
      <c r="F63" s="146">
        <f t="shared" si="24"/>
        <v>32500000</v>
      </c>
      <c r="G63" s="146">
        <f t="shared" si="24"/>
        <v>0</v>
      </c>
      <c r="H63" s="146">
        <f t="shared" si="24"/>
        <v>7500000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3">
        <f t="shared" si="24"/>
        <v>47589643</v>
      </c>
      <c r="S63" s="146">
        <f>SUM(S10+S13+S14+S15+S26+S27+S38+S42+S43+S54)</f>
        <v>40734288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450000</v>
      </c>
      <c r="C65" s="147">
        <v>450000</v>
      </c>
      <c r="D65" s="147"/>
      <c r="E65" s="147">
        <f t="shared" ref="E65:E69" si="25">C65-SUM(F65:Q65)</f>
        <v>450000</v>
      </c>
      <c r="F65" s="147"/>
      <c r="G65" s="147"/>
      <c r="H65" s="147"/>
      <c r="I65" s="147"/>
      <c r="J65" s="147"/>
      <c r="K65" s="147"/>
      <c r="L65" s="147"/>
      <c r="M65" s="147"/>
      <c r="N65" s="147"/>
      <c r="O65" s="147"/>
      <c r="P65" s="147"/>
      <c r="Q65" s="147"/>
      <c r="R65" s="517">
        <f>SUM(E65:Q65)</f>
        <v>450000</v>
      </c>
      <c r="S65" s="147">
        <v>300000</v>
      </c>
      <c r="T65" s="147"/>
      <c r="U65" s="143"/>
    </row>
    <row r="66" spans="1:21" s="144" customFormat="1" ht="24" customHeight="1">
      <c r="A66" s="284" t="s">
        <v>1642</v>
      </c>
      <c r="B66" s="146">
        <f>SUM(C66+D66)</f>
        <v>250000</v>
      </c>
      <c r="C66" s="147">
        <v>250000</v>
      </c>
      <c r="D66" s="147"/>
      <c r="E66" s="147">
        <f t="shared" si="25"/>
        <v>250000</v>
      </c>
      <c r="F66" s="147"/>
      <c r="G66" s="147"/>
      <c r="H66" s="147"/>
      <c r="I66" s="147"/>
      <c r="J66" s="147"/>
      <c r="K66" s="147"/>
      <c r="L66" s="147"/>
      <c r="M66" s="147"/>
      <c r="N66" s="147"/>
      <c r="O66" s="147"/>
      <c r="P66" s="147"/>
      <c r="Q66" s="147"/>
      <c r="R66" s="517">
        <f>SUM(E66:Q66)</f>
        <v>250000</v>
      </c>
      <c r="S66" s="147">
        <v>250000</v>
      </c>
      <c r="T66" s="147"/>
      <c r="U66" s="143"/>
    </row>
    <row r="67" spans="1:21" s="144" customFormat="1" ht="24" customHeight="1">
      <c r="A67" s="284" t="s">
        <v>1643</v>
      </c>
      <c r="B67" s="146">
        <f>SUM(C67+D67)</f>
        <v>0</v>
      </c>
      <c r="C67" s="147"/>
      <c r="D67" s="147"/>
      <c r="E67" s="147">
        <f t="shared" si="25"/>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f t="shared" si="25"/>
        <v>0</v>
      </c>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f t="shared" si="25"/>
        <v>0</v>
      </c>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700000</v>
      </c>
      <c r="C70" s="146">
        <f>SUM(C65:C69)</f>
        <v>700000</v>
      </c>
      <c r="D70" s="146">
        <f>SUM(D65:D69)</f>
        <v>0</v>
      </c>
      <c r="E70" s="146">
        <f t="shared" ref="E70:T70" si="26">SUM(E65:E69)</f>
        <v>700000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3">
        <f t="shared" si="26"/>
        <v>700000</v>
      </c>
      <c r="S70" s="150">
        <f t="shared" si="26"/>
        <v>550000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f t="shared" si="27"/>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523590</v>
      </c>
      <c r="C75" s="147">
        <v>523590</v>
      </c>
      <c r="D75" s="147"/>
      <c r="E75" s="147">
        <f t="shared" si="27"/>
        <v>523590</v>
      </c>
      <c r="F75" s="147"/>
      <c r="G75" s="147"/>
      <c r="H75" s="147"/>
      <c r="I75" s="147"/>
      <c r="J75" s="147"/>
      <c r="K75" s="147"/>
      <c r="L75" s="147"/>
      <c r="M75" s="147"/>
      <c r="N75" s="147"/>
      <c r="O75" s="147"/>
      <c r="P75" s="147"/>
      <c r="Q75" s="147"/>
      <c r="R75" s="517">
        <f>SUM(E75:Q75)</f>
        <v>523590</v>
      </c>
      <c r="S75" s="148"/>
      <c r="T75" s="148"/>
      <c r="U75" s="143"/>
    </row>
    <row r="76" spans="1:21" s="144" customFormat="1">
      <c r="A76" s="1151" t="s">
        <v>2624</v>
      </c>
      <c r="B76" s="146">
        <f>SUM(C76+D76)</f>
        <v>14750000</v>
      </c>
      <c r="C76" s="147">
        <v>14750000</v>
      </c>
      <c r="D76" s="147"/>
      <c r="E76" s="147">
        <f t="shared" si="27"/>
        <v>4950000</v>
      </c>
      <c r="F76" s="147"/>
      <c r="G76" s="147"/>
      <c r="H76" s="147">
        <v>5000000</v>
      </c>
      <c r="I76" s="147">
        <f>I108</f>
        <v>4800000</v>
      </c>
      <c r="J76" s="147"/>
      <c r="K76" s="147"/>
      <c r="L76" s="147"/>
      <c r="M76" s="147"/>
      <c r="N76" s="147"/>
      <c r="O76" s="147"/>
      <c r="P76" s="147"/>
      <c r="Q76" s="147"/>
      <c r="R76" s="517">
        <f>SUM(E76:Q76)</f>
        <v>14750000</v>
      </c>
      <c r="S76" s="148"/>
      <c r="T76" s="148"/>
      <c r="U76" s="143"/>
    </row>
    <row r="77" spans="1:21" s="144" customFormat="1">
      <c r="A77" s="149" t="s">
        <v>607</v>
      </c>
      <c r="B77" s="146">
        <f>SUM(C77:D77)</f>
        <v>15273590</v>
      </c>
      <c r="C77" s="146">
        <f>SUM(C72:C76)</f>
        <v>15273590</v>
      </c>
      <c r="D77" s="146">
        <f>SUM(D72:D76)</f>
        <v>0</v>
      </c>
      <c r="E77" s="146">
        <f t="shared" ref="E77:Q77" si="28">SUM(E72:E76)</f>
        <v>5473590</v>
      </c>
      <c r="F77" s="146">
        <f t="shared" si="28"/>
        <v>0</v>
      </c>
      <c r="G77" s="146">
        <f t="shared" si="28"/>
        <v>0</v>
      </c>
      <c r="H77" s="146">
        <f t="shared" si="28"/>
        <v>5000000</v>
      </c>
      <c r="I77" s="146">
        <f t="shared" si="28"/>
        <v>4800000</v>
      </c>
      <c r="J77" s="146">
        <f t="shared" si="28"/>
        <v>0</v>
      </c>
      <c r="K77" s="146">
        <f t="shared" si="28"/>
        <v>0</v>
      </c>
      <c r="L77" s="146">
        <f t="shared" si="28"/>
        <v>0</v>
      </c>
      <c r="M77" s="146">
        <f t="shared" si="28"/>
        <v>0</v>
      </c>
      <c r="N77" s="146">
        <f t="shared" si="28"/>
        <v>0</v>
      </c>
      <c r="O77" s="146">
        <f t="shared" si="28"/>
        <v>0</v>
      </c>
      <c r="P77" s="146">
        <f t="shared" si="28"/>
        <v>0</v>
      </c>
      <c r="Q77" s="146">
        <f t="shared" si="28"/>
        <v>0</v>
      </c>
      <c r="R77" s="343">
        <f>SUM(R72:R76)</f>
        <v>15273590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126783</v>
      </c>
      <c r="C79" s="147">
        <v>126783</v>
      </c>
      <c r="D79" s="147"/>
      <c r="E79" s="147">
        <f t="shared" ref="E79:E80" si="29">C79-SUM(F79:Q79)</f>
        <v>126783</v>
      </c>
      <c r="F79" s="147"/>
      <c r="G79" s="147"/>
      <c r="H79" s="147"/>
      <c r="I79" s="147"/>
      <c r="J79" s="147"/>
      <c r="K79" s="147"/>
      <c r="L79" s="147"/>
      <c r="M79" s="147"/>
      <c r="N79" s="147"/>
      <c r="O79" s="147"/>
      <c r="P79" s="147"/>
      <c r="Q79" s="147"/>
      <c r="R79" s="517">
        <f>SUM(E79:Q79)</f>
        <v>126783</v>
      </c>
      <c r="S79" s="147">
        <v>126783</v>
      </c>
      <c r="T79" s="147"/>
      <c r="U79" s="143"/>
    </row>
    <row r="80" spans="1:21" s="144" customFormat="1">
      <c r="A80" s="284" t="s">
        <v>58</v>
      </c>
      <c r="B80" s="146">
        <f>SUM(C80:D80)</f>
        <v>1000000</v>
      </c>
      <c r="C80" s="147">
        <f>250000+750000</f>
        <v>1000000</v>
      </c>
      <c r="D80" s="147"/>
      <c r="E80" s="147">
        <f t="shared" si="29"/>
        <v>1000000</v>
      </c>
      <c r="F80" s="147"/>
      <c r="G80" s="147"/>
      <c r="H80" s="147"/>
      <c r="I80" s="147"/>
      <c r="J80" s="147"/>
      <c r="K80" s="147"/>
      <c r="L80" s="147"/>
      <c r="M80" s="147"/>
      <c r="N80" s="147"/>
      <c r="O80" s="147"/>
      <c r="P80" s="147"/>
      <c r="Q80" s="147"/>
      <c r="R80" s="517">
        <f>SUM(E80:Q80)</f>
        <v>1000000</v>
      </c>
      <c r="S80" s="147">
        <v>125000</v>
      </c>
      <c r="T80" s="147"/>
      <c r="U80" s="143"/>
    </row>
    <row r="81" spans="1:21" s="144" customFormat="1">
      <c r="A81" s="149" t="s">
        <v>1210</v>
      </c>
      <c r="B81" s="146">
        <f>SUM(C81:D81)</f>
        <v>1126783</v>
      </c>
      <c r="C81" s="510">
        <f>SUM(C79:C80)</f>
        <v>1126783</v>
      </c>
      <c r="D81" s="510">
        <f t="shared" ref="D81:T81" si="30">SUM(D79:D80)</f>
        <v>0</v>
      </c>
      <c r="E81" s="510">
        <f t="shared" si="30"/>
        <v>1126783</v>
      </c>
      <c r="F81" s="510">
        <f t="shared" si="30"/>
        <v>0</v>
      </c>
      <c r="G81" s="510">
        <f t="shared" si="30"/>
        <v>0</v>
      </c>
      <c r="H81" s="510">
        <f t="shared" si="30"/>
        <v>0</v>
      </c>
      <c r="I81" s="510">
        <f t="shared" si="30"/>
        <v>0</v>
      </c>
      <c r="J81" s="510">
        <f t="shared" si="30"/>
        <v>0</v>
      </c>
      <c r="K81" s="510">
        <f t="shared" si="30"/>
        <v>0</v>
      </c>
      <c r="L81" s="510">
        <f t="shared" si="30"/>
        <v>0</v>
      </c>
      <c r="M81" s="510">
        <f t="shared" si="30"/>
        <v>0</v>
      </c>
      <c r="N81" s="510">
        <f t="shared" si="30"/>
        <v>0</v>
      </c>
      <c r="O81" s="510">
        <f t="shared" si="30"/>
        <v>0</v>
      </c>
      <c r="P81" s="510">
        <f t="shared" si="30"/>
        <v>0</v>
      </c>
      <c r="Q81" s="510">
        <f t="shared" si="30"/>
        <v>0</v>
      </c>
      <c r="R81" s="510">
        <f t="shared" si="30"/>
        <v>1126783</v>
      </c>
      <c r="S81" s="510">
        <f t="shared" si="30"/>
        <v>251783</v>
      </c>
      <c r="T81" s="510">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2097</v>
      </c>
      <c r="B83" s="146">
        <f t="shared" ref="B83:B95" si="31">SUM(C83+D83)</f>
        <v>230650</v>
      </c>
      <c r="C83" s="147">
        <f>121182+109468</f>
        <v>230650</v>
      </c>
      <c r="D83" s="147"/>
      <c r="E83" s="147">
        <f t="shared" ref="E83:E95" si="32">C83-SUM(F83:Q83)</f>
        <v>230650</v>
      </c>
      <c r="F83" s="147"/>
      <c r="G83" s="147"/>
      <c r="H83" s="147"/>
      <c r="I83" s="147"/>
      <c r="J83" s="147"/>
      <c r="K83" s="147"/>
      <c r="L83" s="147"/>
      <c r="M83" s="147"/>
      <c r="N83" s="147"/>
      <c r="O83" s="147"/>
      <c r="P83" s="147"/>
      <c r="Q83" s="147"/>
      <c r="R83" s="517">
        <f t="shared" ref="R83:R95" si="33">SUM(E83:Q83)</f>
        <v>230650</v>
      </c>
      <c r="S83" s="148"/>
      <c r="T83" s="148"/>
      <c r="U83" s="143"/>
    </row>
    <row r="84" spans="1:21" s="144" customFormat="1">
      <c r="A84" s="145" t="s">
        <v>768</v>
      </c>
      <c r="B84" s="146">
        <f t="shared" si="31"/>
        <v>0</v>
      </c>
      <c r="C84" s="147"/>
      <c r="D84" s="147"/>
      <c r="E84" s="147">
        <f t="shared" si="32"/>
        <v>0</v>
      </c>
      <c r="F84" s="147"/>
      <c r="G84" s="147"/>
      <c r="H84" s="147"/>
      <c r="I84" s="147"/>
      <c r="J84" s="147"/>
      <c r="K84" s="147"/>
      <c r="L84" s="147"/>
      <c r="M84" s="147"/>
      <c r="N84" s="147"/>
      <c r="O84" s="147"/>
      <c r="P84" s="147"/>
      <c r="Q84" s="147"/>
      <c r="R84" s="517">
        <f t="shared" si="33"/>
        <v>0</v>
      </c>
      <c r="S84" s="147"/>
      <c r="T84" s="147"/>
      <c r="U84" s="143"/>
    </row>
    <row r="85" spans="1:21" s="144" customFormat="1">
      <c r="A85" s="145" t="s">
        <v>769</v>
      </c>
      <c r="B85" s="146">
        <f t="shared" si="31"/>
        <v>0</v>
      </c>
      <c r="C85" s="147"/>
      <c r="D85" s="147"/>
      <c r="E85" s="147">
        <f t="shared" si="32"/>
        <v>0</v>
      </c>
      <c r="F85" s="147"/>
      <c r="G85" s="147"/>
      <c r="H85" s="147"/>
      <c r="I85" s="147"/>
      <c r="J85" s="147"/>
      <c r="K85" s="147"/>
      <c r="L85" s="147"/>
      <c r="M85" s="147"/>
      <c r="N85" s="147"/>
      <c r="O85" s="147"/>
      <c r="P85" s="147"/>
      <c r="Q85" s="147"/>
      <c r="R85" s="517">
        <f t="shared" si="33"/>
        <v>0</v>
      </c>
      <c r="S85" s="147"/>
      <c r="T85" s="147"/>
      <c r="U85" s="143"/>
    </row>
    <row r="86" spans="1:21" s="144" customFormat="1">
      <c r="A86" s="145" t="s">
        <v>770</v>
      </c>
      <c r="B86" s="146">
        <f t="shared" si="31"/>
        <v>0</v>
      </c>
      <c r="C86" s="147"/>
      <c r="D86" s="147"/>
      <c r="E86" s="147">
        <f t="shared" si="32"/>
        <v>0</v>
      </c>
      <c r="F86" s="147"/>
      <c r="G86" s="147"/>
      <c r="H86" s="147"/>
      <c r="I86" s="147"/>
      <c r="J86" s="147"/>
      <c r="K86" s="147"/>
      <c r="L86" s="147"/>
      <c r="M86" s="147"/>
      <c r="N86" s="147"/>
      <c r="O86" s="147"/>
      <c r="P86" s="147"/>
      <c r="Q86" s="147"/>
      <c r="R86" s="517">
        <f t="shared" si="33"/>
        <v>0</v>
      </c>
      <c r="S86" s="147"/>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7">
        <f t="shared" si="33"/>
        <v>0</v>
      </c>
      <c r="S87" s="147"/>
      <c r="T87" s="147"/>
      <c r="U87" s="143"/>
    </row>
    <row r="88" spans="1:21" s="144" customFormat="1">
      <c r="A88" s="145" t="s">
        <v>772</v>
      </c>
      <c r="B88" s="146">
        <f t="shared" si="31"/>
        <v>100000</v>
      </c>
      <c r="C88" s="147">
        <v>100000</v>
      </c>
      <c r="D88" s="147"/>
      <c r="E88" s="147">
        <f t="shared" si="32"/>
        <v>100000</v>
      </c>
      <c r="F88" s="147"/>
      <c r="G88" s="147"/>
      <c r="H88" s="147"/>
      <c r="I88" s="147"/>
      <c r="J88" s="147"/>
      <c r="K88" s="147"/>
      <c r="L88" s="147"/>
      <c r="M88" s="147"/>
      <c r="N88" s="147"/>
      <c r="O88" s="147"/>
      <c r="P88" s="147"/>
      <c r="Q88" s="147"/>
      <c r="R88" s="517">
        <f t="shared" si="33"/>
        <v>100000</v>
      </c>
      <c r="S88" s="148"/>
      <c r="T88" s="148"/>
      <c r="U88" s="143"/>
    </row>
    <row r="89" spans="1:21" s="144" customFormat="1">
      <c r="A89" s="145" t="s">
        <v>773</v>
      </c>
      <c r="B89" s="146">
        <f t="shared" si="31"/>
        <v>1003000</v>
      </c>
      <c r="C89" s="147">
        <v>1003000</v>
      </c>
      <c r="D89" s="147"/>
      <c r="E89" s="147">
        <f t="shared" si="32"/>
        <v>1003000</v>
      </c>
      <c r="F89" s="147"/>
      <c r="G89" s="147"/>
      <c r="H89" s="147"/>
      <c r="I89" s="147"/>
      <c r="J89" s="147"/>
      <c r="K89" s="147"/>
      <c r="L89" s="147"/>
      <c r="M89" s="147"/>
      <c r="N89" s="147"/>
      <c r="O89" s="147"/>
      <c r="P89" s="147"/>
      <c r="Q89" s="147"/>
      <c r="R89" s="517">
        <f t="shared" si="33"/>
        <v>1003000</v>
      </c>
      <c r="S89" s="147">
        <v>1003000</v>
      </c>
      <c r="T89" s="147"/>
      <c r="U89" s="143"/>
    </row>
    <row r="90" spans="1:21" s="144" customFormat="1">
      <c r="A90" s="145" t="s">
        <v>774</v>
      </c>
      <c r="B90" s="146">
        <f t="shared" si="31"/>
        <v>10000</v>
      </c>
      <c r="C90" s="147">
        <v>10000</v>
      </c>
      <c r="D90" s="147"/>
      <c r="E90" s="147">
        <f t="shared" si="32"/>
        <v>10000</v>
      </c>
      <c r="F90" s="147"/>
      <c r="G90" s="147"/>
      <c r="H90" s="147"/>
      <c r="I90" s="147"/>
      <c r="J90" s="147"/>
      <c r="K90" s="147"/>
      <c r="L90" s="147"/>
      <c r="M90" s="147"/>
      <c r="N90" s="147"/>
      <c r="O90" s="147"/>
      <c r="P90" s="147"/>
      <c r="Q90" s="147"/>
      <c r="R90" s="517">
        <f t="shared" si="33"/>
        <v>10000</v>
      </c>
      <c r="S90" s="147">
        <v>10000</v>
      </c>
      <c r="T90" s="147"/>
      <c r="U90" s="143"/>
    </row>
    <row r="91" spans="1:21" s="144" customFormat="1">
      <c r="A91" s="145" t="s">
        <v>372</v>
      </c>
      <c r="B91" s="146">
        <f t="shared" si="31"/>
        <v>30000</v>
      </c>
      <c r="C91" s="147">
        <v>30000</v>
      </c>
      <c r="D91" s="147"/>
      <c r="E91" s="147">
        <f t="shared" si="32"/>
        <v>30000</v>
      </c>
      <c r="F91" s="147"/>
      <c r="G91" s="147"/>
      <c r="H91" s="147"/>
      <c r="I91" s="147"/>
      <c r="J91" s="147"/>
      <c r="K91" s="147"/>
      <c r="L91" s="147"/>
      <c r="M91" s="147"/>
      <c r="N91" s="147"/>
      <c r="O91" s="147"/>
      <c r="P91" s="147"/>
      <c r="Q91" s="147"/>
      <c r="R91" s="517">
        <f t="shared" si="33"/>
        <v>30000</v>
      </c>
      <c r="S91" s="147">
        <v>20000</v>
      </c>
      <c r="T91" s="147"/>
      <c r="U91" s="143"/>
    </row>
    <row r="92" spans="1:21" s="144" customFormat="1">
      <c r="A92" s="284" t="s">
        <v>1212</v>
      </c>
      <c r="B92" s="146">
        <f t="shared" si="31"/>
        <v>10000</v>
      </c>
      <c r="C92" s="147">
        <v>10000</v>
      </c>
      <c r="D92" s="147"/>
      <c r="E92" s="147">
        <f t="shared" si="32"/>
        <v>10000</v>
      </c>
      <c r="F92" s="147"/>
      <c r="G92" s="147"/>
      <c r="H92" s="147"/>
      <c r="I92" s="147"/>
      <c r="J92" s="147"/>
      <c r="K92" s="147"/>
      <c r="L92" s="147"/>
      <c r="M92" s="147"/>
      <c r="N92" s="147"/>
      <c r="O92" s="147"/>
      <c r="P92" s="147"/>
      <c r="Q92" s="147"/>
      <c r="R92" s="517">
        <f t="shared" si="33"/>
        <v>10000</v>
      </c>
      <c r="S92" s="147"/>
      <c r="T92" s="147"/>
      <c r="U92" s="143"/>
    </row>
    <row r="93" spans="1:21" s="144" customFormat="1">
      <c r="A93" s="1151" t="s">
        <v>34</v>
      </c>
      <c r="B93" s="146">
        <f t="shared" si="31"/>
        <v>0</v>
      </c>
      <c r="C93" s="147"/>
      <c r="D93" s="147"/>
      <c r="E93" s="147">
        <f t="shared" si="32"/>
        <v>0</v>
      </c>
      <c r="F93" s="147"/>
      <c r="G93" s="147"/>
      <c r="H93" s="147"/>
      <c r="I93" s="147"/>
      <c r="J93" s="147"/>
      <c r="K93" s="147"/>
      <c r="L93" s="147"/>
      <c r="M93" s="147"/>
      <c r="N93" s="147"/>
      <c r="O93" s="147"/>
      <c r="P93" s="147"/>
      <c r="Q93" s="147"/>
      <c r="R93" s="517">
        <f t="shared" si="33"/>
        <v>0</v>
      </c>
      <c r="S93" s="147"/>
      <c r="T93" s="147"/>
      <c r="U93" s="143"/>
    </row>
    <row r="94" spans="1:21" s="144" customFormat="1">
      <c r="A94" s="1151" t="s">
        <v>34</v>
      </c>
      <c r="B94" s="146">
        <f t="shared" si="31"/>
        <v>0</v>
      </c>
      <c r="C94" s="147"/>
      <c r="D94" s="147"/>
      <c r="E94" s="147">
        <f t="shared" si="32"/>
        <v>0</v>
      </c>
      <c r="F94" s="147"/>
      <c r="G94" s="147"/>
      <c r="H94" s="147"/>
      <c r="I94" s="147"/>
      <c r="J94" s="147"/>
      <c r="K94" s="147"/>
      <c r="L94" s="147"/>
      <c r="M94" s="147"/>
      <c r="N94" s="147"/>
      <c r="O94" s="147"/>
      <c r="P94" s="147"/>
      <c r="Q94" s="147"/>
      <c r="R94" s="517">
        <f t="shared" si="33"/>
        <v>0</v>
      </c>
      <c r="S94" s="147"/>
      <c r="T94" s="147"/>
      <c r="U94" s="143"/>
    </row>
    <row r="95" spans="1:21" s="144" customFormat="1">
      <c r="A95" s="1151" t="s">
        <v>34</v>
      </c>
      <c r="B95" s="146">
        <f t="shared" si="31"/>
        <v>0</v>
      </c>
      <c r="C95" s="147"/>
      <c r="D95" s="147"/>
      <c r="E95" s="147">
        <f t="shared" si="32"/>
        <v>0</v>
      </c>
      <c r="F95" s="147"/>
      <c r="G95" s="147"/>
      <c r="H95" s="147"/>
      <c r="I95" s="147"/>
      <c r="J95" s="147"/>
      <c r="K95" s="147"/>
      <c r="L95" s="147"/>
      <c r="M95" s="147"/>
      <c r="N95" s="147"/>
      <c r="O95" s="147"/>
      <c r="P95" s="147"/>
      <c r="Q95" s="147"/>
      <c r="R95" s="517">
        <f t="shared" si="33"/>
        <v>0</v>
      </c>
      <c r="S95" s="147"/>
      <c r="T95" s="147"/>
      <c r="U95" s="143"/>
    </row>
    <row r="96" spans="1:21" s="144" customFormat="1">
      <c r="A96" s="149" t="s">
        <v>775</v>
      </c>
      <c r="B96" s="146">
        <f>SUM(C96:D96)</f>
        <v>1383650</v>
      </c>
      <c r="C96" s="146">
        <f t="shared" ref="C96:R96" si="34">SUM(C83:C95)</f>
        <v>1383650</v>
      </c>
      <c r="D96" s="146">
        <f t="shared" si="34"/>
        <v>0</v>
      </c>
      <c r="E96" s="146">
        <f t="shared" si="34"/>
        <v>1383650</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3">
        <f t="shared" si="34"/>
        <v>1383650</v>
      </c>
      <c r="S96" s="150">
        <f>SUM(S84:S87,S89:S95)</f>
        <v>1033000</v>
      </c>
      <c r="T96" s="146">
        <f>SUM(T84:T87,T89:T95)</f>
        <v>0</v>
      </c>
      <c r="U96" s="143"/>
    </row>
    <row r="97" spans="1:21" s="144" customFormat="1">
      <c r="A97" s="149" t="s">
        <v>776</v>
      </c>
      <c r="B97" s="146">
        <f>SUM(C97:D97)</f>
        <v>66073666</v>
      </c>
      <c r="C97" s="146">
        <f t="shared" ref="C97:R97" si="35">SUM(C63+C70+C77+C81+C96)</f>
        <v>66073666</v>
      </c>
      <c r="D97" s="146">
        <f t="shared" si="35"/>
        <v>0</v>
      </c>
      <c r="E97" s="146">
        <f t="shared" si="35"/>
        <v>16273666</v>
      </c>
      <c r="F97" s="146">
        <f t="shared" si="35"/>
        <v>32500000</v>
      </c>
      <c r="G97" s="146">
        <f t="shared" si="35"/>
        <v>0</v>
      </c>
      <c r="H97" s="146">
        <f t="shared" si="35"/>
        <v>12500000</v>
      </c>
      <c r="I97" s="146">
        <f t="shared" si="35"/>
        <v>4800000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66073666</v>
      </c>
      <c r="S97" s="146">
        <f>SUM(S63+S70+S81+S96)</f>
        <v>42569071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6385360</v>
      </c>
      <c r="C99" s="980">
        <v>6385360</v>
      </c>
      <c r="D99" s="980"/>
      <c r="E99" s="980">
        <f t="shared" ref="E99:E103" si="36">C99-SUM(F99:Q99)</f>
        <v>956568</v>
      </c>
      <c r="F99" s="147"/>
      <c r="G99" s="147">
        <f>G108</f>
        <v>1500000</v>
      </c>
      <c r="H99" s="147"/>
      <c r="I99" s="147"/>
      <c r="J99" s="147">
        <f>J108</f>
        <v>3928792</v>
      </c>
      <c r="K99" s="147"/>
      <c r="L99" s="147"/>
      <c r="M99" s="147"/>
      <c r="N99" s="147"/>
      <c r="O99" s="147"/>
      <c r="P99" s="147"/>
      <c r="Q99" s="147"/>
      <c r="R99" s="517">
        <f>SUM(E99:Q99)</f>
        <v>6385360</v>
      </c>
      <c r="S99" s="147">
        <f>R99</f>
        <v>6385360</v>
      </c>
      <c r="T99" s="147"/>
      <c r="U99" s="143"/>
    </row>
    <row r="100" spans="1:21" s="144" customFormat="1">
      <c r="A100" s="284" t="s">
        <v>1647</v>
      </c>
      <c r="B100" s="146">
        <f>SUM(C100+D100)</f>
        <v>0</v>
      </c>
      <c r="C100" s="147"/>
      <c r="D100" s="147"/>
      <c r="E100" s="147">
        <f t="shared" si="36"/>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f t="shared" si="36"/>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6"/>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6385360</v>
      </c>
      <c r="C104" s="146">
        <f>SUM(C99:C103)</f>
        <v>6385360</v>
      </c>
      <c r="D104" s="146">
        <f t="shared" ref="D104:T104" si="37">SUM(D99:D103)</f>
        <v>0</v>
      </c>
      <c r="E104" s="146">
        <f t="shared" si="37"/>
        <v>956568</v>
      </c>
      <c r="F104" s="146">
        <f t="shared" si="37"/>
        <v>0</v>
      </c>
      <c r="G104" s="146">
        <f t="shared" si="37"/>
        <v>1500000</v>
      </c>
      <c r="H104" s="146">
        <f t="shared" si="37"/>
        <v>0</v>
      </c>
      <c r="I104" s="146">
        <f t="shared" si="37"/>
        <v>0</v>
      </c>
      <c r="J104" s="146">
        <f t="shared" si="37"/>
        <v>3928792</v>
      </c>
      <c r="K104" s="146">
        <f t="shared" si="37"/>
        <v>0</v>
      </c>
      <c r="L104" s="146">
        <f t="shared" si="37"/>
        <v>0</v>
      </c>
      <c r="M104" s="146">
        <f t="shared" si="37"/>
        <v>0</v>
      </c>
      <c r="N104" s="146">
        <f t="shared" si="37"/>
        <v>0</v>
      </c>
      <c r="O104" s="146">
        <f t="shared" si="37"/>
        <v>0</v>
      </c>
      <c r="P104" s="146">
        <f t="shared" si="37"/>
        <v>0</v>
      </c>
      <c r="Q104" s="146">
        <f t="shared" si="37"/>
        <v>0</v>
      </c>
      <c r="R104" s="343">
        <f t="shared" si="37"/>
        <v>6385360</v>
      </c>
      <c r="S104" s="150">
        <f t="shared" si="37"/>
        <v>6385360</v>
      </c>
      <c r="T104" s="150">
        <f t="shared" si="37"/>
        <v>0</v>
      </c>
      <c r="U104" s="143"/>
    </row>
    <row r="105" spans="1:21" s="144" customFormat="1">
      <c r="A105" s="149" t="s">
        <v>781</v>
      </c>
      <c r="B105" s="150">
        <f>SUM(C105:D105)</f>
        <v>72459026</v>
      </c>
      <c r="C105" s="150">
        <f t="shared" ref="C105:R105" si="38">SUM(C97+C104)</f>
        <v>72459026</v>
      </c>
      <c r="D105" s="150">
        <f t="shared" si="38"/>
        <v>0</v>
      </c>
      <c r="E105" s="150">
        <f t="shared" si="38"/>
        <v>17230234</v>
      </c>
      <c r="F105" s="150">
        <f t="shared" si="38"/>
        <v>32500000</v>
      </c>
      <c r="G105" s="150">
        <f t="shared" si="38"/>
        <v>1500000</v>
      </c>
      <c r="H105" s="150">
        <f t="shared" si="38"/>
        <v>12500000</v>
      </c>
      <c r="I105" s="150">
        <f t="shared" si="38"/>
        <v>4800000</v>
      </c>
      <c r="J105" s="150">
        <f t="shared" si="38"/>
        <v>3928792</v>
      </c>
      <c r="K105" s="150">
        <f t="shared" si="38"/>
        <v>0</v>
      </c>
      <c r="L105" s="150">
        <f t="shared" si="38"/>
        <v>0</v>
      </c>
      <c r="M105" s="150">
        <f t="shared" si="38"/>
        <v>0</v>
      </c>
      <c r="N105" s="150">
        <f t="shared" si="38"/>
        <v>0</v>
      </c>
      <c r="O105" s="150">
        <f t="shared" si="38"/>
        <v>0</v>
      </c>
      <c r="P105" s="150">
        <f t="shared" si="38"/>
        <v>0</v>
      </c>
      <c r="Q105" s="150">
        <f t="shared" si="38"/>
        <v>0</v>
      </c>
      <c r="R105" s="343">
        <f t="shared" si="38"/>
        <v>72459026</v>
      </c>
      <c r="S105" s="150">
        <f>S97+S104</f>
        <v>48954431</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48954431</v>
      </c>
      <c r="T107" s="150">
        <f>T105+T106</f>
        <v>0</v>
      </c>
    </row>
    <row r="108" spans="1:21" s="189" customFormat="1">
      <c r="A108" s="162" t="s">
        <v>880</v>
      </c>
      <c r="B108" s="157"/>
      <c r="C108" s="157"/>
      <c r="D108" s="157"/>
      <c r="E108" s="302">
        <f>Application!AO640</f>
        <v>17230234</v>
      </c>
      <c r="F108" s="302">
        <f>Application!AO627</f>
        <v>32500000</v>
      </c>
      <c r="G108" s="302">
        <f>Application!AO628</f>
        <v>1500000</v>
      </c>
      <c r="H108" s="302">
        <f>Application!AO629</f>
        <v>12500000</v>
      </c>
      <c r="I108" s="302">
        <f>Application!AO630</f>
        <v>4800000</v>
      </c>
      <c r="J108" s="302">
        <f>Application!AO631</f>
        <v>3928792</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4" t="s">
        <v>991</v>
      </c>
      <c r="E122" s="1864"/>
      <c r="F122" s="1864"/>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6" t="s">
        <v>1225</v>
      </c>
      <c r="E123" s="1784"/>
      <c r="F123" s="1784"/>
      <c r="G123" s="1784"/>
      <c r="H123" s="1784"/>
      <c r="I123" s="1784"/>
      <c r="J123" s="1784"/>
      <c r="K123" s="1784"/>
      <c r="L123" s="1784"/>
      <c r="M123" s="1784"/>
      <c r="N123" s="1784"/>
      <c r="O123" s="1784"/>
      <c r="P123" s="1784"/>
      <c r="Q123" s="1784"/>
      <c r="R123" s="1784"/>
      <c r="S123" s="1784"/>
      <c r="T123" s="325"/>
      <c r="U123" s="327"/>
    </row>
    <row r="124" spans="1:21" ht="12.75">
      <c r="A124" s="117" t="s">
        <v>993</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75">
      <c r="A125" s="117" t="s">
        <v>994</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61"/>
      <c r="E128" s="1861"/>
      <c r="F128" s="1861"/>
      <c r="G128" s="1861"/>
      <c r="H128" s="1861"/>
      <c r="I128" s="117"/>
      <c r="J128" s="1862"/>
      <c r="K128" s="1862"/>
      <c r="L128" s="117"/>
      <c r="M128" s="117"/>
      <c r="N128" s="117"/>
      <c r="O128" s="117"/>
      <c r="P128" s="117"/>
      <c r="Q128" s="117"/>
      <c r="R128" s="117"/>
      <c r="S128" s="117"/>
      <c r="T128" s="325"/>
      <c r="U128" s="327"/>
    </row>
    <row r="129" spans="1:21" ht="12.75">
      <c r="A129" s="117" t="s">
        <v>300</v>
      </c>
      <c r="B129" s="334"/>
      <c r="C129" s="117"/>
      <c r="D129" s="1863" t="s">
        <v>998</v>
      </c>
      <c r="E129" s="1863"/>
      <c r="F129" s="1863"/>
      <c r="G129" s="1863"/>
      <c r="H129" s="1863"/>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7" t="s">
        <v>1001</v>
      </c>
      <c r="E132" s="1867"/>
      <c r="F132" s="1867"/>
      <c r="G132" s="1867"/>
      <c r="H132" s="1867"/>
      <c r="I132" s="117"/>
      <c r="J132" s="1867" t="s">
        <v>1002</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1"/>
      <c r="C138" s="1861"/>
      <c r="D138" s="329"/>
      <c r="E138" s="1862"/>
      <c r="F138" s="1862"/>
      <c r="G138" s="117"/>
      <c r="H138" s="117"/>
      <c r="I138" s="117"/>
      <c r="J138" s="117"/>
      <c r="K138" s="117"/>
      <c r="L138" s="117"/>
      <c r="M138" s="117"/>
      <c r="N138" s="117"/>
      <c r="O138" s="117"/>
      <c r="P138" s="117"/>
      <c r="Q138" s="117"/>
      <c r="R138" s="117"/>
      <c r="S138" s="117"/>
      <c r="T138" s="331"/>
      <c r="U138" s="332"/>
    </row>
    <row r="139" spans="1:21" ht="12.75">
      <c r="A139" s="1865" t="s">
        <v>1005</v>
      </c>
      <c r="B139" s="1865"/>
      <c r="C139" s="1865"/>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1" t="s">
        <v>1228</v>
      </c>
      <c r="B1" s="1872"/>
      <c r="C1" s="1872"/>
      <c r="D1" s="1872"/>
      <c r="E1" s="1872"/>
      <c r="F1" s="1872"/>
      <c r="G1" s="1872"/>
      <c r="H1" s="1872"/>
      <c r="I1" s="1872"/>
      <c r="J1" s="1873"/>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2570000</v>
      </c>
      <c r="C4" s="363"/>
      <c r="D4" s="363"/>
      <c r="E4" s="364"/>
      <c r="F4" s="364"/>
      <c r="G4" s="364"/>
      <c r="H4" s="364"/>
      <c r="I4" s="364"/>
      <c r="J4" s="364"/>
      <c r="K4" s="360"/>
    </row>
    <row r="5" spans="1:11" s="361" customFormat="1">
      <c r="A5" s="365" t="s">
        <v>28</v>
      </c>
      <c r="B5" s="362">
        <f>'Sources and Uses Budget'!C5</f>
        <v>166057</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2736057</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2736057</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Security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500000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39263943</v>
      </c>
      <c r="C30" s="363"/>
      <c r="D30" s="363"/>
      <c r="E30" s="362">
        <f>'Sources and Uses Budget'!S30</f>
        <v>39263943</v>
      </c>
      <c r="F30" s="363"/>
      <c r="G30" s="363"/>
      <c r="H30" s="362">
        <f>'Sources and Uses Budget'!T30</f>
        <v>0</v>
      </c>
      <c r="I30" s="363"/>
      <c r="J30" s="363"/>
      <c r="K30" s="360"/>
    </row>
    <row r="31" spans="1:11" s="361" customFormat="1">
      <c r="A31" s="145" t="s">
        <v>601</v>
      </c>
      <c r="B31" s="362">
        <f>'Sources and Uses Budget'!C31</f>
        <v>125550</v>
      </c>
      <c r="C31" s="363"/>
      <c r="D31" s="363"/>
      <c r="E31" s="362">
        <f>'Sources and Uses Budget'!S31</f>
        <v>125550</v>
      </c>
      <c r="F31" s="363"/>
      <c r="G31" s="363"/>
      <c r="H31" s="362">
        <f>'Sources and Uses Budget'!T31</f>
        <v>0</v>
      </c>
      <c r="I31" s="363"/>
      <c r="J31" s="363"/>
      <c r="K31" s="360"/>
    </row>
    <row r="32" spans="1:11" s="361" customFormat="1">
      <c r="A32" s="145" t="s">
        <v>137</v>
      </c>
      <c r="B32" s="362">
        <f>'Sources and Uses Budget'!C32</f>
        <v>135000</v>
      </c>
      <c r="C32" s="363"/>
      <c r="D32" s="363"/>
      <c r="E32" s="362">
        <f>'Sources and Uses Budget'!S32</f>
        <v>135000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25000</v>
      </c>
      <c r="C35" s="363"/>
      <c r="D35" s="363"/>
      <c r="E35" s="362">
        <f>'Sources and Uses Budget'!S35</f>
        <v>25000</v>
      </c>
      <c r="F35" s="363"/>
      <c r="G35" s="363"/>
      <c r="H35" s="362">
        <f>'Sources and Uses Budget'!T35</f>
        <v>0</v>
      </c>
      <c r="I35" s="363"/>
      <c r="J35" s="363"/>
      <c r="K35" s="360"/>
    </row>
    <row r="36" spans="1:11" s="361" customFormat="1">
      <c r="A36" s="509" t="s">
        <v>1641</v>
      </c>
      <c r="B36" s="362">
        <f>'Sources and Uses Budget'!C36</f>
        <v>60000</v>
      </c>
      <c r="C36" s="363"/>
      <c r="D36" s="363"/>
      <c r="E36" s="362">
        <f>'Sources and Uses Budget'!S36</f>
        <v>60000</v>
      </c>
      <c r="F36" s="363"/>
      <c r="G36" s="363"/>
      <c r="H36" s="362">
        <f>'Sources and Uses Budget'!T36</f>
        <v>0</v>
      </c>
      <c r="I36" s="363"/>
      <c r="J36" s="363"/>
      <c r="K36" s="360"/>
    </row>
    <row r="37" spans="1:11" s="361" customFormat="1">
      <c r="A37" s="365" t="str">
        <f>'Sources and Uses Budget'!$A37</f>
        <v>Security</v>
      </c>
      <c r="B37" s="362">
        <f>'Sources and Uses Budget'!C37</f>
        <v>10000</v>
      </c>
      <c r="C37" s="363"/>
      <c r="D37" s="363"/>
      <c r="E37" s="362">
        <f>'Sources and Uses Budget'!S37</f>
        <v>10000</v>
      </c>
      <c r="F37" s="363"/>
      <c r="G37" s="363"/>
      <c r="H37" s="362">
        <f>'Sources and Uses Budget'!T37</f>
        <v>0</v>
      </c>
      <c r="I37" s="363"/>
      <c r="J37" s="363"/>
      <c r="K37" s="360"/>
    </row>
    <row r="38" spans="1:11" s="361" customFormat="1">
      <c r="A38" s="366" t="s">
        <v>143</v>
      </c>
      <c r="B38" s="362">
        <f>'Sources and Uses Budget'!C38</f>
        <v>40119493</v>
      </c>
      <c r="C38" s="362">
        <f>SUM(C29:C37)</f>
        <v>0</v>
      </c>
      <c r="D38" s="362">
        <f>SUM(D29:D37)</f>
        <v>0</v>
      </c>
      <c r="E38" s="362">
        <f>'Sources and Uses Budget'!S38</f>
        <v>39619493</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30000</v>
      </c>
      <c r="C40" s="363"/>
      <c r="D40" s="363"/>
      <c r="E40" s="362">
        <f>'Sources and Uses Budget'!S40</f>
        <v>30000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30000</v>
      </c>
      <c r="C42" s="362">
        <f>SUM(C39:C41)</f>
        <v>0</v>
      </c>
      <c r="D42" s="362">
        <f>SUM(D39:D41)</f>
        <v>0</v>
      </c>
      <c r="E42" s="362">
        <f>'Sources and Uses Budget'!S42</f>
        <v>30000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4181987</v>
      </c>
      <c r="C45" s="363"/>
      <c r="D45" s="363"/>
      <c r="E45" s="362">
        <f>'Sources and Uses Budget'!S45</f>
        <v>984961</v>
      </c>
      <c r="F45" s="363"/>
      <c r="G45" s="363"/>
      <c r="H45" s="362">
        <f>'Sources and Uses Budget'!T45</f>
        <v>0</v>
      </c>
      <c r="I45" s="363"/>
      <c r="J45" s="363"/>
      <c r="K45" s="360"/>
    </row>
    <row r="46" spans="1:11" s="361" customFormat="1">
      <c r="A46" s="365" t="s">
        <v>151</v>
      </c>
      <c r="B46" s="362">
        <f>'Sources and Uses Budget'!C46</f>
        <v>300000</v>
      </c>
      <c r="C46" s="363"/>
      <c r="D46" s="363"/>
      <c r="E46" s="362">
        <f>'Sources and Uses Budget'!S46</f>
        <v>44728</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25106</v>
      </c>
      <c r="C48" s="363"/>
      <c r="D48" s="363"/>
      <c r="E48" s="362">
        <f>'Sources and Uses Budget'!S48</f>
        <v>25106</v>
      </c>
      <c r="F48" s="363"/>
      <c r="G48" s="363"/>
      <c r="H48" s="362">
        <f>'Sources and Uses Budget'!T48</f>
        <v>0</v>
      </c>
      <c r="I48" s="363"/>
      <c r="J48" s="363"/>
      <c r="K48" s="360"/>
    </row>
    <row r="49" spans="1:11" s="361" customFormat="1">
      <c r="A49" s="284" t="s">
        <v>57</v>
      </c>
      <c r="B49" s="362">
        <f>'Sources and Uses Budget'!C49</f>
        <v>125000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30000</v>
      </c>
      <c r="C50" s="363"/>
      <c r="D50" s="363"/>
      <c r="E50" s="362">
        <f>'Sources and Uses Budget'!S50</f>
        <v>30000</v>
      </c>
      <c r="F50" s="363"/>
      <c r="G50" s="363"/>
      <c r="H50" s="362">
        <f>'Sources and Uses Budget'!T50</f>
        <v>0</v>
      </c>
      <c r="I50" s="363"/>
      <c r="J50" s="363"/>
      <c r="K50" s="360"/>
    </row>
    <row r="51" spans="1:11" s="361" customFormat="1">
      <c r="A51" s="365" t="s">
        <v>154</v>
      </c>
      <c r="B51" s="362">
        <f>'Sources and Uses Budget'!C51</f>
        <v>2000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4664093</v>
      </c>
      <c r="C54" s="368">
        <f>SUM(C45:C53)</f>
        <v>0</v>
      </c>
      <c r="D54" s="368">
        <f>SUM(D45:D53)</f>
        <v>0</v>
      </c>
      <c r="E54" s="362">
        <f>'Sources and Uses Budget'!S54</f>
        <v>1084795</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40000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40000</v>
      </c>
      <c r="C62" s="362">
        <f>SUM(C56:C61)</f>
        <v>0</v>
      </c>
      <c r="D62" s="362">
        <f>SUM(D56:D61)</f>
        <v>0</v>
      </c>
      <c r="E62" s="364"/>
      <c r="F62" s="364"/>
      <c r="G62" s="364"/>
      <c r="H62" s="364"/>
      <c r="I62" s="364"/>
      <c r="J62" s="364"/>
      <c r="K62" s="360"/>
    </row>
    <row r="63" spans="1:11" s="361" customFormat="1">
      <c r="A63" s="371" t="s">
        <v>302</v>
      </c>
      <c r="B63" s="362">
        <f>'Sources and Uses Budget'!C63</f>
        <v>47589643</v>
      </c>
      <c r="C63" s="362">
        <f>SUM(C8+C11+C13+C14+C15+C26+C27+C38+C42+C43+C54+C62)</f>
        <v>0</v>
      </c>
      <c r="D63" s="362">
        <f>SUM(D8+D11+D13+D14+D15+D26+D27+D38+D42+D43+D54+D62)</f>
        <v>0</v>
      </c>
      <c r="E63" s="362">
        <f>'Sources and Uses Budget'!S63</f>
        <v>40734288</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450000</v>
      </c>
      <c r="C65" s="363"/>
      <c r="D65" s="363"/>
      <c r="E65" s="362">
        <f>'Sources and Uses Budget'!S65</f>
        <v>300000</v>
      </c>
      <c r="F65" s="363"/>
      <c r="G65" s="363"/>
      <c r="H65" s="362">
        <f>'Sources and Uses Budget'!T65</f>
        <v>0</v>
      </c>
      <c r="I65" s="363"/>
      <c r="J65" s="363"/>
      <c r="K65" s="360"/>
    </row>
    <row r="66" spans="1:11" s="361" customFormat="1" ht="24">
      <c r="A66" s="284" t="s">
        <v>1642</v>
      </c>
      <c r="B66" s="362">
        <f>'Sources and Uses Budget'!C66</f>
        <v>250000</v>
      </c>
      <c r="C66" s="363"/>
      <c r="D66" s="363"/>
      <c r="E66" s="362">
        <f>'Sources and Uses Budget'!S66</f>
        <v>250000</v>
      </c>
      <c r="F66" s="363"/>
      <c r="G66" s="363"/>
      <c r="H66" s="362">
        <f>'Sources and Uses Budget'!T66</f>
        <v>0</v>
      </c>
      <c r="I66" s="363"/>
      <c r="J66" s="363"/>
      <c r="K66" s="360"/>
    </row>
    <row r="67" spans="1:11" s="361" customFormat="1" ht="24">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700000</v>
      </c>
      <c r="C70" s="362">
        <f>SUM(C64:C69)</f>
        <v>0</v>
      </c>
      <c r="D70" s="362">
        <f>SUM(D64:D69)</f>
        <v>0</v>
      </c>
      <c r="E70" s="362">
        <f>'Sources and Uses Budget'!S70</f>
        <v>550000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523590</v>
      </c>
      <c r="C75" s="363"/>
      <c r="D75" s="363"/>
      <c r="E75" s="364"/>
      <c r="F75" s="364"/>
      <c r="G75" s="364"/>
      <c r="H75" s="364"/>
      <c r="I75" s="364"/>
      <c r="J75" s="364"/>
      <c r="K75" s="360"/>
    </row>
    <row r="76" spans="1:11" s="361" customFormat="1">
      <c r="A76" s="365" t="str">
        <f>'Sources and Uses Budget'!$A76</f>
        <v>COSR</v>
      </c>
      <c r="B76" s="362">
        <f>'Sources and Uses Budget'!C76</f>
        <v>14750000</v>
      </c>
      <c r="C76" s="363"/>
      <c r="D76" s="363"/>
      <c r="E76" s="364"/>
      <c r="F76" s="364"/>
      <c r="G76" s="364"/>
      <c r="H76" s="364"/>
      <c r="I76" s="364"/>
      <c r="J76" s="364"/>
      <c r="K76" s="360"/>
    </row>
    <row r="77" spans="1:11" s="361" customFormat="1">
      <c r="A77" s="366" t="s">
        <v>607</v>
      </c>
      <c r="B77" s="362">
        <f>'Sources and Uses Budget'!C77</f>
        <v>15273590</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126783</v>
      </c>
      <c r="C79" s="363"/>
      <c r="D79" s="363"/>
      <c r="E79" s="362">
        <f>'Sources and Uses Budget'!S79</f>
        <v>126783</v>
      </c>
      <c r="F79" s="363"/>
      <c r="G79" s="363"/>
      <c r="H79" s="362">
        <f>'Sources and Uses Budget'!T79</f>
        <v>0</v>
      </c>
      <c r="I79" s="363"/>
      <c r="J79" s="363"/>
      <c r="K79" s="360"/>
    </row>
    <row r="80" spans="1:11" s="361" customFormat="1">
      <c r="A80" s="365" t="s">
        <v>58</v>
      </c>
      <c r="B80" s="362">
        <f>'Sources and Uses Budget'!C80</f>
        <v>1000000</v>
      </c>
      <c r="C80" s="363"/>
      <c r="D80" s="363"/>
      <c r="E80" s="362">
        <f>'Sources and Uses Budget'!S80</f>
        <v>125000</v>
      </c>
      <c r="F80" s="363"/>
      <c r="G80" s="363"/>
      <c r="H80" s="362">
        <f>'Sources and Uses Budget'!T80</f>
        <v>0</v>
      </c>
      <c r="I80" s="363"/>
      <c r="J80" s="363"/>
      <c r="K80" s="360"/>
    </row>
    <row r="81" spans="1:11" s="361" customFormat="1">
      <c r="A81" s="366" t="s">
        <v>1210</v>
      </c>
      <c r="B81" s="362">
        <f>'Sources and Uses Budget'!C81</f>
        <v>1126783</v>
      </c>
      <c r="C81" s="362">
        <f>SUM(C79:C80)</f>
        <v>0</v>
      </c>
      <c r="D81" s="362">
        <f>SUM(D79:D80)</f>
        <v>0</v>
      </c>
      <c r="E81" s="362">
        <f>'Sources and Uses Budget'!S81</f>
        <v>251783</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2097</v>
      </c>
      <c r="B83" s="362">
        <f>'Sources and Uses Budget'!C83</f>
        <v>230650</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100000</v>
      </c>
      <c r="C88" s="363"/>
      <c r="D88" s="363"/>
      <c r="E88" s="364"/>
      <c r="F88" s="364"/>
      <c r="G88" s="364"/>
      <c r="H88" s="364"/>
      <c r="I88" s="364"/>
      <c r="J88" s="364"/>
      <c r="K88" s="360"/>
    </row>
    <row r="89" spans="1:11" s="361" customFormat="1">
      <c r="A89" s="145" t="s">
        <v>773</v>
      </c>
      <c r="B89" s="362">
        <f>'Sources and Uses Budget'!C89</f>
        <v>1003000</v>
      </c>
      <c r="C89" s="363"/>
      <c r="D89" s="363"/>
      <c r="E89" s="362">
        <f>'Sources and Uses Budget'!S89</f>
        <v>1003000</v>
      </c>
      <c r="F89" s="363"/>
      <c r="G89" s="363"/>
      <c r="H89" s="362">
        <f>'Sources and Uses Budget'!T89</f>
        <v>0</v>
      </c>
      <c r="I89" s="363"/>
      <c r="J89" s="363"/>
      <c r="K89" s="360"/>
    </row>
    <row r="90" spans="1:11" s="361" customFormat="1">
      <c r="A90" s="145" t="s">
        <v>774</v>
      </c>
      <c r="B90" s="362">
        <f>'Sources and Uses Budget'!C90</f>
        <v>10000</v>
      </c>
      <c r="C90" s="363"/>
      <c r="D90" s="363"/>
      <c r="E90" s="362">
        <f>'Sources and Uses Budget'!S90</f>
        <v>10000</v>
      </c>
      <c r="F90" s="363"/>
      <c r="G90" s="363"/>
      <c r="H90" s="362">
        <f>'Sources and Uses Budget'!T90</f>
        <v>0</v>
      </c>
      <c r="I90" s="363"/>
      <c r="J90" s="363"/>
      <c r="K90" s="360"/>
    </row>
    <row r="91" spans="1:11" s="361" customFormat="1">
      <c r="A91" s="155" t="s">
        <v>372</v>
      </c>
      <c r="B91" s="362">
        <f>'Sources and Uses Budget'!C91</f>
        <v>30000</v>
      </c>
      <c r="C91" s="363"/>
      <c r="D91" s="363"/>
      <c r="E91" s="362">
        <f>'Sources and Uses Budget'!S91</f>
        <v>20000</v>
      </c>
      <c r="F91" s="363"/>
      <c r="G91" s="363"/>
      <c r="H91" s="362">
        <f>'Sources and Uses Budget'!T91</f>
        <v>0</v>
      </c>
      <c r="I91" s="363"/>
      <c r="J91" s="363"/>
      <c r="K91" s="360"/>
    </row>
    <row r="92" spans="1:11" s="361" customFormat="1">
      <c r="A92" s="509" t="s">
        <v>1212</v>
      </c>
      <c r="B92" s="362">
        <f>'Sources and Uses Budget'!C92</f>
        <v>10000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1383650</v>
      </c>
      <c r="C96" s="362">
        <f>SUM(C83:C95)</f>
        <v>0</v>
      </c>
      <c r="D96" s="362">
        <f>SUM(D83:D95)</f>
        <v>0</v>
      </c>
      <c r="E96" s="362">
        <f>'Sources and Uses Budget'!S96</f>
        <v>1033000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66073666</v>
      </c>
      <c r="C97" s="362">
        <f>SUM(C63+C70+C77+C81+C96)</f>
        <v>0</v>
      </c>
      <c r="D97" s="362">
        <f>SUM(D63+D70+D77+D81+D96)</f>
        <v>0</v>
      </c>
      <c r="E97" s="362">
        <f>'Sources and Uses Budget'!S97</f>
        <v>42569071</v>
      </c>
      <c r="F97" s="368">
        <f>SUM(+F63+F70+F81+F96)</f>
        <v>0</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6385360</v>
      </c>
      <c r="C99" s="363"/>
      <c r="D99" s="363"/>
      <c r="E99" s="362">
        <f>'Sources and Uses Budget'!S99</f>
        <v>6385360</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6385360</v>
      </c>
      <c r="C104" s="362">
        <f>SUM(C99:C103)</f>
        <v>0</v>
      </c>
      <c r="D104" s="362">
        <f>SUM(D99:D103)</f>
        <v>0</v>
      </c>
      <c r="E104" s="362">
        <f>'Sources and Uses Budget'!S104</f>
        <v>6385360</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72459026</v>
      </c>
      <c r="C105" s="368">
        <f>SUM(C97+C104)</f>
        <v>0</v>
      </c>
      <c r="D105" s="368">
        <f>SUM(D97+D104)</f>
        <v>0</v>
      </c>
      <c r="E105" s="362">
        <f>'Sources and Uses Budget'!S105</f>
        <v>48954431</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48954431</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9"/>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22" t="s">
        <v>2460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4" t="str">
        <f>IF(Application!H18="","",Application!H18)</f>
        <v>The Refuge</v>
      </c>
      <c r="M4" s="2315"/>
      <c r="N4" s="2315"/>
      <c r="O4" s="2315"/>
      <c r="P4" s="2315"/>
      <c r="Q4" s="2315"/>
      <c r="R4" s="2315"/>
      <c r="S4" s="2315"/>
      <c r="T4" s="2315"/>
      <c r="U4" s="2315"/>
      <c r="V4" s="2315"/>
      <c r="W4" s="2315"/>
      <c r="X4" s="2315"/>
      <c r="Y4" s="2315"/>
      <c r="Z4" s="2315"/>
      <c r="AA4" s="2315"/>
      <c r="AB4" s="2315"/>
      <c r="AC4" s="2316"/>
      <c r="AD4" s="1192"/>
      <c r="AE4" s="1192"/>
      <c r="AF4" s="2310" t="s">
        <v>2458</v>
      </c>
      <c r="AG4" s="2310"/>
      <c r="AH4" s="2310"/>
      <c r="AI4" s="2310"/>
      <c r="AJ4" s="2310"/>
      <c r="AK4" s="2310"/>
      <c r="AL4" s="2310"/>
      <c r="AM4" s="2310"/>
      <c r="AN4" s="2310"/>
      <c r="AO4" s="2310"/>
      <c r="AP4" s="2311"/>
      <c r="AQ4" s="2312"/>
      <c r="AR4" s="2312"/>
      <c r="AS4" s="2312"/>
      <c r="AT4" s="2312"/>
      <c r="AU4" s="231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0" t="s">
        <v>2457</v>
      </c>
      <c r="AG5" s="2310"/>
      <c r="AH5" s="2310"/>
      <c r="AI5" s="2310"/>
      <c r="AJ5" s="2310"/>
      <c r="AK5" s="2310"/>
      <c r="AL5" s="2310"/>
      <c r="AM5" s="2310"/>
      <c r="AN5" s="2310"/>
      <c r="AO5" s="2310"/>
      <c r="AP5" s="2311"/>
      <c r="AQ5" s="2312"/>
      <c r="AR5" s="2312"/>
      <c r="AS5" s="2312"/>
      <c r="AT5" s="2312"/>
      <c r="AU5" s="231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4" t="str">
        <f>IF(Application!H16="","",Application!H16)</f>
        <v>HCM Refuge, LP</v>
      </c>
      <c r="M6" s="2315"/>
      <c r="N6" s="2315"/>
      <c r="O6" s="2315"/>
      <c r="P6" s="2315"/>
      <c r="Q6" s="2315"/>
      <c r="R6" s="2315"/>
      <c r="S6" s="2315"/>
      <c r="T6" s="2315"/>
      <c r="U6" s="2315"/>
      <c r="V6" s="2315"/>
      <c r="W6" s="2315"/>
      <c r="X6" s="2315"/>
      <c r="Y6" s="2315"/>
      <c r="Z6" s="2315"/>
      <c r="AA6" s="2315"/>
      <c r="AB6" s="2315"/>
      <c r="AC6" s="2316"/>
      <c r="AD6" s="1192"/>
      <c r="AE6" s="1192"/>
      <c r="AF6" s="2317" t="s">
        <v>2455</v>
      </c>
      <c r="AG6" s="2317"/>
      <c r="AH6" s="2317"/>
      <c r="AI6" s="2317"/>
      <c r="AJ6" s="2317"/>
      <c r="AK6" s="2317"/>
      <c r="AL6" s="2317"/>
      <c r="AM6" s="2317"/>
      <c r="AN6" s="2317"/>
      <c r="AO6" s="2317"/>
      <c r="AP6" s="2318"/>
      <c r="AQ6" s="2318"/>
      <c r="AR6" s="2318"/>
      <c r="AS6" s="2318"/>
      <c r="AT6" s="2318"/>
      <c r="AU6" s="2318"/>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7" t="s">
        <v>2454</v>
      </c>
      <c r="AG7" s="2317"/>
      <c r="AH7" s="2317"/>
      <c r="AI7" s="2317"/>
      <c r="AJ7" s="2317"/>
      <c r="AK7" s="2317"/>
      <c r="AL7" s="2317"/>
      <c r="AM7" s="2317"/>
      <c r="AN7" s="2317"/>
      <c r="AO7" s="2317"/>
      <c r="AP7" s="2318"/>
      <c r="AQ7" s="2318"/>
      <c r="AR7" s="2318"/>
      <c r="AS7" s="2318"/>
      <c r="AT7" s="2318"/>
      <c r="AU7" s="2318"/>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9" t="str">
        <f>Application!T197</f>
        <v>No</v>
      </c>
      <c r="AC8" s="2320"/>
      <c r="AD8" s="2321"/>
      <c r="AE8" s="1192"/>
      <c r="AF8" s="2317" t="s">
        <v>2452</v>
      </c>
      <c r="AG8" s="2317"/>
      <c r="AH8" s="2317"/>
      <c r="AI8" s="2317"/>
      <c r="AJ8" s="2317"/>
      <c r="AK8" s="2317"/>
      <c r="AL8" s="2317"/>
      <c r="AM8" s="2317"/>
      <c r="AN8" s="2317"/>
      <c r="AO8" s="2317"/>
      <c r="AP8" s="2318" t="s">
        <v>2101</v>
      </c>
      <c r="AQ8" s="2318"/>
      <c r="AR8" s="2318"/>
      <c r="AS8" s="2318"/>
      <c r="AT8" s="2318"/>
      <c r="AU8" s="2318"/>
      <c r="AV8" s="1192"/>
      <c r="AW8" s="1192"/>
      <c r="AX8" s="1192"/>
      <c r="AY8" s="1192"/>
      <c r="AZ8" s="1192"/>
      <c r="BA8" s="1192"/>
      <c r="BB8" s="1192"/>
      <c r="BC8" s="1192"/>
      <c r="BD8" s="1192"/>
      <c r="BE8" s="1193"/>
      <c r="BM8" s="1189" t="s">
        <v>1985</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0" t="s">
        <v>2451</v>
      </c>
      <c r="AG9" s="2310"/>
      <c r="AH9" s="2310"/>
      <c r="AI9" s="2310"/>
      <c r="AJ9" s="2310"/>
      <c r="AK9" s="2310"/>
      <c r="AL9" s="2310"/>
      <c r="AM9" s="2310"/>
      <c r="AN9" s="2310"/>
      <c r="AO9" s="2310"/>
      <c r="AP9" s="2311"/>
      <c r="AQ9" s="2312"/>
      <c r="AR9" s="2312"/>
      <c r="AS9" s="2312"/>
      <c r="AT9" s="2312"/>
      <c r="AU9" s="2312"/>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2313">
        <f>Application!AO627</f>
        <v>32500000</v>
      </c>
      <c r="O10" s="2313"/>
      <c r="P10" s="2313"/>
      <c r="Q10" s="2313"/>
      <c r="R10" s="2313"/>
      <c r="S10" s="2313"/>
      <c r="T10" s="2313"/>
      <c r="U10" s="1192"/>
      <c r="V10" s="1192"/>
      <c r="W10" s="1192"/>
      <c r="X10" s="1195"/>
      <c r="Y10" s="1195"/>
      <c r="Z10" s="1195"/>
      <c r="AA10" s="1195"/>
      <c r="AB10" s="1195"/>
      <c r="AC10" s="1195"/>
      <c r="AD10" s="1195"/>
      <c r="AE10" s="1195"/>
      <c r="AF10" s="2310" t="s">
        <v>2448</v>
      </c>
      <c r="AG10" s="2310"/>
      <c r="AH10" s="2310"/>
      <c r="AI10" s="2310"/>
      <c r="AJ10" s="2310"/>
      <c r="AK10" s="2310"/>
      <c r="AL10" s="2310"/>
      <c r="AM10" s="2310"/>
      <c r="AN10" s="2310"/>
      <c r="AO10" s="2310"/>
      <c r="AP10" s="2311"/>
      <c r="AQ10" s="2312"/>
      <c r="AR10" s="2312"/>
      <c r="AS10" s="2312"/>
      <c r="AT10" s="2312"/>
      <c r="AU10" s="2312"/>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2313">
        <f>Application!AA933</f>
        <v>0</v>
      </c>
      <c r="O11" s="2313"/>
      <c r="P11" s="2313"/>
      <c r="Q11" s="2313"/>
      <c r="R11" s="2313"/>
      <c r="S11" s="2313"/>
      <c r="T11" s="2313"/>
      <c r="U11" s="1192"/>
      <c r="V11" s="1192"/>
      <c r="W11" s="1192"/>
      <c r="X11" s="1195"/>
      <c r="Y11" s="1195"/>
      <c r="Z11" s="1195"/>
      <c r="AA11" s="1195"/>
      <c r="AB11" s="1195"/>
      <c r="AC11" s="1195"/>
      <c r="AD11" s="1195"/>
      <c r="AE11" s="1195"/>
      <c r="AF11" s="2310" t="s">
        <v>2445</v>
      </c>
      <c r="AG11" s="2310"/>
      <c r="AH11" s="2310"/>
      <c r="AI11" s="2310"/>
      <c r="AJ11" s="2310"/>
      <c r="AK11" s="2310"/>
      <c r="AL11" s="2310"/>
      <c r="AM11" s="2310"/>
      <c r="AN11" s="2310"/>
      <c r="AO11" s="2310"/>
      <c r="AP11" s="2311"/>
      <c r="AQ11" s="2312"/>
      <c r="AR11" s="2312"/>
      <c r="AS11" s="2312"/>
      <c r="AT11" s="2312"/>
      <c r="AU11" s="2312"/>
      <c r="AV11" s="1195"/>
      <c r="AW11" s="1195"/>
      <c r="AX11" s="1192"/>
      <c r="AY11" s="1192"/>
      <c r="AZ11" s="1192"/>
      <c r="BA11" s="1192"/>
      <c r="BB11" s="1192"/>
      <c r="BC11" s="1192"/>
      <c r="BD11" s="1192"/>
      <c r="BE11" s="1193"/>
      <c r="BM11" s="1189" t="s">
        <v>2101</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2301" t="s">
        <v>2443</v>
      </c>
      <c r="C13" s="2302"/>
      <c r="D13" s="2302"/>
      <c r="E13" s="2302"/>
      <c r="F13" s="2302"/>
      <c r="G13" s="2302"/>
      <c r="H13" s="2302"/>
      <c r="I13" s="2302"/>
      <c r="J13" s="2302"/>
      <c r="K13" s="2302"/>
      <c r="L13" s="2302"/>
      <c r="M13" s="2302"/>
      <c r="N13" s="2302"/>
      <c r="O13" s="2302"/>
      <c r="P13" s="2303"/>
      <c r="Q13" s="2304" t="s">
        <v>670</v>
      </c>
      <c r="R13" s="2305"/>
      <c r="S13" s="2305"/>
      <c r="T13" s="2306"/>
      <c r="U13" s="1195"/>
      <c r="V13" s="1192"/>
      <c r="W13" s="1192"/>
      <c r="X13" s="1192"/>
      <c r="Y13" s="1192"/>
      <c r="Z13" s="1192"/>
      <c r="AA13" s="2291" t="s">
        <v>2442</v>
      </c>
      <c r="AB13" s="2291"/>
      <c r="AC13" s="2291"/>
      <c r="AD13" s="2291"/>
      <c r="AE13" s="2291"/>
      <c r="AF13" s="2291"/>
      <c r="AG13" s="2291"/>
      <c r="AH13" s="2291"/>
      <c r="AI13" s="2291"/>
      <c r="AJ13" s="2291"/>
      <c r="AK13" s="2291"/>
      <c r="AL13" s="2291"/>
      <c r="AM13" s="2291"/>
      <c r="AN13" s="2291"/>
      <c r="AO13" s="2307">
        <f>Application!W473</f>
        <v>22</v>
      </c>
      <c r="AP13" s="2308"/>
      <c r="AQ13" s="2308"/>
      <c r="AR13" s="2308"/>
      <c r="AS13" s="2308"/>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9" t="s">
        <v>2440</v>
      </c>
      <c r="AB14" s="2309"/>
      <c r="AC14" s="2309"/>
      <c r="AD14" s="2309"/>
      <c r="AE14" s="2309"/>
      <c r="AF14" s="2309"/>
      <c r="AG14" s="2309"/>
      <c r="AH14" s="2309"/>
      <c r="AI14" s="2309"/>
      <c r="AJ14" s="2309"/>
      <c r="AK14" s="2309"/>
      <c r="AL14" s="2309"/>
      <c r="AM14" s="2309"/>
      <c r="AN14" s="2309"/>
      <c r="AO14" s="2292"/>
      <c r="AP14" s="2293"/>
      <c r="AQ14" s="2293"/>
      <c r="AR14" s="2293"/>
      <c r="AS14" s="2293"/>
      <c r="AT14" s="1195"/>
      <c r="AU14" s="1195"/>
      <c r="AV14" s="1195"/>
      <c r="AW14" s="1195"/>
      <c r="AX14" s="1195"/>
      <c r="AY14" s="1195"/>
      <c r="AZ14" s="1195"/>
      <c r="BA14" s="1195"/>
      <c r="BB14" s="1195"/>
      <c r="BC14" s="1195"/>
      <c r="BD14" s="1195"/>
      <c r="BE14" s="1196"/>
    </row>
    <row r="15" spans="1:65" thickBot="1">
      <c r="A15" s="1192"/>
      <c r="B15" s="2286" t="s">
        <v>2439</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5"/>
      <c r="Y15" s="1192"/>
      <c r="Z15" s="1192"/>
      <c r="AA15" s="2291" t="s">
        <v>2438</v>
      </c>
      <c r="AB15" s="2291"/>
      <c r="AC15" s="2291"/>
      <c r="AD15" s="2291"/>
      <c r="AE15" s="2291"/>
      <c r="AF15" s="2291"/>
      <c r="AG15" s="2291"/>
      <c r="AH15" s="2291"/>
      <c r="AI15" s="2291"/>
      <c r="AJ15" s="2291"/>
      <c r="AK15" s="2291"/>
      <c r="AL15" s="2291"/>
      <c r="AM15" s="2291"/>
      <c r="AN15" s="2291"/>
      <c r="AO15" s="2292"/>
      <c r="AP15" s="2293"/>
      <c r="AQ15" s="2293"/>
      <c r="AR15" s="2293"/>
      <c r="AS15" s="2293"/>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6" t="s">
        <v>2437</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2"/>
      <c r="BA17" s="1192"/>
      <c r="BB17" s="1192"/>
      <c r="BC17" s="1192"/>
      <c r="BD17" s="1192"/>
      <c r="BE17" s="1196"/>
      <c r="BF17" s="1190"/>
    </row>
    <row r="18" spans="1:58" ht="15.75" customHeight="1">
      <c r="A18" s="1192"/>
      <c r="B18" s="2294" t="s">
        <v>2436</v>
      </c>
      <c r="C18" s="2295"/>
      <c r="D18" s="2295"/>
      <c r="E18" s="2295"/>
      <c r="F18" s="2295"/>
      <c r="G18" s="2295"/>
      <c r="H18" s="2295"/>
      <c r="I18" s="2296"/>
      <c r="J18" s="2297" t="s">
        <v>1587</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2435</v>
      </c>
      <c r="AU18" s="2298"/>
      <c r="AV18" s="2298"/>
      <c r="AW18" s="2298"/>
      <c r="AX18" s="2298"/>
      <c r="AY18" s="2300"/>
      <c r="AZ18" s="1192"/>
      <c r="BA18" s="1192"/>
      <c r="BB18" s="1192"/>
      <c r="BC18" s="1192"/>
      <c r="BD18" s="1192"/>
      <c r="BE18" s="1196"/>
    </row>
    <row r="19" spans="1:58" ht="15">
      <c r="A19" s="1192"/>
      <c r="B19" s="2280">
        <v>0.3</v>
      </c>
      <c r="C19" s="2281"/>
      <c r="D19" s="2281"/>
      <c r="E19" s="2281"/>
      <c r="F19" s="2281"/>
      <c r="G19" s="2281"/>
      <c r="H19" s="2281"/>
      <c r="I19" s="2282"/>
      <c r="J19" s="2283">
        <f t="shared" ref="J19:J24" si="0">SUM(P19:AS19)</f>
        <v>143</v>
      </c>
      <c r="K19" s="2284"/>
      <c r="L19" s="2284"/>
      <c r="M19" s="2284"/>
      <c r="N19" s="2284"/>
      <c r="O19" s="2285"/>
      <c r="P19" s="2283" cm="1">
        <f t="array" ref="P19">SUMPRODUCT((Application!$B$718:$B$752 = 'CalHFA Addendum'!P$18)*(Application!$AC$718:$AC$752 = 'CalHFA Addendum'!$B19),Application!$G$718:$G$752)</f>
        <v>138</v>
      </c>
      <c r="Q19" s="2284"/>
      <c r="R19" s="2284"/>
      <c r="S19" s="2284"/>
      <c r="T19" s="2284"/>
      <c r="U19" s="2285"/>
      <c r="V19" s="2283" cm="1">
        <f t="array" ref="V19">SUMPRODUCT((Application!$B$714:$B$738 = 'CalHFA Addendum'!V$18)*(Application!$AC$714:$AC$738 = 'CalHFA Addendum'!$B19),Application!$G$714:$G$738)</f>
        <v>0</v>
      </c>
      <c r="W19" s="2284"/>
      <c r="X19" s="2284"/>
      <c r="Y19" s="2284"/>
      <c r="Z19" s="2284"/>
      <c r="AA19" s="2285"/>
      <c r="AB19" s="2283" cm="1">
        <f t="array" ref="AB19">SUMPRODUCT((Application!$B$714:$B$738 = 'CalHFA Addendum'!AB$18)*(Application!$AC$714:$AC$738 = 'CalHFA Addendum'!$B19),Application!$G$714:$G$738)</f>
        <v>5</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0.99305555555555558</v>
      </c>
      <c r="AU19" s="2269"/>
      <c r="AV19" s="2269"/>
      <c r="AW19" s="2269"/>
      <c r="AX19" s="2269"/>
      <c r="AY19" s="2270"/>
      <c r="AZ19" s="1197"/>
      <c r="BA19" s="1192"/>
      <c r="BB19" s="1192"/>
      <c r="BC19" s="1192"/>
      <c r="BD19" s="1192"/>
      <c r="BE19" s="1196"/>
    </row>
    <row r="20" spans="1:58" ht="15" customHeight="1">
      <c r="A20" s="1192"/>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2"/>
      <c r="BA20" s="1192"/>
      <c r="BB20" s="1192"/>
      <c r="BC20" s="1192"/>
      <c r="BD20" s="1192"/>
      <c r="BE20" s="1196"/>
    </row>
    <row r="21" spans="1:58" ht="15">
      <c r="A21" s="1192"/>
      <c r="B21" s="2280">
        <v>0.5</v>
      </c>
      <c r="C21" s="2281"/>
      <c r="D21" s="2281"/>
      <c r="E21" s="2281"/>
      <c r="F21" s="2281"/>
      <c r="G21" s="2281"/>
      <c r="H21" s="2281"/>
      <c r="I21" s="2282"/>
      <c r="J21" s="2283">
        <f t="shared" si="0"/>
        <v>0</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v>
      </c>
      <c r="AU21" s="2269"/>
      <c r="AV21" s="2269"/>
      <c r="AW21" s="2269"/>
      <c r="AX21" s="2269"/>
      <c r="AY21" s="2270"/>
      <c r="AZ21" s="1192"/>
      <c r="BA21" s="1192"/>
      <c r="BB21" s="1192"/>
      <c r="BC21" s="1192"/>
      <c r="BD21" s="1192"/>
      <c r="BE21" s="1196"/>
    </row>
    <row r="22" spans="1:58" ht="15">
      <c r="A22" s="1192"/>
      <c r="B22" s="2280">
        <v>0.6</v>
      </c>
      <c r="C22" s="2281"/>
      <c r="D22" s="2281"/>
      <c r="E22" s="2281"/>
      <c r="F22" s="2281"/>
      <c r="G22" s="2281"/>
      <c r="H22" s="2281"/>
      <c r="I22" s="2282"/>
      <c r="J22" s="2283">
        <f t="shared" si="0"/>
        <v>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v>
      </c>
      <c r="AU22" s="2269"/>
      <c r="AV22" s="2269"/>
      <c r="AW22" s="2269"/>
      <c r="AX22" s="2269"/>
      <c r="AY22" s="2270"/>
      <c r="AZ22" s="1192"/>
      <c r="BA22" s="1192"/>
      <c r="BB22" s="1192"/>
      <c r="BC22" s="1192"/>
      <c r="BD22" s="1192"/>
      <c r="BE22" s="1196"/>
    </row>
    <row r="23" spans="1:58" ht="15">
      <c r="A23" s="1192"/>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2"/>
      <c r="BA23" s="1192"/>
      <c r="BB23" s="1192"/>
      <c r="BC23" s="1192"/>
      <c r="BD23" s="1192"/>
      <c r="BE23" s="1196"/>
    </row>
    <row r="24" spans="1:58" ht="15">
      <c r="A24" s="1192"/>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2"/>
      <c r="BA24" s="1192"/>
      <c r="BB24" s="1192"/>
      <c r="BC24" s="1192"/>
      <c r="BD24" s="1192"/>
      <c r="BE24" s="1196"/>
    </row>
    <row r="25" spans="1:58" ht="15">
      <c r="A25" s="1192"/>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2"/>
      <c r="BA25" s="1192"/>
      <c r="BB25" s="1192"/>
      <c r="BC25" s="1192"/>
      <c r="BD25" s="1192"/>
      <c r="BE25" s="1196"/>
    </row>
    <row r="26" spans="1:58" ht="15">
      <c r="A26" s="1192"/>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2"/>
      <c r="BA26" s="1192"/>
      <c r="BB26" s="1192"/>
      <c r="BC26" s="1192"/>
      <c r="BD26" s="1192"/>
      <c r="BE26" s="1196"/>
    </row>
    <row r="27" spans="1:58" ht="15">
      <c r="A27" s="1192"/>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2"/>
      <c r="BA27" s="1192"/>
      <c r="BB27" s="1192"/>
      <c r="BC27" s="1192"/>
      <c r="BD27" s="1192"/>
      <c r="BE27" s="1196"/>
    </row>
    <row r="28" spans="1:58" thickBot="1">
      <c r="A28" s="1192"/>
      <c r="B28" s="2271" t="s">
        <v>2434</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6.9444444444444441E-3</v>
      </c>
      <c r="AU28" s="2278"/>
      <c r="AV28" s="2278"/>
      <c r="AW28" s="2278"/>
      <c r="AX28" s="2278"/>
      <c r="AY28" s="2279"/>
      <c r="AZ28" s="1192"/>
      <c r="BA28" s="1192"/>
      <c r="BB28" s="1192"/>
      <c r="BC28" s="1192"/>
      <c r="BD28" s="1192"/>
      <c r="BE28" s="1196"/>
    </row>
    <row r="29" spans="1:58" thickBot="1">
      <c r="A29" s="1192"/>
      <c r="B29" s="2254" t="s">
        <v>1587</v>
      </c>
      <c r="C29" s="2227"/>
      <c r="D29" s="2227"/>
      <c r="E29" s="2227"/>
      <c r="F29" s="2227"/>
      <c r="G29" s="2227"/>
      <c r="H29" s="2227"/>
      <c r="I29" s="2228"/>
      <c r="J29" s="2226">
        <f>SUM(J19:O28)</f>
        <v>144</v>
      </c>
      <c r="K29" s="2227"/>
      <c r="L29" s="2227"/>
      <c r="M29" s="2227"/>
      <c r="N29" s="2227"/>
      <c r="O29" s="2228"/>
      <c r="P29" s="2226">
        <f>SUM(P19:U28)</f>
        <v>138</v>
      </c>
      <c r="Q29" s="2227"/>
      <c r="R29" s="2227"/>
      <c r="S29" s="2227"/>
      <c r="T29" s="2227"/>
      <c r="U29" s="2228"/>
      <c r="V29" s="2226">
        <f>SUM(V19:AA28)</f>
        <v>0</v>
      </c>
      <c r="W29" s="2227"/>
      <c r="X29" s="2227"/>
      <c r="Y29" s="2227"/>
      <c r="Z29" s="2227"/>
      <c r="AA29" s="2228"/>
      <c r="AB29" s="2226">
        <f>SUM(AB19:AG28)</f>
        <v>6</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2" t="s">
        <v>2433</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6"/>
    </row>
    <row r="32" spans="1:58" thickBot="1">
      <c r="A32" s="1192"/>
      <c r="B32" s="2235" t="s">
        <v>2432</v>
      </c>
      <c r="C32" s="2236"/>
      <c r="D32" s="2236"/>
      <c r="E32" s="2236"/>
      <c r="F32" s="2236"/>
      <c r="G32" s="2236"/>
      <c r="H32" s="2236"/>
      <c r="I32" s="2236"/>
      <c r="J32" s="2239" t="s">
        <v>2431</v>
      </c>
      <c r="K32" s="2240"/>
      <c r="L32" s="2240"/>
      <c r="M32" s="2240"/>
      <c r="N32" s="2239" t="s">
        <v>2430</v>
      </c>
      <c r="O32" s="2240"/>
      <c r="P32" s="2240"/>
      <c r="Q32" s="2242"/>
      <c r="R32" s="2244" t="s">
        <v>2429</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6"/>
    </row>
    <row r="33" spans="1:58" ht="15" customHeight="1">
      <c r="A33" s="1192"/>
      <c r="B33" s="2237"/>
      <c r="C33" s="2238"/>
      <c r="D33" s="2238"/>
      <c r="E33" s="2238"/>
      <c r="F33" s="2238"/>
      <c r="G33" s="2238"/>
      <c r="H33" s="2238"/>
      <c r="I33" s="2238"/>
      <c r="J33" s="2241"/>
      <c r="K33" s="2241"/>
      <c r="L33" s="2241"/>
      <c r="M33" s="2241"/>
      <c r="N33" s="2241"/>
      <c r="O33" s="2241"/>
      <c r="P33" s="2241"/>
      <c r="Q33" s="2243"/>
      <c r="R33" s="2247" t="s">
        <v>2428</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6"/>
    </row>
    <row r="34" spans="1:58" ht="15.75" customHeight="1" thickBot="1">
      <c r="A34" s="1192"/>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6"/>
    </row>
    <row r="35" spans="1:58" ht="15.75" customHeight="1">
      <c r="A35" s="1192"/>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2427</v>
      </c>
      <c r="AT35" s="2256"/>
      <c r="AU35" s="2256"/>
      <c r="AV35" s="2256"/>
      <c r="AW35" s="2256"/>
      <c r="AX35" s="2264"/>
      <c r="AY35" s="2255" t="s">
        <v>2426</v>
      </c>
      <c r="AZ35" s="2256"/>
      <c r="BA35" s="2256"/>
      <c r="BB35" s="2256"/>
      <c r="BC35" s="2256"/>
      <c r="BD35" s="2257"/>
      <c r="BE35" s="1196"/>
    </row>
    <row r="36" spans="1:58" ht="15.75" customHeight="1">
      <c r="A36" s="1192"/>
      <c r="B36" s="2159" t="s">
        <v>2425</v>
      </c>
      <c r="C36" s="2160"/>
      <c r="D36" s="2160"/>
      <c r="E36" s="2160"/>
      <c r="F36" s="2160"/>
      <c r="G36" s="2160"/>
      <c r="H36" s="2160"/>
      <c r="I36" s="2160"/>
      <c r="J36" s="2224" t="s">
        <v>2424</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6"/>
    </row>
    <row r="37" spans="1:58" ht="15.75" customHeight="1">
      <c r="A37" s="1192"/>
      <c r="B37" s="2159" t="s">
        <v>2423</v>
      </c>
      <c r="C37" s="2160"/>
      <c r="D37" s="2160"/>
      <c r="E37" s="2160"/>
      <c r="F37" s="2160"/>
      <c r="G37" s="2160"/>
      <c r="H37" s="2160"/>
      <c r="I37" s="2160"/>
      <c r="J37" s="2224" t="s">
        <v>2422</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6"/>
    </row>
    <row r="38" spans="1:58" ht="15.75" customHeight="1">
      <c r="A38" s="1192"/>
      <c r="B38" s="2159" t="s">
        <v>2421</v>
      </c>
      <c r="C38" s="2160"/>
      <c r="D38" s="2160"/>
      <c r="E38" s="2160"/>
      <c r="F38" s="2160"/>
      <c r="G38" s="2160"/>
      <c r="H38" s="2160"/>
      <c r="I38" s="2160"/>
      <c r="J38" s="2224" t="s">
        <v>2420</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6"/>
    </row>
    <row r="39" spans="1:58" ht="15.75" customHeight="1">
      <c r="A39" s="1192"/>
      <c r="B39" s="2159" t="s">
        <v>2419</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6"/>
    </row>
    <row r="40" spans="1:58" ht="15.75" customHeight="1">
      <c r="A40" s="1192"/>
      <c r="B40" s="2159" t="s">
        <v>2419</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6"/>
    </row>
    <row r="41" spans="1:58" ht="15.75" customHeight="1">
      <c r="A41" s="1192"/>
      <c r="B41" s="2159" t="s">
        <v>2418</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6"/>
    </row>
    <row r="42" spans="1:58" ht="15.75" customHeight="1">
      <c r="A42" s="1192"/>
      <c r="B42" s="2159" t="s">
        <v>2418</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6"/>
    </row>
    <row r="43" spans="1:58" ht="15.75" customHeight="1">
      <c r="A43" s="1192"/>
      <c r="B43" s="2164" t="s">
        <v>2417</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6"/>
    </row>
    <row r="44" spans="1:58" ht="15.75" customHeight="1">
      <c r="A44" s="1192"/>
      <c r="B44" s="2164" t="s">
        <v>2416</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6"/>
    </row>
    <row r="45" spans="1:58" ht="15.75" customHeight="1">
      <c r="A45" s="1192"/>
      <c r="B45" s="2164" t="s">
        <v>2415</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6"/>
    </row>
    <row r="46" spans="1:58" ht="15.75" customHeight="1">
      <c r="A46" s="1192"/>
      <c r="B46" s="2164" t="s">
        <v>2339</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6"/>
    </row>
    <row r="47" spans="1:58" ht="15.75" customHeight="1" thickBot="1">
      <c r="A47" s="1192"/>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8" t="s">
        <v>2412</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4" t="s">
        <v>2405</v>
      </c>
      <c r="C51" s="2099"/>
      <c r="D51" s="2099"/>
      <c r="E51" s="2099"/>
      <c r="F51" s="2099"/>
      <c r="G51" s="2099"/>
      <c r="H51" s="2099"/>
      <c r="I51" s="2099"/>
      <c r="J51" s="2099" t="s">
        <v>2411</v>
      </c>
      <c r="K51" s="2099"/>
      <c r="L51" s="2099"/>
      <c r="M51" s="2099"/>
      <c r="N51" s="2099"/>
      <c r="O51" s="2099"/>
      <c r="P51" s="2099"/>
      <c r="Q51" s="2099"/>
      <c r="R51" s="2203" t="s">
        <v>2410</v>
      </c>
      <c r="S51" s="2203"/>
      <c r="T51" s="2203"/>
      <c r="U51" s="2203"/>
      <c r="V51" s="2203"/>
      <c r="W51" s="2203"/>
      <c r="X51" s="2203"/>
      <c r="Y51" s="2203"/>
      <c r="Z51" s="2203" t="s">
        <v>2409</v>
      </c>
      <c r="AA51" s="2203"/>
      <c r="AB51" s="2203"/>
      <c r="AC51" s="2203"/>
      <c r="AD51" s="2203"/>
      <c r="AE51" s="2203"/>
      <c r="AF51" s="2203"/>
      <c r="AG51" s="2203"/>
      <c r="AH51" s="2203" t="s">
        <v>2408</v>
      </c>
      <c r="AI51" s="2203"/>
      <c r="AJ51" s="2203"/>
      <c r="AK51" s="2203"/>
      <c r="AL51" s="2203"/>
      <c r="AM51" s="2203"/>
      <c r="AN51" s="2203"/>
      <c r="AO51" s="220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4" t="s">
        <v>2407</v>
      </c>
      <c r="C52" s="2165"/>
      <c r="D52" s="2165"/>
      <c r="E52" s="2165"/>
      <c r="F52" s="2165"/>
      <c r="G52" s="2165"/>
      <c r="H52" s="2165"/>
      <c r="I52" s="2165"/>
      <c r="J52" s="1985">
        <v>0</v>
      </c>
      <c r="K52" s="1985"/>
      <c r="L52" s="1985"/>
      <c r="M52" s="1985"/>
      <c r="N52" s="1985"/>
      <c r="O52" s="1985"/>
      <c r="P52" s="1985"/>
      <c r="Q52" s="1985"/>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4" t="s">
        <v>2406</v>
      </c>
      <c r="C53" s="2165"/>
      <c r="D53" s="2165"/>
      <c r="E53" s="2165"/>
      <c r="F53" s="2165"/>
      <c r="G53" s="2165"/>
      <c r="H53" s="2165"/>
      <c r="I53" s="2165"/>
      <c r="J53" s="1985">
        <v>0</v>
      </c>
      <c r="K53" s="1985"/>
      <c r="L53" s="1985"/>
      <c r="M53" s="1985"/>
      <c r="N53" s="1985"/>
      <c r="O53" s="1985"/>
      <c r="P53" s="1985"/>
      <c r="Q53" s="1985"/>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4"/>
      <c r="C54" s="2165"/>
      <c r="D54" s="2165"/>
      <c r="E54" s="2165"/>
      <c r="F54" s="2165"/>
      <c r="G54" s="2165"/>
      <c r="H54" s="2165"/>
      <c r="I54" s="2165"/>
      <c r="J54" s="1985"/>
      <c r="K54" s="1985"/>
      <c r="L54" s="1985"/>
      <c r="M54" s="1985"/>
      <c r="N54" s="1985"/>
      <c r="O54" s="1985"/>
      <c r="P54" s="1985"/>
      <c r="Q54" s="1985"/>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4"/>
      <c r="C55" s="2165"/>
      <c r="D55" s="2165"/>
      <c r="E55" s="2165"/>
      <c r="F55" s="2165"/>
      <c r="G55" s="2165"/>
      <c r="H55" s="2165"/>
      <c r="I55" s="2165"/>
      <c r="J55" s="1985"/>
      <c r="K55" s="1985"/>
      <c r="L55" s="1985"/>
      <c r="M55" s="1985"/>
      <c r="N55" s="1985"/>
      <c r="O55" s="1985"/>
      <c r="P55" s="1985"/>
      <c r="Q55" s="1985"/>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4"/>
      <c r="C56" s="2165"/>
      <c r="D56" s="2165"/>
      <c r="E56" s="2165"/>
      <c r="F56" s="2165"/>
      <c r="G56" s="2165"/>
      <c r="H56" s="2165"/>
      <c r="I56" s="2165"/>
      <c r="J56" s="1985"/>
      <c r="K56" s="1985"/>
      <c r="L56" s="1985"/>
      <c r="M56" s="1985"/>
      <c r="N56" s="1985"/>
      <c r="O56" s="1985"/>
      <c r="P56" s="1985"/>
      <c r="Q56" s="1985"/>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9" t="s">
        <v>1587</v>
      </c>
      <c r="C57" s="2130"/>
      <c r="D57" s="2130"/>
      <c r="E57" s="2130"/>
      <c r="F57" s="2130"/>
      <c r="G57" s="2130"/>
      <c r="H57" s="2130"/>
      <c r="I57" s="2130"/>
      <c r="J57" s="2130"/>
      <c r="K57" s="2130"/>
      <c r="L57" s="2130"/>
      <c r="M57" s="2130"/>
      <c r="N57" s="2130"/>
      <c r="O57" s="2130"/>
      <c r="P57" s="2130"/>
      <c r="Q57" s="2130"/>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2" t="s">
        <v>2405</v>
      </c>
      <c r="C59" s="2193"/>
      <c r="D59" s="2193"/>
      <c r="E59" s="2193"/>
      <c r="F59" s="2193"/>
      <c r="G59" s="2193"/>
      <c r="H59" s="2193"/>
      <c r="I59" s="2194"/>
      <c r="J59" s="2097" t="s">
        <v>2404</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2"/>
      <c r="AY59" s="1192"/>
      <c r="AZ59" s="1192"/>
      <c r="BA59" s="1192"/>
      <c r="BB59" s="1192"/>
      <c r="BC59" s="1192"/>
      <c r="BD59" s="1192"/>
      <c r="BE59" s="1196"/>
    </row>
    <row r="60" spans="1:58" ht="15.75" customHeight="1">
      <c r="A60" s="1192"/>
      <c r="B60" s="2184" t="str">
        <f>IF(B52="", "", B52)</f>
        <v>Services Company 1</v>
      </c>
      <c r="C60" s="2185"/>
      <c r="D60" s="2185"/>
      <c r="E60" s="2185"/>
      <c r="F60" s="2185"/>
      <c r="G60" s="2185"/>
      <c r="H60" s="2185"/>
      <c r="I60" s="2186"/>
      <c r="J60" s="2187"/>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2"/>
      <c r="AY60" s="1192"/>
      <c r="AZ60" s="1192"/>
      <c r="BA60" s="1192"/>
      <c r="BB60" s="1192"/>
      <c r="BC60" s="1192"/>
      <c r="BD60" s="1192"/>
      <c r="BE60" s="1196"/>
    </row>
    <row r="61" spans="1:58" ht="15.75" customHeight="1">
      <c r="A61" s="1192"/>
      <c r="B61" s="2184" t="str">
        <f>IF(B53="", "", B53)</f>
        <v>Services Company 2</v>
      </c>
      <c r="C61" s="2185"/>
      <c r="D61" s="2185"/>
      <c r="E61" s="2185"/>
      <c r="F61" s="2185"/>
      <c r="G61" s="2185"/>
      <c r="H61" s="2185"/>
      <c r="I61" s="2186"/>
      <c r="J61" s="2187"/>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2"/>
      <c r="AY61" s="1192"/>
      <c r="AZ61" s="1192"/>
      <c r="BA61" s="1192"/>
      <c r="BB61" s="1192"/>
      <c r="BC61" s="1192"/>
      <c r="BD61" s="1192"/>
      <c r="BE61" s="1196"/>
    </row>
    <row r="62" spans="1:58" ht="15.75" customHeight="1">
      <c r="A62" s="1192"/>
      <c r="B62" s="2184" t="str">
        <f>IF(B54="", "", B54)</f>
        <v/>
      </c>
      <c r="C62" s="2185"/>
      <c r="D62" s="2185"/>
      <c r="E62" s="2185"/>
      <c r="F62" s="2185"/>
      <c r="G62" s="2185"/>
      <c r="H62" s="2185"/>
      <c r="I62" s="2186"/>
      <c r="J62" s="2187"/>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2"/>
      <c r="AY62" s="1192"/>
      <c r="AZ62" s="1192"/>
      <c r="BA62" s="1192"/>
      <c r="BB62" s="1192"/>
      <c r="BC62" s="1192"/>
      <c r="BD62" s="1192"/>
      <c r="BE62" s="1196"/>
    </row>
    <row r="63" spans="1:58" ht="15.75" customHeight="1">
      <c r="A63" s="1192"/>
      <c r="B63" s="2184" t="str">
        <f>IF(B55="", "", B55)</f>
        <v/>
      </c>
      <c r="C63" s="2185"/>
      <c r="D63" s="2185"/>
      <c r="E63" s="2185"/>
      <c r="F63" s="2185"/>
      <c r="G63" s="2185"/>
      <c r="H63" s="2185"/>
      <c r="I63" s="2186"/>
      <c r="J63" s="2187"/>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2"/>
      <c r="AY63" s="1192"/>
      <c r="AZ63" s="1192"/>
      <c r="BA63" s="1192"/>
      <c r="BB63" s="1192"/>
      <c r="BC63" s="1192"/>
      <c r="BD63" s="1192"/>
      <c r="BE63" s="1196"/>
    </row>
    <row r="64" spans="1:58" ht="15.75" customHeight="1" thickBot="1">
      <c r="A64" s="1192"/>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6" t="s">
        <v>2402</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2"/>
      <c r="AC68" s="2022" t="s">
        <v>2401</v>
      </c>
      <c r="AD68" s="2023"/>
      <c r="AE68" s="2023"/>
      <c r="AF68" s="2023"/>
      <c r="AG68" s="2023"/>
      <c r="AH68" s="2023"/>
      <c r="AI68" s="2023"/>
      <c r="AJ68" s="2023"/>
      <c r="AK68" s="2023"/>
      <c r="AL68" s="2023"/>
      <c r="AM68" s="2023"/>
      <c r="AN68" s="2023"/>
      <c r="AO68" s="2023"/>
      <c r="AP68" s="2023"/>
      <c r="AQ68" s="2023"/>
      <c r="AR68" s="2023"/>
      <c r="AS68" s="2023"/>
      <c r="AT68" s="2023"/>
      <c r="AU68" s="2023"/>
      <c r="AV68" s="2176" t="s">
        <v>670</v>
      </c>
      <c r="AW68" s="2079"/>
      <c r="AX68" s="2079"/>
      <c r="AY68" s="2079"/>
      <c r="AZ68" s="2079"/>
      <c r="BA68" s="2079"/>
      <c r="BB68" s="2079"/>
      <c r="BC68" s="2080"/>
      <c r="BD68" s="1192"/>
      <c r="BE68" s="1196"/>
      <c r="BM68" s="1201" t="s">
        <v>2400</v>
      </c>
    </row>
    <row r="69" spans="1:94" ht="15.75" customHeight="1" thickTop="1" thickBot="1">
      <c r="A69" s="1192"/>
      <c r="B69" s="2177" t="s">
        <v>2399</v>
      </c>
      <c r="C69" s="2178"/>
      <c r="D69" s="2178"/>
      <c r="E69" s="2178"/>
      <c r="F69" s="2178"/>
      <c r="G69" s="2178"/>
      <c r="H69" s="2178"/>
      <c r="I69" s="2178"/>
      <c r="J69" s="2178"/>
      <c r="K69" s="2178"/>
      <c r="L69" s="2178"/>
      <c r="M69" s="2178"/>
      <c r="N69" s="2178"/>
      <c r="O69" s="2179" t="s">
        <v>2398</v>
      </c>
      <c r="P69" s="2180"/>
      <c r="Q69" s="2180"/>
      <c r="R69" s="2180"/>
      <c r="S69" s="2180"/>
      <c r="T69" s="2180"/>
      <c r="U69" s="2180"/>
      <c r="V69" s="2180"/>
      <c r="W69" s="2180"/>
      <c r="X69" s="2180"/>
      <c r="Y69" s="2180"/>
      <c r="Z69" s="2180"/>
      <c r="AA69" s="2181"/>
      <c r="AB69" s="1192"/>
      <c r="AC69" s="2182" t="s">
        <v>2397</v>
      </c>
      <c r="AD69" s="2183"/>
      <c r="AE69" s="2183"/>
      <c r="AF69" s="2183"/>
      <c r="AG69" s="2183"/>
      <c r="AH69" s="2183"/>
      <c r="AI69" s="2183"/>
      <c r="AJ69" s="2183"/>
      <c r="AK69" s="2183"/>
      <c r="AL69" s="2183"/>
      <c r="AM69" s="2183"/>
      <c r="AN69" s="2183"/>
      <c r="AO69" s="2183"/>
      <c r="AP69" s="2183"/>
      <c r="AQ69" s="2183"/>
      <c r="AR69" s="2183"/>
      <c r="AS69" s="2183"/>
      <c r="AT69" s="2183"/>
      <c r="AU69" s="2183"/>
      <c r="AV69" s="2176" t="s">
        <v>670</v>
      </c>
      <c r="AW69" s="2079"/>
      <c r="AX69" s="2079"/>
      <c r="AY69" s="2079"/>
      <c r="AZ69" s="2079"/>
      <c r="BA69" s="2079"/>
      <c r="BB69" s="2079"/>
      <c r="BC69" s="2080"/>
      <c r="BD69" s="1192"/>
      <c r="BE69" s="1196"/>
      <c r="BM69" s="1202" t="s">
        <v>546</v>
      </c>
    </row>
    <row r="70" spans="1:94" ht="15.75" customHeight="1">
      <c r="A70" s="1192"/>
      <c r="B70" s="2159" t="s">
        <v>2396</v>
      </c>
      <c r="C70" s="2160"/>
      <c r="D70" s="2160"/>
      <c r="E70" s="2160"/>
      <c r="F70" s="2160"/>
      <c r="G70" s="2160"/>
      <c r="H70" s="2160"/>
      <c r="I70" s="2160"/>
      <c r="J70" s="2160"/>
      <c r="K70" s="2160"/>
      <c r="L70" s="2160"/>
      <c r="M70" s="2160"/>
      <c r="N70" s="2160"/>
      <c r="O70" s="2030">
        <v>0</v>
      </c>
      <c r="P70" s="2030"/>
      <c r="Q70" s="2030"/>
      <c r="R70" s="2030"/>
      <c r="S70" s="2030"/>
      <c r="T70" s="2030"/>
      <c r="U70" s="2030"/>
      <c r="V70" s="2030"/>
      <c r="W70" s="2030"/>
      <c r="X70" s="2030"/>
      <c r="Y70" s="2030"/>
      <c r="Z70" s="2030"/>
      <c r="AA70" s="2161"/>
      <c r="AB70" s="1192"/>
      <c r="AC70" s="2068" t="s">
        <v>2395</v>
      </c>
      <c r="AD70" s="2024"/>
      <c r="AE70" s="2024"/>
      <c r="AF70" s="2170"/>
      <c r="AG70" s="2170"/>
      <c r="AH70" s="2170"/>
      <c r="AI70" s="2170"/>
      <c r="AJ70" s="2170"/>
      <c r="AK70" s="2170"/>
      <c r="AL70" s="2170"/>
      <c r="AM70" s="2170"/>
      <c r="AN70" s="2170"/>
      <c r="AO70" s="2170"/>
      <c r="AP70" s="2170"/>
      <c r="AQ70" s="2170"/>
      <c r="AR70" s="2170"/>
      <c r="AS70" s="2170"/>
      <c r="AT70" s="2170"/>
      <c r="AU70" s="2171"/>
      <c r="AV70" s="1192"/>
      <c r="AW70" s="1192"/>
      <c r="AX70" s="1192"/>
      <c r="AY70" s="1192"/>
      <c r="AZ70" s="1192"/>
      <c r="BA70" s="1192"/>
      <c r="BB70" s="1192"/>
      <c r="BC70" s="1192"/>
      <c r="BD70" s="1192"/>
      <c r="BE70" s="1196"/>
      <c r="BM70" s="1203" t="s">
        <v>670</v>
      </c>
    </row>
    <row r="71" spans="1:94" ht="15.75" customHeight="1" thickBot="1">
      <c r="A71" s="1192"/>
      <c r="B71" s="2159" t="s">
        <v>2394</v>
      </c>
      <c r="C71" s="2160"/>
      <c r="D71" s="2160"/>
      <c r="E71" s="2160"/>
      <c r="F71" s="2160"/>
      <c r="G71" s="2160"/>
      <c r="H71" s="2160"/>
      <c r="I71" s="2160"/>
      <c r="J71" s="2160"/>
      <c r="K71" s="2160"/>
      <c r="L71" s="2160"/>
      <c r="M71" s="2160"/>
      <c r="N71" s="2160"/>
      <c r="O71" s="2030">
        <v>0</v>
      </c>
      <c r="P71" s="2030"/>
      <c r="Q71" s="2030"/>
      <c r="R71" s="2030"/>
      <c r="S71" s="2030"/>
      <c r="T71" s="2030"/>
      <c r="U71" s="2030"/>
      <c r="V71" s="2030"/>
      <c r="W71" s="2030"/>
      <c r="X71" s="2030"/>
      <c r="Y71" s="2030"/>
      <c r="Z71" s="2030"/>
      <c r="AA71" s="2161"/>
      <c r="AB71" s="1192"/>
      <c r="AC71" s="2172" t="s">
        <v>2393</v>
      </c>
      <c r="AD71" s="2173"/>
      <c r="AE71" s="2173"/>
      <c r="AF71" s="2174"/>
      <c r="AG71" s="2174"/>
      <c r="AH71" s="2174"/>
      <c r="AI71" s="2174"/>
      <c r="AJ71" s="2174"/>
      <c r="AK71" s="2174"/>
      <c r="AL71" s="2174"/>
      <c r="AM71" s="2174"/>
      <c r="AN71" s="2174"/>
      <c r="AO71" s="2174"/>
      <c r="AP71" s="2174"/>
      <c r="AQ71" s="2174"/>
      <c r="AR71" s="2174"/>
      <c r="AS71" s="2174"/>
      <c r="AT71" s="2174"/>
      <c r="AU71" s="2175"/>
      <c r="AV71" s="1192"/>
      <c r="AW71" s="1192"/>
      <c r="AX71" s="1192"/>
      <c r="AY71" s="1192"/>
      <c r="AZ71" s="1192"/>
      <c r="BA71" s="1192"/>
      <c r="BB71" s="1192"/>
      <c r="BC71" s="1192"/>
      <c r="BD71" s="1192"/>
      <c r="BE71" s="1196"/>
      <c r="BM71" s="1189" t="s">
        <v>2392</v>
      </c>
    </row>
    <row r="72" spans="1:94" ht="15.75" customHeight="1">
      <c r="A72" s="1192"/>
      <c r="B72" s="2159" t="s">
        <v>2391</v>
      </c>
      <c r="C72" s="2160"/>
      <c r="D72" s="2160"/>
      <c r="E72" s="2160"/>
      <c r="F72" s="2160"/>
      <c r="G72" s="2160"/>
      <c r="H72" s="2160"/>
      <c r="I72" s="2160"/>
      <c r="J72" s="2160"/>
      <c r="K72" s="2160"/>
      <c r="L72" s="2160"/>
      <c r="M72" s="2160"/>
      <c r="N72" s="2160"/>
      <c r="O72" s="2030">
        <v>0</v>
      </c>
      <c r="P72" s="2030"/>
      <c r="Q72" s="2030"/>
      <c r="R72" s="2030"/>
      <c r="S72" s="2030"/>
      <c r="T72" s="2030"/>
      <c r="U72" s="2030"/>
      <c r="V72" s="2030"/>
      <c r="W72" s="2030"/>
      <c r="X72" s="2030"/>
      <c r="Y72" s="2030"/>
      <c r="Z72" s="2030"/>
      <c r="AA72" s="2161"/>
      <c r="AB72" s="1192"/>
      <c r="AC72" s="2162" t="s">
        <v>2390</v>
      </c>
      <c r="AD72" s="2163"/>
      <c r="AE72" s="2163"/>
      <c r="AF72" s="2163"/>
      <c r="AG72" s="2163"/>
      <c r="AH72" s="2163"/>
      <c r="AI72" s="2163"/>
      <c r="AJ72" s="2163"/>
      <c r="AK72" s="2163"/>
      <c r="AL72" s="2163"/>
      <c r="AM72" s="2163"/>
      <c r="AN72" s="2163"/>
      <c r="AO72" s="2163"/>
      <c r="AP72" s="2163"/>
      <c r="AQ72" s="2163"/>
      <c r="AR72" s="2163"/>
      <c r="AS72" s="2163"/>
      <c r="AT72" s="2163"/>
      <c r="AU72" s="2163"/>
      <c r="AV72" s="2024"/>
      <c r="AW72" s="2024"/>
      <c r="AX72" s="2024"/>
      <c r="AY72" s="2024"/>
      <c r="AZ72" s="2024"/>
      <c r="BA72" s="2024"/>
      <c r="BB72" s="2024"/>
      <c r="BC72" s="2025"/>
      <c r="BD72" s="1192"/>
      <c r="BE72" s="1196"/>
    </row>
    <row r="73" spans="1:94" ht="15.75" customHeight="1">
      <c r="A73" s="1192"/>
      <c r="B73" s="2164" t="s">
        <v>2389</v>
      </c>
      <c r="C73" s="2165"/>
      <c r="D73" s="2165"/>
      <c r="E73" s="2165"/>
      <c r="F73" s="2165"/>
      <c r="G73" s="2165"/>
      <c r="H73" s="2165"/>
      <c r="I73" s="2165"/>
      <c r="J73" s="2165"/>
      <c r="K73" s="2165"/>
      <c r="L73" s="2165"/>
      <c r="M73" s="2165"/>
      <c r="N73" s="2165"/>
      <c r="O73" s="2030">
        <v>0</v>
      </c>
      <c r="P73" s="2030"/>
      <c r="Q73" s="2030"/>
      <c r="R73" s="2030"/>
      <c r="S73" s="2030"/>
      <c r="T73" s="2030"/>
      <c r="U73" s="2030"/>
      <c r="V73" s="2030"/>
      <c r="W73" s="2030"/>
      <c r="X73" s="2030"/>
      <c r="Y73" s="2030"/>
      <c r="Z73" s="2030"/>
      <c r="AA73" s="2161"/>
      <c r="AB73" s="1192"/>
      <c r="AC73" s="2039" t="s">
        <v>2334</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2"/>
      <c r="BE73" s="1196"/>
      <c r="CK73" s="1190"/>
      <c r="CL73" s="1190"/>
      <c r="CM73" s="1190"/>
      <c r="CN73" s="1190"/>
      <c r="CO73" s="1190"/>
      <c r="CP73" s="1190"/>
    </row>
    <row r="74" spans="1:94" ht="15.75" customHeight="1">
      <c r="A74" s="1192"/>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61"/>
      <c r="AB74" s="1192"/>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2"/>
      <c r="BE74" s="1196"/>
      <c r="CK74" s="1190"/>
      <c r="CL74" s="1190"/>
      <c r="CM74" s="1190"/>
      <c r="CN74" s="1190"/>
      <c r="CO74" s="1190"/>
      <c r="CP74" s="1190"/>
    </row>
    <row r="75" spans="1:94" ht="15.75" customHeight="1" thickBot="1">
      <c r="A75" s="1192"/>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2"/>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4"/>
      <c r="G79" s="2145"/>
      <c r="H79" s="2145"/>
      <c r="I79" s="2145"/>
      <c r="J79" s="2145"/>
      <c r="K79" s="2145"/>
      <c r="L79" s="2145"/>
      <c r="M79" s="2145"/>
      <c r="N79" s="2145"/>
      <c r="O79" s="2145"/>
      <c r="P79" s="2145"/>
      <c r="Q79" s="2145"/>
      <c r="R79" s="2145"/>
      <c r="S79" s="2145"/>
      <c r="T79" s="214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7" t="s">
        <v>2387</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3" t="s">
        <v>2386</v>
      </c>
      <c r="C81" s="2154"/>
      <c r="D81" s="2154"/>
      <c r="E81" s="2154"/>
      <c r="F81" s="2154"/>
      <c r="G81" s="2154"/>
      <c r="H81" s="2154"/>
      <c r="I81" s="2154"/>
      <c r="J81" s="2154"/>
      <c r="K81" s="2154"/>
      <c r="L81" s="2154"/>
      <c r="M81" s="2154"/>
      <c r="N81" s="2154"/>
      <c r="O81" s="2154"/>
      <c r="P81" s="2154"/>
      <c r="Q81" s="2154"/>
      <c r="R81" s="2135" t="s">
        <v>2191</v>
      </c>
      <c r="S81" s="2136"/>
      <c r="T81" s="213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6" t="s">
        <v>2385</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2"/>
      <c r="AJ83" s="2120" t="s">
        <v>2384</v>
      </c>
      <c r="AK83" s="2121"/>
      <c r="AL83" s="2121"/>
      <c r="AM83" s="2121"/>
      <c r="AN83" s="2121"/>
      <c r="AO83" s="2121"/>
      <c r="AP83" s="2121"/>
      <c r="AQ83" s="2121"/>
      <c r="AR83" s="2121"/>
      <c r="AS83" s="2121"/>
      <c r="AT83" s="2121"/>
      <c r="AU83" s="2121"/>
      <c r="AV83" s="2121"/>
      <c r="AW83" s="2121"/>
      <c r="AX83" s="2121"/>
      <c r="AY83" s="2140" t="s">
        <v>546</v>
      </c>
      <c r="AZ83" s="2140"/>
      <c r="BA83" s="2140"/>
      <c r="BB83" s="2141"/>
      <c r="BC83" s="1192"/>
      <c r="BD83" s="1192"/>
      <c r="BE83" s="1196"/>
      <c r="CK83" s="1190"/>
      <c r="CL83" s="1190"/>
      <c r="CM83" s="1190"/>
      <c r="CN83" s="1190"/>
      <c r="CO83" s="1190"/>
      <c r="CP83" s="1190"/>
    </row>
    <row r="84" spans="1:94" ht="15.75" customHeight="1">
      <c r="A84" s="1192"/>
      <c r="B84" s="2134"/>
      <c r="C84" s="2099"/>
      <c r="D84" s="2099"/>
      <c r="E84" s="2099"/>
      <c r="F84" s="2099"/>
      <c r="G84" s="2099"/>
      <c r="H84" s="2099"/>
      <c r="I84" s="2099" t="s">
        <v>2374</v>
      </c>
      <c r="J84" s="2099"/>
      <c r="K84" s="2099"/>
      <c r="L84" s="2099"/>
      <c r="M84" s="2099"/>
      <c r="N84" s="2099"/>
      <c r="O84" s="2099" t="s">
        <v>2350</v>
      </c>
      <c r="P84" s="2099"/>
      <c r="Q84" s="2099"/>
      <c r="R84" s="2099"/>
      <c r="S84" s="2099"/>
      <c r="T84" s="2099"/>
      <c r="U84" s="2099"/>
      <c r="V84" s="2138" t="s">
        <v>2349</v>
      </c>
      <c r="W84" s="2138"/>
      <c r="X84" s="2138"/>
      <c r="Y84" s="2138"/>
      <c r="Z84" s="2138"/>
      <c r="AA84" s="2138"/>
      <c r="AB84" s="2069" t="s">
        <v>2373</v>
      </c>
      <c r="AC84" s="2069"/>
      <c r="AD84" s="2069"/>
      <c r="AE84" s="2069"/>
      <c r="AF84" s="2069"/>
      <c r="AG84" s="2069"/>
      <c r="AH84" s="2139"/>
      <c r="AI84" s="1192"/>
      <c r="AJ84" s="2123"/>
      <c r="AK84" s="2124"/>
      <c r="AL84" s="2124"/>
      <c r="AM84" s="2124"/>
      <c r="AN84" s="2124"/>
      <c r="AO84" s="2124"/>
      <c r="AP84" s="2124"/>
      <c r="AQ84" s="2124"/>
      <c r="AR84" s="2124"/>
      <c r="AS84" s="2124"/>
      <c r="AT84" s="2124"/>
      <c r="AU84" s="2124"/>
      <c r="AV84" s="2124"/>
      <c r="AW84" s="2124"/>
      <c r="AX84" s="2124"/>
      <c r="AY84" s="2142"/>
      <c r="AZ84" s="2142"/>
      <c r="BA84" s="2142"/>
      <c r="BB84" s="2143"/>
      <c r="BC84" s="1192"/>
      <c r="BD84" s="1192"/>
      <c r="BE84" s="1196"/>
      <c r="CK84" s="1190"/>
      <c r="CL84" s="1190"/>
      <c r="CM84" s="1190"/>
      <c r="CN84" s="1190"/>
      <c r="CO84" s="1190"/>
      <c r="CP84" s="1190"/>
    </row>
    <row r="85" spans="1:94" ht="15.75" customHeight="1">
      <c r="A85" s="1192"/>
      <c r="B85" s="2134"/>
      <c r="C85" s="2099"/>
      <c r="D85" s="2099"/>
      <c r="E85" s="2099"/>
      <c r="F85" s="2099"/>
      <c r="G85" s="2099"/>
      <c r="H85" s="2099"/>
      <c r="I85" s="2099"/>
      <c r="J85" s="2099"/>
      <c r="K85" s="2099"/>
      <c r="L85" s="2099"/>
      <c r="M85" s="2099"/>
      <c r="N85" s="2099"/>
      <c r="O85" s="2099"/>
      <c r="P85" s="2099"/>
      <c r="Q85" s="2099"/>
      <c r="R85" s="2099"/>
      <c r="S85" s="2099"/>
      <c r="T85" s="2099"/>
      <c r="U85" s="2099"/>
      <c r="V85" s="2138"/>
      <c r="W85" s="2138"/>
      <c r="X85" s="2138"/>
      <c r="Y85" s="2138"/>
      <c r="Z85" s="2138"/>
      <c r="AA85" s="2138"/>
      <c r="AB85" s="2069"/>
      <c r="AC85" s="2069"/>
      <c r="AD85" s="2069"/>
      <c r="AE85" s="2069"/>
      <c r="AF85" s="2069"/>
      <c r="AG85" s="2069"/>
      <c r="AH85" s="2139"/>
      <c r="AI85" s="1192"/>
      <c r="AJ85" s="2123"/>
      <c r="AK85" s="2124"/>
      <c r="AL85" s="2124"/>
      <c r="AM85" s="2124"/>
      <c r="AN85" s="2124"/>
      <c r="AO85" s="2124"/>
      <c r="AP85" s="2124"/>
      <c r="AQ85" s="2124"/>
      <c r="AR85" s="2124"/>
      <c r="AS85" s="2124"/>
      <c r="AT85" s="2124"/>
      <c r="AU85" s="2124"/>
      <c r="AV85" s="2124"/>
      <c r="AW85" s="2124"/>
      <c r="AX85" s="2124"/>
      <c r="AY85" s="2142"/>
      <c r="AZ85" s="2142"/>
      <c r="BA85" s="2142"/>
      <c r="BB85" s="2143"/>
      <c r="BC85" s="1192"/>
      <c r="BD85" s="1192"/>
      <c r="BE85" s="1196"/>
      <c r="CK85" s="1190"/>
      <c r="CL85" s="1190"/>
      <c r="CM85" s="1190"/>
      <c r="CN85" s="1190"/>
      <c r="CO85" s="1190"/>
      <c r="CP85" s="1190"/>
    </row>
    <row r="86" spans="1:94" ht="15.75" customHeight="1">
      <c r="A86" s="1192"/>
      <c r="B86" s="2134" t="s">
        <v>2372</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2"/>
      <c r="AJ86" s="2123"/>
      <c r="AK86" s="2124"/>
      <c r="AL86" s="2124"/>
      <c r="AM86" s="2124"/>
      <c r="AN86" s="2124"/>
      <c r="AO86" s="2124"/>
      <c r="AP86" s="2124"/>
      <c r="AQ86" s="2124"/>
      <c r="AR86" s="2124"/>
      <c r="AS86" s="2124"/>
      <c r="AT86" s="2124"/>
      <c r="AU86" s="2124"/>
      <c r="AV86" s="2124"/>
      <c r="AW86" s="2124"/>
      <c r="AX86" s="2124"/>
      <c r="AY86" s="2142"/>
      <c r="AZ86" s="2142"/>
      <c r="BA86" s="2142"/>
      <c r="BB86" s="2143"/>
      <c r="BC86" s="1192"/>
      <c r="BD86" s="1192"/>
      <c r="BE86" s="1196"/>
      <c r="CK86" s="1190"/>
      <c r="CL86" s="1190"/>
      <c r="CM86" s="1190"/>
      <c r="CN86" s="1190"/>
      <c r="CO86" s="1190"/>
      <c r="CP86" s="1190"/>
    </row>
    <row r="87" spans="1:94" ht="15.75" customHeight="1">
      <c r="A87" s="1192"/>
      <c r="B87" s="2134" t="s">
        <v>2371</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2"/>
      <c r="AJ87" s="2039" t="s">
        <v>2378</v>
      </c>
      <c r="AK87" s="2040"/>
      <c r="AL87" s="2040"/>
      <c r="AM87" s="2040"/>
      <c r="AN87" s="2040"/>
      <c r="AO87" s="2040"/>
      <c r="AP87" s="2040"/>
      <c r="AQ87" s="2040"/>
      <c r="AR87" s="2040"/>
      <c r="AS87" s="2040"/>
      <c r="AT87" s="2040"/>
      <c r="AU87" s="2040"/>
      <c r="AV87" s="2040"/>
      <c r="AW87" s="2040"/>
      <c r="AX87" s="2040"/>
      <c r="AY87" s="2040"/>
      <c r="AZ87" s="2040"/>
      <c r="BA87" s="2040"/>
      <c r="BB87" s="2041"/>
      <c r="BC87" s="1192"/>
      <c r="BD87" s="1192"/>
      <c r="BE87" s="1196"/>
      <c r="CK87" s="1190"/>
      <c r="CL87" s="1190"/>
      <c r="CM87" s="1190"/>
      <c r="CN87" s="1190"/>
      <c r="CO87" s="1190"/>
      <c r="CP87" s="1190"/>
    </row>
    <row r="88" spans="1:94" ht="15.75" customHeight="1" thickBot="1">
      <c r="A88" s="1192"/>
      <c r="B88" s="2129" t="s">
        <v>2370</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2"/>
      <c r="AJ88" s="2042"/>
      <c r="AK88" s="2043"/>
      <c r="AL88" s="2043"/>
      <c r="AM88" s="2043"/>
      <c r="AN88" s="2043"/>
      <c r="AO88" s="2043"/>
      <c r="AP88" s="2043"/>
      <c r="AQ88" s="2043"/>
      <c r="AR88" s="2043"/>
      <c r="AS88" s="2043"/>
      <c r="AT88" s="2043"/>
      <c r="AU88" s="2043"/>
      <c r="AV88" s="2043"/>
      <c r="AW88" s="2043"/>
      <c r="AX88" s="2043"/>
      <c r="AY88" s="2043"/>
      <c r="AZ88" s="2043"/>
      <c r="BA88" s="2043"/>
      <c r="BB88" s="204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4"/>
      <c r="G92" s="2145"/>
      <c r="H92" s="2145"/>
      <c r="I92" s="2145"/>
      <c r="J92" s="2145"/>
      <c r="K92" s="2145"/>
      <c r="L92" s="2145"/>
      <c r="M92" s="2145"/>
      <c r="N92" s="2145"/>
      <c r="O92" s="2145"/>
      <c r="P92" s="2145"/>
      <c r="Q92" s="2145"/>
      <c r="R92" s="2145"/>
      <c r="S92" s="2145"/>
      <c r="T92" s="214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7" t="s">
        <v>2382</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3" t="s">
        <v>2381</v>
      </c>
      <c r="C94" s="2154"/>
      <c r="D94" s="2154"/>
      <c r="E94" s="2154"/>
      <c r="F94" s="2154"/>
      <c r="G94" s="2154"/>
      <c r="H94" s="2154"/>
      <c r="I94" s="2154"/>
      <c r="J94" s="2154"/>
      <c r="K94" s="2154"/>
      <c r="L94" s="2154"/>
      <c r="M94" s="2154"/>
      <c r="N94" s="2154"/>
      <c r="O94" s="2154"/>
      <c r="P94" s="2154"/>
      <c r="Q94" s="2155"/>
      <c r="R94" s="2135" t="s">
        <v>2191</v>
      </c>
      <c r="S94" s="2136"/>
      <c r="T94" s="213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6" t="s">
        <v>2380</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2"/>
      <c r="AJ96" s="2120" t="s">
        <v>2379</v>
      </c>
      <c r="AK96" s="2121"/>
      <c r="AL96" s="2121"/>
      <c r="AM96" s="2121"/>
      <c r="AN96" s="2121"/>
      <c r="AO96" s="2121"/>
      <c r="AP96" s="2121"/>
      <c r="AQ96" s="2121"/>
      <c r="AR96" s="2121"/>
      <c r="AS96" s="2121"/>
      <c r="AT96" s="2121"/>
      <c r="AU96" s="2121"/>
      <c r="AV96" s="2121"/>
      <c r="AW96" s="2121"/>
      <c r="AX96" s="2121"/>
      <c r="AY96" s="2140" t="s">
        <v>546</v>
      </c>
      <c r="AZ96" s="2140"/>
      <c r="BA96" s="2140"/>
      <c r="BB96" s="2141"/>
      <c r="BC96" s="1192"/>
      <c r="BD96" s="1192"/>
      <c r="BE96" s="1196"/>
      <c r="BQ96" s="1189" t="str">
        <f>Application!M243&amp;IF(TRIM(Application!AA249)&lt;&gt;""," ("&amp;Application!AA249&amp;")","")</f>
        <v>Kingdom AF LLC (Kingdom Development, Inc.)</v>
      </c>
      <c r="BR96" s="1218">
        <f>Application!AH246</f>
        <v>1E-3</v>
      </c>
      <c r="CM96" s="1190"/>
      <c r="CN96" s="1190"/>
      <c r="CO96" s="1190"/>
      <c r="CP96" s="1190"/>
    </row>
    <row r="97" spans="1:94" ht="15.75" customHeight="1">
      <c r="A97" s="1192"/>
      <c r="B97" s="2134"/>
      <c r="C97" s="2099"/>
      <c r="D97" s="2099"/>
      <c r="E97" s="2099"/>
      <c r="F97" s="2099"/>
      <c r="G97" s="2099"/>
      <c r="H97" s="2099"/>
      <c r="I97" s="2099" t="s">
        <v>2374</v>
      </c>
      <c r="J97" s="2099"/>
      <c r="K97" s="2099"/>
      <c r="L97" s="2099"/>
      <c r="M97" s="2099"/>
      <c r="N97" s="2099"/>
      <c r="O97" s="2099" t="s">
        <v>2350</v>
      </c>
      <c r="P97" s="2099"/>
      <c r="Q97" s="2099"/>
      <c r="R97" s="2099"/>
      <c r="S97" s="2099"/>
      <c r="T97" s="2099"/>
      <c r="U97" s="2099"/>
      <c r="V97" s="2138" t="s">
        <v>2349</v>
      </c>
      <c r="W97" s="2138"/>
      <c r="X97" s="2138"/>
      <c r="Y97" s="2138"/>
      <c r="Z97" s="2138"/>
      <c r="AA97" s="2138"/>
      <c r="AB97" s="2069" t="s">
        <v>2373</v>
      </c>
      <c r="AC97" s="2069"/>
      <c r="AD97" s="2069"/>
      <c r="AE97" s="2069"/>
      <c r="AF97" s="2069"/>
      <c r="AG97" s="2069"/>
      <c r="AH97" s="2139"/>
      <c r="AI97" s="1192"/>
      <c r="AJ97" s="2123"/>
      <c r="AK97" s="2124"/>
      <c r="AL97" s="2124"/>
      <c r="AM97" s="2124"/>
      <c r="AN97" s="2124"/>
      <c r="AO97" s="2124"/>
      <c r="AP97" s="2124"/>
      <c r="AQ97" s="2124"/>
      <c r="AR97" s="2124"/>
      <c r="AS97" s="2124"/>
      <c r="AT97" s="2124"/>
      <c r="AU97" s="2124"/>
      <c r="AV97" s="2124"/>
      <c r="AW97" s="2124"/>
      <c r="AX97" s="2124"/>
      <c r="AY97" s="2142"/>
      <c r="AZ97" s="2142"/>
      <c r="BA97" s="2142"/>
      <c r="BB97" s="2143"/>
      <c r="BC97" s="1192"/>
      <c r="BD97" s="1192"/>
      <c r="BE97" s="1196"/>
      <c r="BQ97" s="1189" t="str">
        <f>Application!M251&amp;IF(TRIM(Application!AA257)&lt;&gt;""," ("&amp;Application!AA257&amp;")","")</f>
        <v>MBP MLK, LLC</v>
      </c>
      <c r="BR97" s="1218">
        <f>Application!AH254</f>
        <v>8.9999999999999993E-3</v>
      </c>
      <c r="CM97" s="1190"/>
      <c r="CN97" s="1190"/>
      <c r="CO97" s="1190"/>
      <c r="CP97" s="1190"/>
    </row>
    <row r="98" spans="1:94" ht="15.75" customHeight="1">
      <c r="A98" s="1192"/>
      <c r="B98" s="2134"/>
      <c r="C98" s="2099"/>
      <c r="D98" s="2099"/>
      <c r="E98" s="2099"/>
      <c r="F98" s="2099"/>
      <c r="G98" s="2099"/>
      <c r="H98" s="2099"/>
      <c r="I98" s="2099"/>
      <c r="J98" s="2099"/>
      <c r="K98" s="2099"/>
      <c r="L98" s="2099"/>
      <c r="M98" s="2099"/>
      <c r="N98" s="2099"/>
      <c r="O98" s="2099"/>
      <c r="P98" s="2099"/>
      <c r="Q98" s="2099"/>
      <c r="R98" s="2099"/>
      <c r="S98" s="2099"/>
      <c r="T98" s="2099"/>
      <c r="U98" s="2099"/>
      <c r="V98" s="2138"/>
      <c r="W98" s="2138"/>
      <c r="X98" s="2138"/>
      <c r="Y98" s="2138"/>
      <c r="Z98" s="2138"/>
      <c r="AA98" s="2138"/>
      <c r="AB98" s="2069"/>
      <c r="AC98" s="2069"/>
      <c r="AD98" s="2069"/>
      <c r="AE98" s="2069"/>
      <c r="AF98" s="2069"/>
      <c r="AG98" s="2069"/>
      <c r="AH98" s="2139"/>
      <c r="AI98" s="1192"/>
      <c r="AJ98" s="2123"/>
      <c r="AK98" s="2124"/>
      <c r="AL98" s="2124"/>
      <c r="AM98" s="2124"/>
      <c r="AN98" s="2124"/>
      <c r="AO98" s="2124"/>
      <c r="AP98" s="2124"/>
      <c r="AQ98" s="2124"/>
      <c r="AR98" s="2124"/>
      <c r="AS98" s="2124"/>
      <c r="AT98" s="2124"/>
      <c r="AU98" s="2124"/>
      <c r="AV98" s="2124"/>
      <c r="AW98" s="2124"/>
      <c r="AX98" s="2124"/>
      <c r="AY98" s="2142"/>
      <c r="AZ98" s="2142"/>
      <c r="BA98" s="2142"/>
      <c r="BB98" s="214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4" t="s">
        <v>2372</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2"/>
      <c r="AJ99" s="2123"/>
      <c r="AK99" s="2124"/>
      <c r="AL99" s="2124"/>
      <c r="AM99" s="2124"/>
      <c r="AN99" s="2124"/>
      <c r="AO99" s="2124"/>
      <c r="AP99" s="2124"/>
      <c r="AQ99" s="2124"/>
      <c r="AR99" s="2124"/>
      <c r="AS99" s="2124"/>
      <c r="AT99" s="2124"/>
      <c r="AU99" s="2124"/>
      <c r="AV99" s="2124"/>
      <c r="AW99" s="2124"/>
      <c r="AX99" s="2124"/>
      <c r="AY99" s="2142"/>
      <c r="AZ99" s="2142"/>
      <c r="BA99" s="2142"/>
      <c r="BB99" s="2143"/>
      <c r="BC99" s="1192"/>
      <c r="BD99" s="1192"/>
      <c r="BE99" s="1196"/>
      <c r="CM99" s="1190"/>
      <c r="CN99" s="1190"/>
      <c r="CO99" s="1190"/>
      <c r="CP99" s="1190"/>
    </row>
    <row r="100" spans="1:94" ht="15.75" customHeight="1">
      <c r="A100" s="1192"/>
      <c r="B100" s="2134" t="s">
        <v>2371</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2"/>
      <c r="AJ100" s="2039" t="s">
        <v>2378</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2"/>
      <c r="BD100" s="1192"/>
      <c r="BE100" s="1196"/>
      <c r="CM100" s="1190"/>
      <c r="CN100" s="1190"/>
      <c r="CO100" s="1190"/>
      <c r="CP100" s="1190"/>
    </row>
    <row r="101" spans="1:94" ht="15.75" customHeight="1" thickBot="1">
      <c r="A101" s="1192"/>
      <c r="B101" s="2129" t="s">
        <v>2370</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2"/>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3"/>
      <c r="G104" s="2094"/>
      <c r="H104" s="2094"/>
      <c r="I104" s="2094"/>
      <c r="J104" s="2094"/>
      <c r="K104" s="2094"/>
      <c r="L104" s="2094"/>
      <c r="M104" s="2094"/>
      <c r="N104" s="2094"/>
      <c r="O104" s="2094"/>
      <c r="P104" s="2094"/>
      <c r="Q104" s="2094"/>
      <c r="R104" s="209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5" t="str">
        <f>IFERROR(INDEX(BR96:BR98,MATCH(F104,$BQ$96:$BQ$98,0))/SUM($BR$96:$BR$98),"")</f>
        <v/>
      </c>
      <c r="P105" s="2136"/>
      <c r="Q105" s="2136"/>
      <c r="R105" s="213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2" t="s">
        <v>2375</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4"/>
      <c r="C108" s="2099"/>
      <c r="D108" s="2099"/>
      <c r="E108" s="2099"/>
      <c r="F108" s="2099"/>
      <c r="G108" s="2099"/>
      <c r="H108" s="2099"/>
      <c r="I108" s="2099" t="s">
        <v>2374</v>
      </c>
      <c r="J108" s="2099"/>
      <c r="K108" s="2099"/>
      <c r="L108" s="2099"/>
      <c r="M108" s="2099"/>
      <c r="N108" s="2099"/>
      <c r="O108" s="2099" t="s">
        <v>2350</v>
      </c>
      <c r="P108" s="2099"/>
      <c r="Q108" s="2099"/>
      <c r="R108" s="2099"/>
      <c r="S108" s="2099"/>
      <c r="T108" s="2099"/>
      <c r="U108" s="2099"/>
      <c r="V108" s="2138" t="s">
        <v>2349</v>
      </c>
      <c r="W108" s="2138"/>
      <c r="X108" s="2138"/>
      <c r="Y108" s="2138"/>
      <c r="Z108" s="2138"/>
      <c r="AA108" s="2138"/>
      <c r="AB108" s="2069" t="s">
        <v>2373</v>
      </c>
      <c r="AC108" s="2069"/>
      <c r="AD108" s="2069"/>
      <c r="AE108" s="2069"/>
      <c r="AF108" s="2069"/>
      <c r="AG108" s="2069"/>
      <c r="AH108" s="213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4"/>
      <c r="C109" s="2099"/>
      <c r="D109" s="2099"/>
      <c r="E109" s="2099"/>
      <c r="F109" s="2099"/>
      <c r="G109" s="2099"/>
      <c r="H109" s="2099"/>
      <c r="I109" s="2099"/>
      <c r="J109" s="2099"/>
      <c r="K109" s="2099"/>
      <c r="L109" s="2099"/>
      <c r="M109" s="2099"/>
      <c r="N109" s="2099"/>
      <c r="O109" s="2099"/>
      <c r="P109" s="2099"/>
      <c r="Q109" s="2099"/>
      <c r="R109" s="2099"/>
      <c r="S109" s="2099"/>
      <c r="T109" s="2099"/>
      <c r="U109" s="2099"/>
      <c r="V109" s="2138"/>
      <c r="W109" s="2138"/>
      <c r="X109" s="2138"/>
      <c r="Y109" s="2138"/>
      <c r="Z109" s="2138"/>
      <c r="AA109" s="2138"/>
      <c r="AB109" s="2069"/>
      <c r="AC109" s="2069"/>
      <c r="AD109" s="2069"/>
      <c r="AE109" s="2069"/>
      <c r="AF109" s="2069"/>
      <c r="AG109" s="2069"/>
      <c r="AH109" s="213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4" t="s">
        <v>2372</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4" t="s">
        <v>2371</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9" t="s">
        <v>2370</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1"/>
      <c r="G115" s="2132"/>
      <c r="H115" s="2132"/>
      <c r="I115" s="2132"/>
      <c r="J115" s="2132"/>
      <c r="K115" s="2132"/>
      <c r="L115" s="2132"/>
      <c r="M115" s="2132"/>
      <c r="N115" s="2132"/>
      <c r="O115" s="2132"/>
      <c r="P115" s="2132"/>
      <c r="Q115" s="2132"/>
      <c r="R115" s="213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4" t="s">
        <v>2368</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2" t="s">
        <v>2368</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0" t="s">
        <v>2366</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6"/>
    </row>
    <row r="126" spans="1:57" ht="15.75" customHeight="1">
      <c r="A126" s="1192"/>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2"/>
      <c r="W126" s="1192"/>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6"/>
    </row>
    <row r="127" spans="1:57" ht="15.75" customHeight="1">
      <c r="A127" s="1192"/>
      <c r="B127" s="2036"/>
      <c r="C127" s="2037"/>
      <c r="D127" s="2037"/>
      <c r="E127" s="2037"/>
      <c r="F127" s="2037"/>
      <c r="G127" s="2037"/>
      <c r="H127" s="2037"/>
      <c r="I127" s="2099" t="s">
        <v>2365</v>
      </c>
      <c r="J127" s="2099"/>
      <c r="K127" s="2099"/>
      <c r="L127" s="2099"/>
      <c r="M127" s="2099"/>
      <c r="N127" s="2099"/>
      <c r="O127" s="2100" t="s">
        <v>2364</v>
      </c>
      <c r="P127" s="2100"/>
      <c r="Q127" s="2100"/>
      <c r="R127" s="2100"/>
      <c r="S127" s="2100"/>
      <c r="T127" s="2100"/>
      <c r="U127" s="2101"/>
      <c r="V127" s="1192"/>
      <c r="W127" s="1192"/>
      <c r="X127" s="2039" t="s">
        <v>2334</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6"/>
    </row>
    <row r="128" spans="1:57" ht="15.75" customHeight="1">
      <c r="A128" s="1192"/>
      <c r="B128" s="2070" t="s">
        <v>2348</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2"/>
      <c r="W128" s="1192"/>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6"/>
    </row>
    <row r="129" spans="1:57" ht="15.75" customHeight="1" thickBot="1">
      <c r="A129" s="1192"/>
      <c r="B129" s="2064" t="s">
        <v>2347</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2"/>
      <c r="W129" s="1192"/>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6"/>
    </row>
    <row r="133" spans="1:57" ht="15.75" customHeight="1">
      <c r="A133" s="1192"/>
      <c r="B133" s="2096" t="s">
        <v>2362</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2"/>
      <c r="W133" s="1192"/>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6"/>
    </row>
    <row r="134" spans="1:57" ht="15.75" customHeight="1">
      <c r="A134" s="1192"/>
      <c r="B134" s="2036"/>
      <c r="C134" s="2037"/>
      <c r="D134" s="2037"/>
      <c r="E134" s="2037"/>
      <c r="F134" s="2037"/>
      <c r="G134" s="2037"/>
      <c r="H134" s="2037"/>
      <c r="I134" s="2074" t="s">
        <v>2350</v>
      </c>
      <c r="J134" s="2074"/>
      <c r="K134" s="2074"/>
      <c r="L134" s="2074"/>
      <c r="M134" s="2074"/>
      <c r="N134" s="2074"/>
      <c r="O134" s="2074"/>
      <c r="P134" s="2074" t="s">
        <v>2349</v>
      </c>
      <c r="Q134" s="2074"/>
      <c r="R134" s="2074"/>
      <c r="S134" s="2074"/>
      <c r="T134" s="2074"/>
      <c r="U134" s="2075"/>
      <c r="V134" s="1192"/>
      <c r="W134" s="1192"/>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6"/>
    </row>
    <row r="135" spans="1:57" ht="15.75" customHeight="1">
      <c r="A135" s="1192"/>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2"/>
      <c r="W135" s="1192"/>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6"/>
    </row>
    <row r="136" spans="1:57" ht="15.75" customHeight="1">
      <c r="A136" s="1192"/>
      <c r="B136" s="2070" t="s">
        <v>2348</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2"/>
      <c r="W136" s="1192"/>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6"/>
    </row>
    <row r="137" spans="1:57" ht="15.75" customHeight="1" thickBot="1">
      <c r="A137" s="1192"/>
      <c r="B137" s="2064" t="s">
        <v>2347</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2"/>
      <c r="W137" s="1192"/>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1" t="s">
        <v>2361</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2"/>
      <c r="AZ139" s="1192"/>
      <c r="BA139" s="1192"/>
      <c r="BB139" s="1192"/>
      <c r="BC139" s="1192"/>
      <c r="BD139" s="1192"/>
      <c r="BE139" s="1196"/>
    </row>
    <row r="140" spans="1:57" ht="15.75" customHeight="1" thickBot="1">
      <c r="A140" s="1192"/>
      <c r="B140" s="2076" t="s">
        <v>2360</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2"/>
      <c r="AZ140" s="1192"/>
      <c r="BA140" s="1192"/>
      <c r="BB140" s="1192"/>
      <c r="BC140" s="1192"/>
      <c r="BD140" s="1192"/>
      <c r="BE140" s="1196"/>
    </row>
    <row r="141" spans="1:57" ht="15.75" customHeight="1">
      <c r="A141" s="1192"/>
      <c r="B141" s="2076" t="s">
        <v>2359</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2"/>
      <c r="AZ141" s="1192"/>
      <c r="BA141" s="1192"/>
      <c r="BB141" s="1192"/>
      <c r="BC141" s="1192"/>
      <c r="BD141" s="1192"/>
      <c r="BE141" s="1196"/>
    </row>
    <row r="142" spans="1:57" ht="15.75" customHeight="1">
      <c r="A142" s="1192"/>
      <c r="B142" s="2081" t="s">
        <v>2358</v>
      </c>
      <c r="C142" s="2082"/>
      <c r="D142" s="2082"/>
      <c r="E142" s="2082"/>
      <c r="F142" s="2082"/>
      <c r="G142" s="2082"/>
      <c r="H142" s="2082"/>
      <c r="I142" s="2082"/>
      <c r="J142" s="2082"/>
      <c r="K142" s="2082"/>
      <c r="L142" s="2082"/>
      <c r="M142" s="2082"/>
      <c r="N142" s="2082"/>
      <c r="O142" s="2082"/>
      <c r="P142" s="2082"/>
      <c r="Q142" s="2082"/>
      <c r="R142" s="2083" t="s">
        <v>2357</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2"/>
      <c r="AZ142" s="1192"/>
      <c r="BA142" s="1192"/>
      <c r="BB142" s="1192"/>
      <c r="BC142" s="1192" t="s">
        <v>250</v>
      </c>
      <c r="BD142" s="1192"/>
      <c r="BE142" s="1196"/>
    </row>
    <row r="143" spans="1:57" ht="15.75" customHeight="1">
      <c r="A143" s="1192"/>
      <c r="B143" s="2085" t="s">
        <v>2356</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2"/>
      <c r="AZ143" s="1192"/>
      <c r="BA143" s="1192"/>
      <c r="BB143" s="1192"/>
      <c r="BC143" s="1192"/>
      <c r="BD143" s="1192"/>
      <c r="BE143" s="1196"/>
    </row>
    <row r="144" spans="1:57" ht="15.75" customHeight="1">
      <c r="A144" s="1192"/>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2"/>
      <c r="AZ144" s="1192"/>
      <c r="BA144" s="1192"/>
      <c r="BB144" s="1192"/>
      <c r="BC144" s="1192"/>
      <c r="BD144" s="1192"/>
      <c r="BE144" s="1196"/>
    </row>
    <row r="145" spans="1:57" ht="15.75" customHeight="1">
      <c r="A145" s="1192"/>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2"/>
      <c r="AZ145" s="1192"/>
      <c r="BA145" s="1192"/>
      <c r="BB145" s="1192"/>
      <c r="BC145" s="1192"/>
      <c r="BD145" s="1192"/>
      <c r="BE145" s="1196"/>
    </row>
    <row r="146" spans="1:57" ht="15.75" customHeight="1">
      <c r="A146" s="1192"/>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2"/>
      <c r="AZ146" s="1192"/>
      <c r="BA146" s="1192"/>
      <c r="BB146" s="1192"/>
      <c r="BC146" s="1192"/>
      <c r="BD146" s="1192"/>
      <c r="BE146" s="1196"/>
    </row>
    <row r="147" spans="1:57" ht="15.75" customHeight="1">
      <c r="A147" s="1192"/>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2"/>
      <c r="AZ147" s="1192"/>
      <c r="BA147" s="1192"/>
      <c r="BB147" s="1192"/>
      <c r="BC147" s="1192"/>
      <c r="BD147" s="1192"/>
      <c r="BE147" s="1196"/>
    </row>
    <row r="148" spans="1:57" ht="15.75" customHeight="1">
      <c r="A148" s="1192"/>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2"/>
      <c r="AZ148" s="1192"/>
      <c r="BA148" s="1192"/>
      <c r="BB148" s="1192"/>
      <c r="BC148" s="1192"/>
      <c r="BD148" s="1192"/>
      <c r="BE148" s="1196"/>
    </row>
    <row r="149" spans="1:57" ht="15.75" customHeight="1">
      <c r="A149" s="1192"/>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2"/>
      <c r="AZ149" s="1192"/>
      <c r="BA149" s="1192"/>
      <c r="BB149" s="1192"/>
      <c r="BC149" s="1192"/>
      <c r="BD149" s="1192"/>
      <c r="BE149" s="1196"/>
    </row>
    <row r="150" spans="1:57" ht="15.75" customHeight="1">
      <c r="A150" s="1192"/>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2"/>
      <c r="AZ150" s="1192"/>
      <c r="BA150" s="1192"/>
      <c r="BB150" s="1192"/>
      <c r="BC150" s="1192"/>
      <c r="BD150" s="1192"/>
      <c r="BE150" s="1196"/>
    </row>
    <row r="151" spans="1:57" ht="15.75" customHeight="1">
      <c r="A151" s="1192"/>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2"/>
      <c r="AZ151" s="1192"/>
      <c r="BA151" s="1192"/>
      <c r="BB151" s="1192"/>
      <c r="BC151" s="1192"/>
      <c r="BD151" s="1192"/>
      <c r="BE151" s="1196"/>
    </row>
    <row r="152" spans="1:57" ht="15.75" customHeight="1" thickBot="1">
      <c r="A152" s="1192"/>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8" t="s">
        <v>2353</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2"/>
      <c r="W156" s="1194"/>
      <c r="X156" s="2068" t="s">
        <v>2352</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6"/>
      <c r="C157" s="2037"/>
      <c r="D157" s="2037"/>
      <c r="E157" s="2037"/>
      <c r="F157" s="2037"/>
      <c r="G157" s="2037"/>
      <c r="H157" s="2037"/>
      <c r="I157" s="2074" t="s">
        <v>2350</v>
      </c>
      <c r="J157" s="2074"/>
      <c r="K157" s="2074"/>
      <c r="L157" s="2074"/>
      <c r="M157" s="2074"/>
      <c r="N157" s="2074"/>
      <c r="O157" s="2074"/>
      <c r="P157" s="2074" t="s">
        <v>2351</v>
      </c>
      <c r="Q157" s="2074"/>
      <c r="R157" s="2074"/>
      <c r="S157" s="2074"/>
      <c r="T157" s="2074"/>
      <c r="U157" s="2075"/>
      <c r="V157" s="1192"/>
      <c r="W157" s="1192"/>
      <c r="X157" s="2036"/>
      <c r="Y157" s="2037"/>
      <c r="Z157" s="2037"/>
      <c r="AA157" s="2037"/>
      <c r="AB157" s="2037"/>
      <c r="AC157" s="2037"/>
      <c r="AD157" s="2037"/>
      <c r="AE157" s="2074" t="s">
        <v>2350</v>
      </c>
      <c r="AF157" s="2074"/>
      <c r="AG157" s="2074"/>
      <c r="AH157" s="2074"/>
      <c r="AI157" s="2074"/>
      <c r="AJ157" s="2074"/>
      <c r="AK157" s="2074"/>
      <c r="AL157" s="2074" t="s">
        <v>2349</v>
      </c>
      <c r="AM157" s="2074"/>
      <c r="AN157" s="2074"/>
      <c r="AO157" s="2074"/>
      <c r="AP157" s="2074"/>
      <c r="AQ157" s="207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2"/>
      <c r="W158" s="1192"/>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0" t="s">
        <v>2348</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2"/>
      <c r="W159" s="1192"/>
      <c r="X159" s="2064" t="s">
        <v>2348</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4" t="s">
        <v>2347</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8" t="s">
        <v>2346</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6" t="s">
        <v>2331</v>
      </c>
      <c r="D163" s="2037"/>
      <c r="E163" s="2037"/>
      <c r="F163" s="2037"/>
      <c r="G163" s="2037"/>
      <c r="H163" s="2037"/>
      <c r="I163" s="2037"/>
      <c r="J163" s="2037"/>
      <c r="K163" s="2037"/>
      <c r="L163" s="2037"/>
      <c r="M163" s="2037"/>
      <c r="N163" s="2037"/>
      <c r="O163" s="2037"/>
      <c r="P163" s="2037"/>
      <c r="Q163" s="2037" t="s">
        <v>2345</v>
      </c>
      <c r="R163" s="2037"/>
      <c r="S163" s="2037"/>
      <c r="T163" s="2069" t="s">
        <v>2344</v>
      </c>
      <c r="U163" s="2069"/>
      <c r="V163" s="2069"/>
      <c r="W163" s="2069"/>
      <c r="X163" s="2069"/>
      <c r="Y163" s="2069"/>
      <c r="Z163" s="2069"/>
      <c r="AA163" s="2069"/>
      <c r="AB163" s="2037" t="s">
        <v>2343</v>
      </c>
      <c r="AC163" s="2037"/>
      <c r="AD163" s="2037"/>
      <c r="AE163" s="2037"/>
      <c r="AF163" s="2037"/>
      <c r="AG163" s="203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1" t="s">
        <v>2342</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1" t="s">
        <v>2341</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1" t="s">
        <v>2340</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1" t="s">
        <v>2339</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1" t="s">
        <v>170</v>
      </c>
      <c r="D168" s="2052"/>
      <c r="E168" s="2052"/>
      <c r="F168" s="2053" t="s">
        <v>2320</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1" t="s">
        <v>170</v>
      </c>
      <c r="D169" s="2052"/>
      <c r="E169" s="2052"/>
      <c r="F169" s="2053" t="s">
        <v>2320</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7" t="s">
        <v>170</v>
      </c>
      <c r="D170" s="2058"/>
      <c r="E170" s="2058"/>
      <c r="F170" s="2059" t="s">
        <v>2320</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2" t="s">
        <v>2338</v>
      </c>
      <c r="D172" s="2023"/>
      <c r="E172" s="2023"/>
      <c r="F172" s="2023"/>
      <c r="G172" s="2023"/>
      <c r="H172" s="2023"/>
      <c r="I172" s="2023"/>
      <c r="J172" s="2023"/>
      <c r="K172" s="2023"/>
      <c r="L172" s="2023"/>
      <c r="M172" s="2023"/>
      <c r="N172" s="2032"/>
      <c r="O172" s="1192"/>
      <c r="P172" s="2033" t="s">
        <v>2337</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6" t="s">
        <v>2336</v>
      </c>
      <c r="D173" s="2037"/>
      <c r="E173" s="2037"/>
      <c r="F173" s="2037"/>
      <c r="G173" s="2037"/>
      <c r="H173" s="2037"/>
      <c r="I173" s="2037" t="s">
        <v>2335</v>
      </c>
      <c r="J173" s="2037"/>
      <c r="K173" s="2037"/>
      <c r="L173" s="2037"/>
      <c r="M173" s="2037"/>
      <c r="N173" s="2038"/>
      <c r="O173" s="1192"/>
      <c r="P173" s="2039" t="s">
        <v>2334</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4"/>
      <c r="D174" s="1985"/>
      <c r="E174" s="1985"/>
      <c r="F174" s="1985"/>
      <c r="G174" s="1985"/>
      <c r="H174" s="1985"/>
      <c r="I174" s="2045"/>
      <c r="J174" s="2045"/>
      <c r="K174" s="2045"/>
      <c r="L174" s="2045"/>
      <c r="M174" s="2045"/>
      <c r="N174" s="2046"/>
      <c r="O174" s="1192"/>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4"/>
      <c r="D175" s="1985"/>
      <c r="E175" s="1985"/>
      <c r="F175" s="1985"/>
      <c r="G175" s="1985"/>
      <c r="H175" s="1985"/>
      <c r="I175" s="2045"/>
      <c r="J175" s="2045"/>
      <c r="K175" s="2045"/>
      <c r="L175" s="2045"/>
      <c r="M175" s="2045"/>
      <c r="N175" s="2046"/>
      <c r="O175" s="1192"/>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4"/>
      <c r="D176" s="1985"/>
      <c r="E176" s="1985"/>
      <c r="F176" s="1985"/>
      <c r="G176" s="1985"/>
      <c r="H176" s="1985"/>
      <c r="I176" s="2045"/>
      <c r="J176" s="2045"/>
      <c r="K176" s="2045"/>
      <c r="L176" s="2045"/>
      <c r="M176" s="2045"/>
      <c r="N176" s="2046"/>
      <c r="O176" s="1192"/>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4"/>
      <c r="D177" s="1985"/>
      <c r="E177" s="1985"/>
      <c r="F177" s="1985"/>
      <c r="G177" s="1985"/>
      <c r="H177" s="1985"/>
      <c r="I177" s="2045"/>
      <c r="J177" s="2045"/>
      <c r="K177" s="2045"/>
      <c r="L177" s="2045"/>
      <c r="M177" s="2045"/>
      <c r="N177" s="2046"/>
      <c r="O177" s="1192"/>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4"/>
      <c r="D178" s="1985"/>
      <c r="E178" s="1985"/>
      <c r="F178" s="1985"/>
      <c r="G178" s="1985"/>
      <c r="H178" s="1985"/>
      <c r="I178" s="2045"/>
      <c r="J178" s="2045"/>
      <c r="K178" s="2045"/>
      <c r="L178" s="2045"/>
      <c r="M178" s="2045"/>
      <c r="N178" s="2046"/>
      <c r="O178" s="1192"/>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4"/>
      <c r="D179" s="1985"/>
      <c r="E179" s="1985"/>
      <c r="F179" s="1985"/>
      <c r="G179" s="1985"/>
      <c r="H179" s="1985"/>
      <c r="I179" s="2045"/>
      <c r="J179" s="2045"/>
      <c r="K179" s="2045"/>
      <c r="L179" s="2045"/>
      <c r="M179" s="2045"/>
      <c r="N179" s="2046"/>
      <c r="O179" s="1192"/>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7"/>
      <c r="D180" s="2048"/>
      <c r="E180" s="2048"/>
      <c r="F180" s="2048"/>
      <c r="G180" s="2048"/>
      <c r="H180" s="2048"/>
      <c r="I180" s="2049"/>
      <c r="J180" s="2049"/>
      <c r="K180" s="2049"/>
      <c r="L180" s="2049"/>
      <c r="M180" s="2049"/>
      <c r="N180" s="2050"/>
      <c r="O180" s="1192"/>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3" t="s">
        <v>2333</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2"/>
      <c r="AG182" s="1192"/>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2"/>
      <c r="B183" s="1192"/>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2"/>
      <c r="AG183" s="1192"/>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2"/>
      <c r="B184" s="1192"/>
      <c r="C184" s="2022" t="s">
        <v>2331</v>
      </c>
      <c r="D184" s="2023"/>
      <c r="E184" s="2023"/>
      <c r="F184" s="2023"/>
      <c r="G184" s="2023"/>
      <c r="H184" s="2023"/>
      <c r="I184" s="2023"/>
      <c r="J184" s="2023"/>
      <c r="K184" s="2023"/>
      <c r="L184" s="2023"/>
      <c r="M184" s="2023"/>
      <c r="N184" s="2023" t="s">
        <v>2332</v>
      </c>
      <c r="O184" s="2023"/>
      <c r="P184" s="2023"/>
      <c r="Q184" s="2023"/>
      <c r="R184" s="2023"/>
      <c r="S184" s="2023"/>
      <c r="T184" s="2023"/>
      <c r="U184" s="2024" t="s">
        <v>2331</v>
      </c>
      <c r="V184" s="2024"/>
      <c r="W184" s="2024"/>
      <c r="X184" s="2024"/>
      <c r="Y184" s="2024"/>
      <c r="Z184" s="2024"/>
      <c r="AA184" s="2024"/>
      <c r="AB184" s="2024"/>
      <c r="AC184" s="2024"/>
      <c r="AD184" s="2024"/>
      <c r="AE184" s="2025"/>
      <c r="AF184" s="1192"/>
      <c r="AG184" s="1192"/>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2"/>
      <c r="B185" s="1192"/>
      <c r="C185" s="2001" t="s">
        <v>2330</v>
      </c>
      <c r="D185" s="2002"/>
      <c r="E185" s="2002"/>
      <c r="F185" s="2002"/>
      <c r="G185" s="2002"/>
      <c r="H185" s="2002"/>
      <c r="I185" s="2002"/>
      <c r="J185" s="2002"/>
      <c r="K185" s="2002"/>
      <c r="L185" s="2002"/>
      <c r="M185" s="2002"/>
      <c r="N185" s="2012">
        <f>'Sources and Uses Budget'!B105</f>
        <v>72459026</v>
      </c>
      <c r="O185" s="2012"/>
      <c r="P185" s="2012"/>
      <c r="Q185" s="2012"/>
      <c r="R185" s="2012"/>
      <c r="S185" s="2012"/>
      <c r="T185" s="2012"/>
      <c r="U185" s="2026"/>
      <c r="V185" s="2026"/>
      <c r="W185" s="2026"/>
      <c r="X185" s="2026"/>
      <c r="Y185" s="2026"/>
      <c r="Z185" s="2026"/>
      <c r="AA185" s="2026"/>
      <c r="AB185" s="2026"/>
      <c r="AC185" s="2026"/>
      <c r="AD185" s="2026"/>
      <c r="AE185" s="2027"/>
      <c r="AF185" s="1192"/>
      <c r="AG185" s="1192"/>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2"/>
      <c r="B186" s="1192"/>
      <c r="C186" s="2001" t="s">
        <v>2329</v>
      </c>
      <c r="D186" s="2002"/>
      <c r="E186" s="2002"/>
      <c r="F186" s="2002"/>
      <c r="G186" s="2002"/>
      <c r="H186" s="2002"/>
      <c r="I186" s="2002"/>
      <c r="J186" s="2002"/>
      <c r="K186" s="2002"/>
      <c r="L186" s="2002"/>
      <c r="M186" s="2002"/>
      <c r="N186" s="2012">
        <f>N185/J29</f>
        <v>503187.68055555556</v>
      </c>
      <c r="O186" s="2012"/>
      <c r="P186" s="2012"/>
      <c r="Q186" s="2012"/>
      <c r="R186" s="2012"/>
      <c r="S186" s="2012"/>
      <c r="T186" s="2012"/>
      <c r="U186" s="1232"/>
      <c r="V186" s="1232"/>
      <c r="W186" s="1232"/>
      <c r="X186" s="1232"/>
      <c r="Y186" s="1232"/>
      <c r="Z186" s="1232"/>
      <c r="AA186" s="1232"/>
      <c r="AB186" s="1232"/>
      <c r="AC186" s="1232"/>
      <c r="AD186" s="1232"/>
      <c r="AE186" s="1233"/>
      <c r="AF186" s="1192"/>
      <c r="AG186" s="1192"/>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2"/>
      <c r="B187" s="1192"/>
      <c r="C187" s="2028" t="s">
        <v>2328</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2"/>
      <c r="AG187" s="1192"/>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2"/>
      <c r="B188" s="1192"/>
      <c r="C188" s="2001" t="s">
        <v>2327</v>
      </c>
      <c r="D188" s="2002"/>
      <c r="E188" s="2002"/>
      <c r="F188" s="2002"/>
      <c r="G188" s="2002"/>
      <c r="H188" s="2002"/>
      <c r="I188" s="2002"/>
      <c r="J188" s="2002"/>
      <c r="K188" s="2002"/>
      <c r="L188" s="2002"/>
      <c r="M188" s="2002"/>
      <c r="N188" s="2031">
        <f>SUM('Sources and Uses Budget'!B85:B86)</f>
        <v>0</v>
      </c>
      <c r="O188" s="2031"/>
      <c r="P188" s="2031"/>
      <c r="Q188" s="2031"/>
      <c r="R188" s="2031"/>
      <c r="S188" s="2031"/>
      <c r="T188" s="2031"/>
      <c r="U188" s="1988"/>
      <c r="V188" s="1988"/>
      <c r="W188" s="1988"/>
      <c r="X188" s="1988"/>
      <c r="Y188" s="1988"/>
      <c r="Z188" s="1988"/>
      <c r="AA188" s="1988"/>
      <c r="AB188" s="1988"/>
      <c r="AC188" s="1988"/>
      <c r="AD188" s="1988"/>
      <c r="AE188" s="1989"/>
      <c r="AF188" s="1192"/>
      <c r="AG188" s="1192"/>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2"/>
      <c r="B189" s="1192"/>
      <c r="C189" s="2001" t="s">
        <v>2326</v>
      </c>
      <c r="D189" s="2002"/>
      <c r="E189" s="2002"/>
      <c r="F189" s="2002"/>
      <c r="G189" s="2002"/>
      <c r="H189" s="2002"/>
      <c r="I189" s="2002"/>
      <c r="J189" s="2002"/>
      <c r="K189" s="2002"/>
      <c r="L189" s="2002"/>
      <c r="M189" s="2002"/>
      <c r="N189" s="2031">
        <f>'Sources and Uses Budget'!B8</f>
        <v>2736057</v>
      </c>
      <c r="O189" s="2031"/>
      <c r="P189" s="2031"/>
      <c r="Q189" s="2031"/>
      <c r="R189" s="2031"/>
      <c r="S189" s="2031"/>
      <c r="T189" s="2031"/>
      <c r="U189" s="1988"/>
      <c r="V189" s="1988"/>
      <c r="W189" s="1988"/>
      <c r="X189" s="1988"/>
      <c r="Y189" s="1988"/>
      <c r="Z189" s="1988"/>
      <c r="AA189" s="1988"/>
      <c r="AB189" s="1988"/>
      <c r="AC189" s="1988"/>
      <c r="AD189" s="1988"/>
      <c r="AE189" s="1989"/>
      <c r="AF189" s="1192"/>
      <c r="AG189" s="1192"/>
      <c r="AH189" s="1998" t="s">
        <v>2324</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2"/>
      <c r="B190" s="1192"/>
      <c r="C190" s="2001" t="s">
        <v>2325</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2"/>
      <c r="AG190" s="1192"/>
      <c r="AH190" s="2003" t="s">
        <v>2324</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2"/>
      <c r="B191" s="1192"/>
      <c r="C191" s="2001" t="s">
        <v>2323</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2"/>
      <c r="AG191" s="1192"/>
      <c r="AH191" s="2019" t="s">
        <v>2322</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2"/>
      <c r="B192" s="1192"/>
      <c r="C192" s="1993" t="s">
        <v>300</v>
      </c>
      <c r="D192" s="1994"/>
      <c r="E192" s="1986" t="s">
        <v>2320</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2"/>
      <c r="AG192" s="1192"/>
      <c r="AH192" s="1995" t="s">
        <v>2321</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2"/>
      <c r="B193" s="1192"/>
      <c r="C193" s="1984" t="s">
        <v>300</v>
      </c>
      <c r="D193" s="1985"/>
      <c r="E193" s="1986" t="s">
        <v>2320</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0"/>
      <c r="BD193" s="1991"/>
      <c r="BE193" s="1992"/>
    </row>
    <row r="194" spans="1:57" ht="15.75" customHeight="1" thickBot="1">
      <c r="A194" s="1192"/>
      <c r="B194" s="1192"/>
      <c r="C194" s="1972" t="s">
        <v>300</v>
      </c>
      <c r="D194" s="1973"/>
      <c r="E194" s="1974" t="s">
        <v>2320</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2"/>
      <c r="AG194" s="1192"/>
      <c r="AH194" s="1981" t="s">
        <v>2319</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3"/>
      <c r="BD194" s="1173"/>
      <c r="BE194" s="1236"/>
    </row>
    <row r="195" spans="1:57" ht="15.75" customHeight="1">
      <c r="A195" s="1192"/>
      <c r="B195" s="1192"/>
      <c r="C195" s="1955" t="s">
        <v>2318</v>
      </c>
      <c r="D195" s="1956"/>
      <c r="E195" s="1956"/>
      <c r="F195" s="1956"/>
      <c r="G195" s="1956"/>
      <c r="H195" s="1956"/>
      <c r="I195" s="1956"/>
      <c r="J195" s="1956"/>
      <c r="K195" s="1956"/>
      <c r="L195" s="1956"/>
      <c r="M195" s="1956"/>
      <c r="N195" s="1957">
        <f>SUM(N187:T194)</f>
        <v>2736057</v>
      </c>
      <c r="O195" s="1957"/>
      <c r="P195" s="1957"/>
      <c r="Q195" s="1957"/>
      <c r="R195" s="1957"/>
      <c r="S195" s="1957"/>
      <c r="T195" s="1958"/>
      <c r="U195" s="1192"/>
      <c r="V195" s="1192"/>
      <c r="W195" s="1192"/>
      <c r="X195" s="1192"/>
      <c r="Y195" s="1192"/>
      <c r="Z195" s="1192"/>
      <c r="AA195" s="1192"/>
      <c r="AB195" s="1192"/>
      <c r="AC195" s="1192"/>
      <c r="AD195" s="1192"/>
      <c r="AE195" s="1192"/>
      <c r="AF195" s="1192"/>
      <c r="AG195" s="1192"/>
      <c r="AH195" s="1959" t="s">
        <v>2317</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2"/>
      <c r="B196" s="1192"/>
      <c r="C196" s="1965" t="s">
        <v>2316</v>
      </c>
      <c r="D196" s="1966"/>
      <c r="E196" s="1966"/>
      <c r="F196" s="1966"/>
      <c r="G196" s="1966"/>
      <c r="H196" s="1966"/>
      <c r="I196" s="1966"/>
      <c r="J196" s="1966"/>
      <c r="K196" s="1966"/>
      <c r="L196" s="1966"/>
      <c r="M196" s="1966"/>
      <c r="N196" s="1967">
        <f>(N185-N195)/J29</f>
        <v>484187.28472222225</v>
      </c>
      <c r="O196" s="1968"/>
      <c r="P196" s="1968"/>
      <c r="Q196" s="1968"/>
      <c r="R196" s="1968"/>
      <c r="S196" s="1968"/>
      <c r="T196" s="1969"/>
      <c r="U196" s="1197"/>
      <c r="V196" s="1192"/>
      <c r="W196" s="1192"/>
      <c r="X196" s="1192"/>
      <c r="Y196" s="1192"/>
      <c r="Z196" s="1192"/>
      <c r="AA196" s="1192"/>
      <c r="AB196" s="1192"/>
      <c r="AC196" s="1192"/>
      <c r="AD196" s="1192"/>
      <c r="AE196" s="1192"/>
      <c r="AF196" s="1192"/>
      <c r="AG196" s="1192"/>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0" t="s">
        <v>2315</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3" t="s">
        <v>2314</v>
      </c>
      <c r="D200" s="1953"/>
      <c r="E200" s="1953"/>
      <c r="F200" s="1953"/>
      <c r="G200" s="1953"/>
      <c r="H200" s="1953"/>
      <c r="I200" s="1953"/>
      <c r="J200" s="1953"/>
      <c r="K200" s="1953"/>
      <c r="L200" s="1953"/>
      <c r="M200" s="1953"/>
      <c r="N200" s="1953"/>
      <c r="O200" s="1954" t="s">
        <v>2313</v>
      </c>
      <c r="P200" s="1954"/>
      <c r="Q200" s="1954"/>
      <c r="R200" s="1954"/>
      <c r="S200" s="1954"/>
      <c r="T200" s="1954"/>
      <c r="U200" s="1954"/>
      <c r="V200" s="1954"/>
      <c r="W200" s="1954"/>
      <c r="X200" s="1954" t="s">
        <v>2312</v>
      </c>
      <c r="Y200" s="1954"/>
      <c r="Z200" s="1954"/>
      <c r="AA200" s="1954"/>
      <c r="AB200" s="1954"/>
      <c r="AC200" s="1954"/>
      <c r="AD200" s="1954"/>
      <c r="AE200" s="19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5" t="s">
        <v>2311</v>
      </c>
      <c r="D201" s="1945"/>
      <c r="E201" s="1945"/>
      <c r="F201" s="1945"/>
      <c r="G201" s="1945"/>
      <c r="H201" s="1945"/>
      <c r="I201" s="1945"/>
      <c r="J201" s="1945"/>
      <c r="K201" s="1945"/>
      <c r="L201" s="1945"/>
      <c r="M201" s="1945"/>
      <c r="N201" s="1945"/>
      <c r="O201" s="1946" t="s">
        <v>2310</v>
      </c>
      <c r="P201" s="1946"/>
      <c r="Q201" s="1946"/>
      <c r="R201" s="1946"/>
      <c r="S201" s="1946"/>
      <c r="T201" s="1946"/>
      <c r="U201" s="1946"/>
      <c r="V201" s="1946"/>
      <c r="W201" s="1946"/>
      <c r="X201" s="1947">
        <v>0.03</v>
      </c>
      <c r="Y201" s="1947"/>
      <c r="Z201" s="1947"/>
      <c r="AA201" s="1947"/>
      <c r="AB201" s="1947"/>
      <c r="AC201" s="1947"/>
      <c r="AD201" s="1947"/>
      <c r="AE201" s="19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5" t="s">
        <v>855</v>
      </c>
      <c r="D202" s="1945"/>
      <c r="E202" s="1945"/>
      <c r="F202" s="1945"/>
      <c r="G202" s="1945"/>
      <c r="H202" s="1945"/>
      <c r="I202" s="1945"/>
      <c r="J202" s="1945"/>
      <c r="K202" s="1945"/>
      <c r="L202" s="1945"/>
      <c r="M202" s="1945"/>
      <c r="N202" s="1945"/>
      <c r="O202" s="1946" t="s">
        <v>2310</v>
      </c>
      <c r="P202" s="1946"/>
      <c r="Q202" s="1946"/>
      <c r="R202" s="1946"/>
      <c r="S202" s="1946"/>
      <c r="T202" s="1946"/>
      <c r="U202" s="1946"/>
      <c r="V202" s="1946"/>
      <c r="W202" s="1946"/>
      <c r="X202" s="1947">
        <v>0.03</v>
      </c>
      <c r="Y202" s="1947"/>
      <c r="Z202" s="1947"/>
      <c r="AA202" s="1947"/>
      <c r="AB202" s="1947"/>
      <c r="AC202" s="1947"/>
      <c r="AD202" s="1947"/>
      <c r="AE202" s="19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5" t="s">
        <v>2309</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2308</v>
      </c>
      <c r="Y203" s="1949"/>
      <c r="Z203" s="1949"/>
      <c r="AA203" s="1949"/>
      <c r="AB203" s="1949"/>
      <c r="AC203" s="1949"/>
      <c r="AD203" s="1949"/>
      <c r="AE203" s="19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9" t="s">
        <v>2307</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0" t="s">
        <v>2306</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3" t="s">
        <v>2305</v>
      </c>
      <c r="D207" s="1924"/>
      <c r="E207" s="1924"/>
      <c r="F207" s="1925"/>
      <c r="G207" s="1929" t="s">
        <v>2304</v>
      </c>
      <c r="H207" s="1924"/>
      <c r="I207" s="1924"/>
      <c r="J207" s="1924"/>
      <c r="K207" s="1924"/>
      <c r="L207" s="1924"/>
      <c r="M207" s="1924"/>
      <c r="N207" s="1924"/>
      <c r="O207" s="1925"/>
      <c r="P207" s="1931" t="s">
        <v>2303</v>
      </c>
      <c r="Q207" s="1932"/>
      <c r="R207" s="1932"/>
      <c r="S207" s="1932"/>
      <c r="T207" s="1933"/>
      <c r="U207" s="1937" t="s">
        <v>2302</v>
      </c>
      <c r="V207" s="1938"/>
      <c r="W207" s="1938"/>
      <c r="X207" s="1939"/>
      <c r="Y207" s="1937" t="s">
        <v>2301</v>
      </c>
      <c r="Z207" s="1938"/>
      <c r="AA207" s="1938"/>
      <c r="AB207" s="1939"/>
      <c r="AC207" s="1937" t="s">
        <v>2300</v>
      </c>
      <c r="AD207" s="1938"/>
      <c r="AE207" s="1938"/>
      <c r="AF207" s="1939"/>
      <c r="AG207" s="1929" t="s">
        <v>2299</v>
      </c>
      <c r="AH207" s="1924"/>
      <c r="AI207" s="1924"/>
      <c r="AJ207" s="1924"/>
      <c r="AK207" s="194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4" t="s">
        <v>2298</v>
      </c>
      <c r="D216" s="1905"/>
      <c r="E216" s="1905"/>
      <c r="F216" s="1905"/>
      <c r="G216" s="1905"/>
      <c r="H216" s="1905"/>
      <c r="I216" s="1905"/>
      <c r="J216" s="1905"/>
      <c r="K216" s="1905"/>
      <c r="L216" s="1905"/>
      <c r="M216" s="1905"/>
      <c r="N216" s="1905"/>
      <c r="O216" s="1905"/>
      <c r="P216" s="1906"/>
      <c r="Q216" s="1906"/>
      <c r="R216" s="1906"/>
      <c r="S216" s="1906"/>
      <c r="T216" s="1906"/>
      <c r="U216" s="1907">
        <v>0</v>
      </c>
      <c r="V216" s="1907"/>
      <c r="W216" s="1907"/>
      <c r="X216" s="1907"/>
      <c r="Y216" s="1907">
        <v>0</v>
      </c>
      <c r="Z216" s="1907"/>
      <c r="AA216" s="1907"/>
      <c r="AB216" s="1907"/>
      <c r="AC216" s="1908">
        <v>0</v>
      </c>
      <c r="AD216" s="1908"/>
      <c r="AE216" s="1908"/>
      <c r="AF216" s="1908"/>
      <c r="AG216" s="1909"/>
      <c r="AH216" s="1910"/>
      <c r="AI216" s="1910"/>
      <c r="AJ216" s="1910"/>
      <c r="AK216" s="19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8" t="s">
        <v>2296</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6"/>
    </row>
    <row r="222" spans="1:57" ht="15.75" customHeight="1">
      <c r="A222" s="1192"/>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6"/>
    </row>
    <row r="223" spans="1:57" ht="15.75" customHeight="1">
      <c r="A223" s="1192"/>
      <c r="B223" s="1894" t="s">
        <v>2295</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6"/>
    </row>
    <row r="224" spans="1:57" ht="15.75" customHeight="1">
      <c r="A224" s="1192"/>
      <c r="B224" s="1894" t="s">
        <v>2294</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7" t="s">
        <v>2293</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0" t="s">
        <v>2291</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3" t="s">
        <v>2290</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2"/>
      <c r="BB232" s="1192"/>
      <c r="BC232" s="1192"/>
      <c r="BD232" s="1196"/>
      <c r="BE232" s="1196"/>
    </row>
    <row r="233" spans="1:57" ht="15.75" customHeight="1">
      <c r="A233" s="1192"/>
      <c r="B233" s="1191"/>
      <c r="C233" s="1192"/>
      <c r="D233" s="1192"/>
      <c r="E233" s="1192"/>
      <c r="F233" s="1192"/>
      <c r="G233" s="1192"/>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2"/>
      <c r="BB233" s="1192"/>
      <c r="BC233" s="1192"/>
      <c r="BD233" s="1196"/>
      <c r="BE233" s="1196"/>
    </row>
    <row r="234" spans="1:57" ht="15.75" customHeight="1">
      <c r="A234" s="1192"/>
      <c r="B234" s="1191"/>
      <c r="C234" s="1192"/>
      <c r="D234" s="1192"/>
      <c r="E234" s="1192"/>
      <c r="F234" s="1192"/>
      <c r="G234" s="1192"/>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2"/>
      <c r="BB234" s="1192"/>
      <c r="BC234" s="1192"/>
      <c r="BD234" s="1196"/>
      <c r="BE234" s="1196"/>
    </row>
    <row r="235" spans="1:57" ht="15.75" customHeight="1">
      <c r="A235" s="1192"/>
      <c r="B235" s="1191"/>
      <c r="C235" s="1192"/>
      <c r="D235" s="1192"/>
      <c r="E235" s="1192"/>
      <c r="F235" s="1192"/>
      <c r="G235" s="1192"/>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4" t="s">
        <v>2289</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4" t="s">
        <v>2288</v>
      </c>
      <c r="I239" s="1874"/>
      <c r="J239" s="1874"/>
      <c r="K239" s="1874"/>
      <c r="L239" s="1243"/>
      <c r="M239" s="1243"/>
      <c r="N239" s="1243"/>
      <c r="O239" s="1243"/>
      <c r="P239" s="1243"/>
      <c r="Q239" s="1243"/>
      <c r="R239" s="1243"/>
      <c r="S239" s="1885"/>
      <c r="T239" s="1886"/>
      <c r="U239" s="1886"/>
      <c r="V239" s="1886"/>
      <c r="W239" s="1886"/>
      <c r="X239" s="1886"/>
      <c r="Y239" s="1886"/>
      <c r="Z239" s="1886"/>
      <c r="AA239" s="1886"/>
      <c r="AB239" s="1886"/>
      <c r="AC239" s="1886"/>
      <c r="AD239" s="1886"/>
      <c r="AE239" s="1886"/>
      <c r="AF239" s="1886"/>
      <c r="AG239" s="1886"/>
      <c r="AH239" s="1886"/>
      <c r="AI239" s="1886"/>
      <c r="AJ239" s="188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4" t="s">
        <v>2287</v>
      </c>
      <c r="I241" s="1874"/>
      <c r="J241" s="1874"/>
      <c r="K241" s="1245"/>
      <c r="L241" s="1243"/>
      <c r="M241" s="1243"/>
      <c r="N241" s="1243"/>
      <c r="O241" s="1243"/>
      <c r="P241" s="1243"/>
      <c r="Q241" s="1243"/>
      <c r="R241" s="1243"/>
      <c r="S241" s="1875"/>
      <c r="T241" s="1876"/>
      <c r="U241" s="1876"/>
      <c r="V241" s="1876"/>
      <c r="W241" s="1876"/>
      <c r="X241" s="1876"/>
      <c r="Y241" s="1876"/>
      <c r="Z241" s="1876"/>
      <c r="AA241" s="1876"/>
      <c r="AB241" s="1876"/>
      <c r="AC241" s="1876"/>
      <c r="AD241" s="1876"/>
      <c r="AE241" s="1876"/>
      <c r="AF241" s="1876"/>
      <c r="AG241" s="1876"/>
      <c r="AH241" s="1876"/>
      <c r="AI241" s="1876"/>
      <c r="AJ241" s="187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4" t="s">
        <v>442</v>
      </c>
      <c r="I243" s="1874"/>
      <c r="J243" s="1245"/>
      <c r="K243" s="1245"/>
      <c r="L243" s="1243"/>
      <c r="M243" s="1243"/>
      <c r="N243" s="1243"/>
      <c r="O243" s="1243"/>
      <c r="P243" s="1243"/>
      <c r="Q243" s="1243"/>
      <c r="R243" s="1243"/>
      <c r="S243" s="1875"/>
      <c r="T243" s="1876"/>
      <c r="U243" s="1876"/>
      <c r="V243" s="1876"/>
      <c r="W243" s="1876"/>
      <c r="X243" s="1876"/>
      <c r="Y243" s="1876"/>
      <c r="Z243" s="1876"/>
      <c r="AA243" s="1876"/>
      <c r="AB243" s="1876"/>
      <c r="AC243" s="1876"/>
      <c r="AD243" s="1876"/>
      <c r="AE243" s="1876"/>
      <c r="AF243" s="1876"/>
      <c r="AG243" s="1876"/>
      <c r="AH243" s="1876"/>
      <c r="AI243" s="1876"/>
      <c r="AJ243" s="187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8" t="s">
        <v>2286</v>
      </c>
      <c r="I245" s="1878"/>
      <c r="J245" s="1878"/>
      <c r="K245" s="1878"/>
      <c r="L245" s="1878"/>
      <c r="M245" s="1878"/>
      <c r="N245" s="1878"/>
      <c r="O245" s="1878"/>
      <c r="P245" s="1243"/>
      <c r="Q245" s="1243"/>
      <c r="R245" s="1243"/>
      <c r="S245" s="1875"/>
      <c r="T245" s="1876"/>
      <c r="U245" s="1876"/>
      <c r="V245" s="1876"/>
      <c r="W245" s="1876"/>
      <c r="X245" s="1876"/>
      <c r="Y245" s="1876"/>
      <c r="Z245" s="1876"/>
      <c r="AA245" s="1876"/>
      <c r="AB245" s="1876"/>
      <c r="AC245" s="1876"/>
      <c r="AD245" s="1876"/>
      <c r="AE245" s="1876"/>
      <c r="AF245" s="1876"/>
      <c r="AG245" s="1876"/>
      <c r="AH245" s="1876"/>
      <c r="AI245" s="1876"/>
      <c r="AJ245" s="187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9" t="s">
        <v>2285</v>
      </c>
      <c r="I247" s="1879"/>
      <c r="J247" s="1243"/>
      <c r="K247" s="1243"/>
      <c r="L247" s="1243"/>
      <c r="M247" s="1243"/>
      <c r="N247" s="1243"/>
      <c r="O247" s="1243"/>
      <c r="P247" s="1243"/>
      <c r="Q247" s="1243"/>
      <c r="R247" s="1243"/>
      <c r="S247" s="1880"/>
      <c r="T247" s="1881"/>
      <c r="U247" s="1881"/>
      <c r="V247" s="1881"/>
      <c r="W247" s="1881"/>
      <c r="X247" s="1881"/>
      <c r="Y247" s="1881"/>
      <c r="Z247" s="1881"/>
      <c r="AA247" s="1881"/>
      <c r="AB247" s="1881"/>
      <c r="AC247" s="1881"/>
      <c r="AD247" s="1881"/>
      <c r="AE247" s="1881"/>
      <c r="AF247" s="1881"/>
      <c r="AG247" s="1881"/>
      <c r="AH247" s="1881"/>
      <c r="AI247" s="1881"/>
      <c r="AJ247" s="188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zoomScale="85" zoomScaleNormal="85" workbookViewId="0">
      <selection activeCell="AB57" sqref="AB57:AF57"/>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75" t="s">
        <v>1281</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1239</v>
      </c>
    </row>
    <row r="7" spans="1:40" ht="12.95" customHeight="1">
      <c r="B7" s="406"/>
      <c r="C7" s="407"/>
      <c r="D7" s="407"/>
      <c r="E7" s="407"/>
      <c r="F7" s="407"/>
      <c r="G7" s="407"/>
      <c r="H7" s="407"/>
      <c r="I7" s="407"/>
      <c r="J7" s="407"/>
      <c r="K7" s="407"/>
      <c r="L7" s="407"/>
      <c r="M7" s="407"/>
      <c r="N7" s="407"/>
      <c r="O7" s="407"/>
      <c r="P7" s="407"/>
      <c r="Q7" s="407"/>
      <c r="R7" s="407"/>
      <c r="S7" s="407"/>
      <c r="T7" s="2355" t="str">
        <f xml:space="preserve"> IF(T25=100%,'Sources and Basis Breakdown'!G2,'Sources and Basis Breakdown'!F2)</f>
        <v>30% PVC for New Const/
Rehabilitation
NON-DDA/
NON-QCT Building(s)</v>
      </c>
      <c r="U7" s="2355"/>
      <c r="V7" s="2355"/>
      <c r="W7" s="2355"/>
      <c r="X7" s="2355"/>
      <c r="Y7" s="2355" t="str">
        <f>IF(T25=100%,"",'Sources and Basis Breakdown'!G2)</f>
        <v/>
      </c>
      <c r="Z7" s="2355"/>
      <c r="AA7" s="2355"/>
      <c r="AB7" s="2355"/>
      <c r="AC7" s="2355"/>
      <c r="AD7" s="2355" t="str">
        <f xml:space="preserve"> IF(T25=100%, 'Sources and Basis Breakdown'!J2,'Sources and Basis Breakdown'!I2)</f>
        <v>30% PVC for Acquisition
NON-DDA/
NON-QCT Building(s)</v>
      </c>
      <c r="AE7" s="2355"/>
      <c r="AF7" s="2355"/>
      <c r="AG7" s="2355"/>
      <c r="AH7" s="2355"/>
      <c r="AI7" s="2355" t="str">
        <f>IF(T25=100%,"",'Sources and Basis Breakdown'!J2)</f>
        <v/>
      </c>
      <c r="AJ7" s="2355"/>
      <c r="AK7" s="2355"/>
      <c r="AL7" s="2355"/>
      <c r="AM7" s="2355"/>
    </row>
    <row r="8" spans="1:40" ht="12.95" customHeight="1">
      <c r="B8" s="408"/>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8"/>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9"/>
      <c r="C10" s="410"/>
      <c r="D10" s="410"/>
      <c r="E10" s="410"/>
      <c r="F10" s="410"/>
      <c r="G10" s="410"/>
      <c r="H10" s="410"/>
      <c r="I10" s="410"/>
      <c r="J10" s="410"/>
      <c r="K10" s="410"/>
      <c r="L10" s="410"/>
      <c r="M10" s="410"/>
      <c r="N10" s="410"/>
      <c r="O10" s="410"/>
      <c r="P10" s="410"/>
      <c r="Q10" s="410"/>
      <c r="R10" s="410"/>
      <c r="S10" s="410"/>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48954431</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498</v>
      </c>
      <c r="C12" s="1307"/>
      <c r="D12" s="1307"/>
      <c r="E12" s="1307"/>
      <c r="F12" s="1307"/>
      <c r="G12" s="1307"/>
      <c r="H12" s="1307"/>
      <c r="I12" s="1307"/>
      <c r="J12" s="1307"/>
      <c r="K12" s="1307"/>
      <c r="L12" s="1307"/>
      <c r="M12" s="1307"/>
      <c r="N12" s="1307"/>
      <c r="O12" s="1307"/>
      <c r="P12" s="1307"/>
      <c r="Q12" s="1307"/>
      <c r="R12" s="1307"/>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6"/>
      <c r="C13" s="2381" t="s">
        <v>499</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6"/>
      <c r="C14" s="2381" t="s">
        <v>500</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6"/>
      <c r="C15" s="2381" t="s">
        <v>501</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6"/>
      <c r="C16" s="2381" t="s">
        <v>806</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6"/>
      <c r="C17" s="2381" t="s">
        <v>502</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2"/>
      <c r="C18" s="1563" t="s">
        <v>961</v>
      </c>
      <c r="D18" s="1563"/>
      <c r="E18" s="1563"/>
      <c r="F18" s="1563"/>
      <c r="G18" s="1563"/>
      <c r="H18" s="1563"/>
      <c r="I18" s="1563"/>
      <c r="J18" s="1563"/>
      <c r="K18" s="1563"/>
      <c r="L18" s="1563"/>
      <c r="M18" s="1563"/>
      <c r="N18" s="1563"/>
      <c r="O18" s="1563"/>
      <c r="P18" s="1563"/>
      <c r="Q18" s="1563"/>
      <c r="R18" s="1563"/>
      <c r="S18" s="1564"/>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2"/>
      <c r="C19" s="1563" t="s">
        <v>961</v>
      </c>
      <c r="D19" s="1563"/>
      <c r="E19" s="1563"/>
      <c r="F19" s="1563"/>
      <c r="G19" s="1563"/>
      <c r="H19" s="1563"/>
      <c r="I19" s="1563"/>
      <c r="J19" s="1563"/>
      <c r="K19" s="1563"/>
      <c r="L19" s="1563"/>
      <c r="M19" s="1563"/>
      <c r="N19" s="1563"/>
      <c r="O19" s="1563"/>
      <c r="P19" s="1563"/>
      <c r="Q19" s="1563"/>
      <c r="R19" s="1563"/>
      <c r="S19" s="1564"/>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503</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1264</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504</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505</v>
      </c>
      <c r="C23" s="2342"/>
      <c r="D23" s="2342"/>
      <c r="E23" s="2342"/>
      <c r="F23" s="2342"/>
      <c r="G23" s="2342"/>
      <c r="H23" s="2342"/>
      <c r="I23" s="2342"/>
      <c r="J23" s="2342"/>
      <c r="K23" s="2342"/>
      <c r="L23" s="2342"/>
      <c r="M23" s="2342"/>
      <c r="N23" s="2342"/>
      <c r="O23" s="2342"/>
      <c r="P23" s="2342"/>
      <c r="Q23" s="2342"/>
      <c r="R23" s="2342"/>
      <c r="S23" s="2343"/>
      <c r="T23" s="2354">
        <f>T11+T22</f>
        <v>48954431</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962</v>
      </c>
      <c r="C24" s="2342"/>
      <c r="D24" s="2342"/>
      <c r="E24" s="2342"/>
      <c r="F24" s="2342"/>
      <c r="G24" s="2342"/>
      <c r="H24" s="2342"/>
      <c r="I24" s="2342"/>
      <c r="J24" s="2342"/>
      <c r="K24" s="2342"/>
      <c r="L24" s="2342"/>
      <c r="M24" s="2342"/>
      <c r="N24" s="2342"/>
      <c r="O24" s="2342"/>
      <c r="P24" s="2342"/>
      <c r="Q24" s="2342"/>
      <c r="R24" s="2342"/>
      <c r="S24" s="2343"/>
      <c r="T24" s="2345">
        <f>Application!AJ1053</f>
        <v>243859334</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1265</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506</v>
      </c>
      <c r="C26" s="2342"/>
      <c r="D26" s="2342"/>
      <c r="E26" s="2342"/>
      <c r="F26" s="2342"/>
      <c r="G26" s="2342"/>
      <c r="H26" s="2342"/>
      <c r="I26" s="2342"/>
      <c r="J26" s="2342"/>
      <c r="K26" s="2342"/>
      <c r="L26" s="2342"/>
      <c r="M26" s="2342"/>
      <c r="N26" s="2342"/>
      <c r="O26" s="2342"/>
      <c r="P26" s="2342"/>
      <c r="Q26" s="2342"/>
      <c r="R26" s="2342"/>
      <c r="S26" s="2343"/>
      <c r="T26" s="2354">
        <f>T23*T25</f>
        <v>48954431</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1"/>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54">
        <f>IF(ISERROR((T26*T27)),0,(T26*T27))</f>
        <v>48954431</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524</v>
      </c>
      <c r="C29" s="2342"/>
      <c r="D29" s="2342"/>
      <c r="E29" s="2342"/>
      <c r="F29" s="2342"/>
      <c r="G29" s="2342"/>
      <c r="H29" s="2342"/>
      <c r="I29" s="2342"/>
      <c r="J29" s="2342"/>
      <c r="K29" s="2342"/>
      <c r="L29" s="2342"/>
      <c r="M29" s="2342"/>
      <c r="N29" s="2342"/>
      <c r="O29" s="2342"/>
      <c r="P29" s="2342"/>
      <c r="Q29" s="2342"/>
      <c r="R29" s="2342"/>
      <c r="S29" s="2343"/>
      <c r="T29" s="2345">
        <f>T28+Y28+AD28+AI28</f>
        <v>48954431</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1267</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1266</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5" t="s">
        <v>1155</v>
      </c>
      <c r="Z35" s="2355"/>
      <c r="AA35" s="2355"/>
      <c r="AB35" s="2355"/>
      <c r="AC35" s="2355"/>
      <c r="AD35" s="2356" t="s">
        <v>369</v>
      </c>
      <c r="AE35" s="2356"/>
      <c r="AF35" s="2356"/>
      <c r="AG35" s="2356"/>
      <c r="AH35" s="2356"/>
    </row>
    <row r="36" spans="1:76" ht="12.95" customHeight="1">
      <c r="B36" s="408"/>
      <c r="X36" s="413"/>
      <c r="Y36" s="2355"/>
      <c r="Z36" s="2355"/>
      <c r="AA36" s="2355"/>
      <c r="AB36" s="2355"/>
      <c r="AC36" s="2355"/>
      <c r="AD36" s="2356"/>
      <c r="AE36" s="2356"/>
      <c r="AF36" s="2356"/>
      <c r="AG36" s="2356"/>
      <c r="AH36" s="2356"/>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5"/>
      <c r="Z37" s="2355"/>
      <c r="AA37" s="2355"/>
      <c r="AB37" s="2355"/>
      <c r="AC37" s="2355"/>
      <c r="AD37" s="2356"/>
      <c r="AE37" s="2356"/>
      <c r="AF37" s="2356"/>
      <c r="AG37" s="2356"/>
      <c r="AH37" s="2356"/>
    </row>
    <row r="38" spans="1:76" ht="12.95"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48954431</v>
      </c>
      <c r="Z38" s="2335"/>
      <c r="AA38" s="2335"/>
      <c r="AB38" s="2335"/>
      <c r="AC38" s="2335"/>
      <c r="AD38" s="2335">
        <f>IF(T24&gt;=(T23+Y23+AD23+AI23),AD28+AI28,0)</f>
        <v>0</v>
      </c>
      <c r="AE38" s="2335"/>
      <c r="AF38" s="2335"/>
      <c r="AG38" s="2335"/>
      <c r="AH38" s="2335"/>
    </row>
    <row r="39" spans="1:76" ht="12.95"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5"/>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1958177</v>
      </c>
      <c r="Z40" s="2335"/>
      <c r="AA40" s="2335"/>
      <c r="AB40" s="2335"/>
      <c r="AC40" s="2335"/>
      <c r="AD40" s="2354">
        <f>ROUND(AD38*AD39,0)</f>
        <v>0</v>
      </c>
      <c r="AE40" s="2335"/>
      <c r="AF40" s="2335"/>
      <c r="AG40" s="2335"/>
      <c r="AH40" s="2335"/>
    </row>
    <row r="41" spans="1:76" ht="12.95"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1958177</v>
      </c>
      <c r="Z41" s="2353"/>
      <c r="AA41" s="2353"/>
      <c r="AB41" s="2353"/>
      <c r="AC41" s="2353"/>
      <c r="AD41" s="2353"/>
      <c r="AE41" s="2353"/>
      <c r="AF41" s="2353"/>
      <c r="AG41" s="2353"/>
      <c r="AH41" s="2354"/>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52" t="s">
        <v>1277</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5" customFormat="1" ht="12.95" customHeight="1" thickTop="1"/>
    <row r="46" spans="1:76" ht="12.95" customHeight="1">
      <c r="A46" s="405" t="s">
        <v>587</v>
      </c>
      <c r="C46" s="405" t="s">
        <v>282</v>
      </c>
    </row>
    <row r="47" spans="1:76" ht="12.95" customHeight="1">
      <c r="D47" s="405" t="s">
        <v>283</v>
      </c>
      <c r="AB47" s="2349">
        <f>'Sources and Uses Budget'!B105-MAX(IF('Sources and Uses Budget'!B15="",0,'Sources and Uses Budget'!B15),IF(Application!AG394="",0,Application!AG394))</f>
        <v>72459026</v>
      </c>
      <c r="AC47" s="2350"/>
      <c r="AD47" s="2350"/>
      <c r="AE47" s="2350"/>
      <c r="AF47" s="2351"/>
    </row>
    <row r="48" spans="1:76" ht="12.95" customHeight="1">
      <c r="D48" s="405" t="s">
        <v>21</v>
      </c>
      <c r="AB48" s="2349">
        <f>Application!AO639-MAX(IF('Sources and Uses Budget'!B15="",0,'Sources and Uses Budget'!B15),IF(Application!AG394="",0,Application!AG394))</f>
        <v>55228792</v>
      </c>
      <c r="AC48" s="2350"/>
      <c r="AD48" s="2350"/>
      <c r="AE48" s="2350"/>
      <c r="AF48" s="2351"/>
    </row>
    <row r="49" spans="1:76" ht="12.95" customHeight="1">
      <c r="D49" s="405" t="s">
        <v>91</v>
      </c>
      <c r="AB49" s="2349">
        <f>AB47-AB48</f>
        <v>17230234</v>
      </c>
      <c r="AC49" s="2350"/>
      <c r="AD49" s="2350"/>
      <c r="AE49" s="2350"/>
      <c r="AF49" s="2351"/>
    </row>
    <row r="50" spans="1:76" ht="12.95" customHeight="1">
      <c r="D50" s="405" t="s">
        <v>682</v>
      </c>
      <c r="AA50" s="416"/>
      <c r="AB50" s="2337">
        <f>AB49/(Y41*10)</f>
        <v>0.87991197935630949</v>
      </c>
      <c r="AC50" s="2338"/>
      <c r="AD50" s="2338"/>
      <c r="AE50" s="2338"/>
      <c r="AF50" s="2339"/>
    </row>
    <row r="51" spans="1:76" s="418" customFormat="1" ht="12.95" customHeight="1">
      <c r="A51" s="403"/>
      <c r="B51" s="403"/>
      <c r="C51" s="403"/>
      <c r="D51" s="403"/>
      <c r="E51" s="2348" t="s">
        <v>1851</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49">
        <f>ROUND(IF(ISERROR((AB49/AB50)),0,(AB49/AB50)),0)</f>
        <v>19581770</v>
      </c>
      <c r="AC54" s="2350"/>
      <c r="AD54" s="2350"/>
      <c r="AE54" s="2350"/>
      <c r="AF54" s="2351"/>
    </row>
    <row r="55" spans="1:76" ht="12.95" customHeight="1">
      <c r="D55" s="405" t="s">
        <v>333</v>
      </c>
      <c r="AB55" s="2349">
        <f>(AB54/10)</f>
        <v>1958177</v>
      </c>
      <c r="AC55" s="2350"/>
      <c r="AD55" s="2350"/>
      <c r="AE55" s="2350"/>
      <c r="AF55" s="2351"/>
    </row>
    <row r="56" spans="1:76" ht="12.95" customHeight="1">
      <c r="D56" s="405" t="s">
        <v>757</v>
      </c>
      <c r="AB56" s="2349">
        <f>ROUND((IF((Y41&lt;AB55),Y41,AB55)),0)</f>
        <v>1958177</v>
      </c>
      <c r="AC56" s="2350"/>
      <c r="AD56" s="2350"/>
      <c r="AE56" s="2350"/>
      <c r="AF56" s="2351"/>
    </row>
    <row r="57" spans="1:76" ht="12.95" customHeight="1">
      <c r="D57" s="405" t="s">
        <v>756</v>
      </c>
      <c r="AB57" s="2349">
        <f>ROUND((10*AB56*AB50),0)</f>
        <v>17230234</v>
      </c>
      <c r="AC57" s="2350"/>
      <c r="AD57" s="2350"/>
      <c r="AE57" s="2350"/>
      <c r="AF57" s="2351"/>
    </row>
    <row r="58" spans="1:76" ht="12.95" customHeight="1">
      <c r="D58" s="405"/>
      <c r="AB58" s="424"/>
      <c r="AC58" s="424"/>
      <c r="AD58" s="424"/>
      <c r="AE58" s="424"/>
      <c r="AF58" s="424"/>
    </row>
    <row r="59" spans="1:76" ht="12.95" customHeight="1">
      <c r="D59" s="405" t="s">
        <v>755</v>
      </c>
      <c r="AB59" s="2333">
        <f>AB49-AB57</f>
        <v>0</v>
      </c>
      <c r="AC59" s="2333"/>
      <c r="AD59" s="2333"/>
      <c r="AE59" s="2333"/>
      <c r="AF59" s="2333"/>
    </row>
    <row r="60" spans="1:76" ht="12.95" customHeight="1">
      <c r="D60" s="405"/>
      <c r="AB60" s="424"/>
      <c r="AC60" s="424"/>
      <c r="AD60" s="424"/>
      <c r="AE60" s="424"/>
      <c r="AF60" s="424"/>
    </row>
    <row r="61" spans="1:76" s="205"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5" customFormat="1" ht="12.95" customHeight="1" thickTop="1"/>
    <row r="63" spans="1:76" ht="12.95" customHeight="1">
      <c r="A63" s="405" t="s">
        <v>590</v>
      </c>
      <c r="C63" s="206" t="s">
        <v>1249</v>
      </c>
      <c r="Y63" s="2344" t="s">
        <v>985</v>
      </c>
      <c r="Z63" s="2344"/>
      <c r="AA63" s="2344"/>
      <c r="AB63" s="2344"/>
      <c r="AC63" s="2344"/>
      <c r="AD63" s="2344" t="s">
        <v>369</v>
      </c>
      <c r="AE63" s="2344"/>
      <c r="AF63" s="2344"/>
      <c r="AG63" s="2344"/>
      <c r="AH63" s="2344"/>
    </row>
    <row r="64" spans="1:76" ht="12.95"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2.95" customHeight="1">
      <c r="C68" s="405"/>
      <c r="D68" s="206" t="s">
        <v>2228</v>
      </c>
      <c r="Y68" s="2335">
        <f>ROUND(Y64*Y67,0)</f>
        <v>0</v>
      </c>
      <c r="Z68" s="2336"/>
      <c r="AA68" s="2336"/>
      <c r="AB68" s="2336"/>
      <c r="AC68" s="2336"/>
      <c r="AD68" s="2335">
        <f>ROUND(AD64*AD67,0)</f>
        <v>0</v>
      </c>
      <c r="AE68" s="2336"/>
      <c r="AF68" s="2336"/>
      <c r="AG68" s="2336"/>
      <c r="AH68" s="2336"/>
    </row>
    <row r="69" spans="1:36" ht="12.95" customHeight="1">
      <c r="C69" s="405"/>
      <c r="D69" s="206" t="s">
        <v>2229</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1251</v>
      </c>
      <c r="AB72" s="2337"/>
      <c r="AC72" s="2338"/>
      <c r="AD72" s="2338"/>
      <c r="AE72" s="2338"/>
      <c r="AF72" s="2339"/>
    </row>
    <row r="73" spans="1:36" ht="12.95" customHeight="1">
      <c r="A73" s="405"/>
      <c r="C73" s="405"/>
      <c r="D73" s="405"/>
      <c r="E73" s="2340" t="s">
        <v>1252</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9"/>
      <c r="AC73" s="439"/>
    </row>
    <row r="74" spans="1:36" ht="12.95" customHeight="1">
      <c r="A74" s="405"/>
      <c r="C74" s="405"/>
      <c r="D74" s="405"/>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9"/>
      <c r="AC74" s="439"/>
    </row>
    <row r="75" spans="1:36" ht="12.95" customHeight="1">
      <c r="A75" s="405"/>
      <c r="C75" s="405"/>
      <c r="D75" s="405"/>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1253</v>
      </c>
      <c r="AB77" s="2328">
        <f>ROUND(IF(ISERROR((AB59/AB72)),0,(AB59/AB72)),0)</f>
        <v>0</v>
      </c>
      <c r="AC77" s="2328"/>
      <c r="AD77" s="2328"/>
      <c r="AE77" s="2328"/>
      <c r="AF77" s="2328"/>
    </row>
    <row r="78" spans="1:36" ht="12.95" customHeight="1">
      <c r="C78" s="405"/>
      <c r="D78" s="206" t="s">
        <v>1254</v>
      </c>
      <c r="AB78" s="2329">
        <f>ROUNDUP(MIN(Y69,AB77),0)</f>
        <v>0</v>
      </c>
      <c r="AC78" s="2330"/>
      <c r="AD78" s="2330"/>
      <c r="AE78" s="2330"/>
      <c r="AF78" s="2331"/>
    </row>
    <row r="79" spans="1:36" ht="12.95" customHeight="1">
      <c r="C79" s="405"/>
      <c r="D79" s="206" t="s">
        <v>1255</v>
      </c>
      <c r="AB79" s="2332">
        <f>AB78*AB72</f>
        <v>0</v>
      </c>
      <c r="AC79" s="2332"/>
      <c r="AD79" s="2332"/>
      <c r="AE79" s="2332"/>
      <c r="AF79" s="2332"/>
    </row>
    <row r="80" spans="1:36" ht="12.95" customHeight="1">
      <c r="C80" s="405"/>
      <c r="D80" s="405"/>
      <c r="AB80" s="426"/>
      <c r="AC80" s="426"/>
      <c r="AD80" s="426"/>
      <c r="AE80" s="426"/>
      <c r="AF80" s="426"/>
    </row>
    <row r="81" spans="1:78" ht="12.95" customHeight="1">
      <c r="D81" s="405" t="s">
        <v>755</v>
      </c>
      <c r="AB81" s="2333">
        <f>AB49-(AB57+AB79)</f>
        <v>0</v>
      </c>
      <c r="AC81" s="2333"/>
      <c r="AD81" s="2333"/>
      <c r="AE81" s="2333"/>
      <c r="AF81" s="2333"/>
    </row>
    <row r="82" spans="1:78" ht="12.95" customHeight="1">
      <c r="F82" s="523"/>
      <c r="J82" s="523" t="str">
        <f>IF(AB81&gt;0,"FUNDING GAP MUST NOT EXCEED ZERO","")</f>
        <v/>
      </c>
    </row>
    <row r="83" spans="1:78" ht="12.95" customHeight="1">
      <c r="D83" s="524"/>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5"/>
      <c r="C86" s="206"/>
    </row>
    <row r="87" spans="1:78" ht="12.95" customHeight="1">
      <c r="D87" s="206"/>
      <c r="AB87" s="2384"/>
      <c r="AC87" s="2384"/>
      <c r="AD87" s="2384"/>
      <c r="AE87" s="2384"/>
      <c r="AF87" s="2384"/>
    </row>
    <row r="88" spans="1:78" ht="12.95" customHeight="1" thickBot="1">
      <c r="D88" s="206"/>
      <c r="AB88" s="2383"/>
      <c r="AC88" s="2383"/>
      <c r="AD88" s="2383"/>
      <c r="AE88" s="2383"/>
      <c r="AF88" s="238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Normal="100"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26" t="s">
        <v>1301</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7"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7" t="s">
        <v>1306</v>
      </c>
      <c r="AF7" s="2407"/>
      <c r="AG7" s="2407"/>
      <c r="AH7" s="2407"/>
      <c r="AI7" s="2407"/>
      <c r="AJ7" s="2407"/>
      <c r="AK7" s="2407"/>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7" t="s">
        <v>592</v>
      </c>
      <c r="C13" s="2397"/>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8"/>
      <c r="AH13" s="2428"/>
      <c r="AI13" s="2428"/>
      <c r="AJ13" s="242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7" t="s">
        <v>592</v>
      </c>
      <c r="C16" s="2397"/>
      <c r="D16" s="548"/>
      <c r="E16" s="2408" t="s">
        <v>1308</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1"/>
      <c r="AL16" s="541"/>
      <c r="AM16" s="541"/>
      <c r="AN16" s="536"/>
      <c r="AO16" s="551">
        <f>IF($B25="yes",20,0)</f>
        <v>0</v>
      </c>
      <c r="AP16" s="14"/>
    </row>
    <row r="17" spans="1:42" s="537" customFormat="1" ht="12.75" customHeight="1">
      <c r="A17" s="541"/>
      <c r="B17" s="541"/>
      <c r="C17" s="541"/>
      <c r="D17" s="552"/>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1"/>
      <c r="AL17" s="541"/>
      <c r="AM17" s="541"/>
      <c r="AN17" s="536"/>
      <c r="AO17" s="551">
        <f>IF($B28="yes",20,0)</f>
        <v>0</v>
      </c>
    </row>
    <row r="18" spans="1:42" s="537" customFormat="1" ht="12.75" customHeight="1">
      <c r="A18" s="541"/>
      <c r="B18" s="541"/>
      <c r="C18" s="541"/>
      <c r="D18" s="552"/>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7" t="s">
        <v>592</v>
      </c>
      <c r="C22" s="2397"/>
      <c r="D22" s="548"/>
      <c r="E22" s="2433" t="s">
        <v>1311</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1"/>
      <c r="AL22" s="541"/>
      <c r="AM22" s="541"/>
      <c r="AN22" s="536"/>
      <c r="AO22" s="551">
        <f>IF($B40="yes",14,0)</f>
        <v>0</v>
      </c>
    </row>
    <row r="23" spans="1:42" s="537" customFormat="1" ht="12.75" customHeight="1">
      <c r="A23" s="541"/>
      <c r="B23" s="541"/>
      <c r="C23" s="541"/>
      <c r="D23" s="551"/>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7" t="s">
        <v>592</v>
      </c>
      <c r="C25" s="2397"/>
      <c r="D25" s="548"/>
      <c r="E25" s="2398" t="s">
        <v>2036</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1"/>
      <c r="AL25" s="541"/>
      <c r="AM25" s="541"/>
      <c r="AN25" s="536"/>
      <c r="AO25" s="551">
        <f>IF($B45="yes",6,0)</f>
        <v>0</v>
      </c>
    </row>
    <row r="26" spans="1:42" s="537" customFormat="1" ht="12.75" customHeight="1">
      <c r="A26" s="541"/>
      <c r="B26" s="541"/>
      <c r="C26" s="541"/>
      <c r="D26" s="551"/>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7" t="s">
        <v>592</v>
      </c>
      <c r="C28" s="2397"/>
      <c r="D28" s="548"/>
      <c r="E28" s="2421" t="s">
        <v>2252</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7" t="s">
        <v>592</v>
      </c>
      <c r="C33" s="2397"/>
      <c r="D33" s="548"/>
      <c r="E33" s="2433" t="s">
        <v>2254</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1"/>
      <c r="AL33" s="541"/>
      <c r="AM33" s="541"/>
      <c r="AN33" s="536"/>
      <c r="AO33" s="551"/>
    </row>
    <row r="34" spans="1:41" s="537" customFormat="1" ht="12.75" customHeight="1">
      <c r="A34" s="541"/>
      <c r="B34" s="541"/>
      <c r="C34" s="541"/>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7" t="s">
        <v>592</v>
      </c>
      <c r="C36" s="2397"/>
      <c r="D36" s="548"/>
      <c r="E36" s="2398" t="s">
        <v>2255</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1"/>
      <c r="AL36" s="541"/>
      <c r="AM36" s="541"/>
      <c r="AN36" s="536"/>
    </row>
    <row r="37" spans="1:41" s="537" customFormat="1" ht="12.75" customHeight="1">
      <c r="A37" s="541"/>
      <c r="B37" s="541"/>
      <c r="C37" s="541"/>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1"/>
      <c r="AL37" s="541"/>
      <c r="AM37" s="541"/>
      <c r="AN37" s="536"/>
    </row>
    <row r="38" spans="1:41" s="537" customFormat="1" ht="12.75" customHeight="1">
      <c r="A38" s="541"/>
      <c r="B38" s="541"/>
      <c r="C38" s="541"/>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7" t="s">
        <v>592</v>
      </c>
      <c r="C40" s="2397"/>
      <c r="D40" s="548"/>
      <c r="E40" s="2398" t="s">
        <v>2253</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1"/>
      <c r="AL40" s="541"/>
      <c r="AM40" s="541"/>
      <c r="AN40" s="536"/>
    </row>
    <row r="41" spans="1:41" s="537" customFormat="1" ht="12.75" customHeight="1">
      <c r="A41" s="541"/>
      <c r="B41" s="541"/>
      <c r="C41" s="541"/>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7" t="s">
        <v>592</v>
      </c>
      <c r="C45" s="2397"/>
      <c r="D45" s="1144"/>
      <c r="E45" s="2398" t="s">
        <v>2011</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4"/>
      <c r="AL45" s="541"/>
      <c r="AM45" s="541"/>
      <c r="AN45" s="536"/>
    </row>
    <row r="46" spans="1:41" s="537" customFormat="1" ht="12.75" customHeight="1">
      <c r="A46" s="541"/>
      <c r="B46" s="541"/>
      <c r="C46" s="541"/>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1"/>
      <c r="AL46" s="541"/>
      <c r="AM46" s="541"/>
      <c r="AN46" s="536"/>
    </row>
    <row r="47" spans="1:41" s="537" customFormat="1" ht="12.75" customHeight="1">
      <c r="A47" s="541"/>
      <c r="D47" s="548"/>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7" t="s">
        <v>592</v>
      </c>
      <c r="C52" s="2397"/>
      <c r="D52" s="541"/>
      <c r="E52" s="2398" t="s">
        <v>2016</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1"/>
      <c r="AL52" s="541"/>
      <c r="AM52" s="541"/>
      <c r="AN52" s="536"/>
      <c r="AO52" s="560"/>
    </row>
    <row r="53" spans="1:50" s="537" customFormat="1" ht="12.75" customHeight="1">
      <c r="A53" s="541"/>
      <c r="D53" s="548"/>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1"/>
      <c r="AL53" s="541"/>
      <c r="AM53" s="541"/>
      <c r="AN53" s="536"/>
      <c r="AO53" s="560"/>
    </row>
    <row r="54" spans="1:50" s="537" customFormat="1" ht="12.75" customHeight="1">
      <c r="A54" s="541"/>
      <c r="D54" s="541"/>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7" t="s">
        <v>592</v>
      </c>
      <c r="C56" s="2397"/>
      <c r="D56" s="541"/>
      <c r="E56" s="2418" t="s">
        <v>2017</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7" t="s">
        <v>592</v>
      </c>
      <c r="C58" s="2397"/>
      <c r="D58" s="541"/>
      <c r="E58" s="2398" t="s">
        <v>2018</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1"/>
      <c r="AL58" s="541"/>
      <c r="AM58" s="541"/>
      <c r="AN58" s="536"/>
    </row>
    <row r="59" spans="1:50" s="537" customFormat="1" ht="12.75" customHeight="1">
      <c r="A59" s="541"/>
      <c r="B59" s="548"/>
      <c r="C59" s="548"/>
      <c r="D59" s="548"/>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0">
        <f>AO39</f>
        <v>0</v>
      </c>
      <c r="AL62" s="2431"/>
      <c r="AM62" s="243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7" t="s">
        <v>1315</v>
      </c>
      <c r="AF65" s="2407"/>
      <c r="AG65" s="2407"/>
      <c r="AH65" s="2407"/>
      <c r="AI65" s="2407"/>
      <c r="AJ65" s="2407"/>
      <c r="AK65" s="2407"/>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7" t="s">
        <v>592</v>
      </c>
      <c r="C68" s="2397"/>
      <c r="D68" s="548" t="s">
        <v>1316</v>
      </c>
      <c r="E68" s="2408" t="s">
        <v>2019</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4"/>
      <c r="AL68" s="541"/>
      <c r="AM68" s="541"/>
      <c r="AN68" s="536"/>
      <c r="AO68" s="551">
        <f>IF($B68="yes",10,0)</f>
        <v>0</v>
      </c>
    </row>
    <row r="69" spans="1:42" s="537" customFormat="1" ht="12.75" customHeight="1">
      <c r="A69" s="539"/>
      <c r="B69" s="541"/>
      <c r="C69" s="541"/>
      <c r="D69" s="552"/>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4"/>
      <c r="AL69" s="541"/>
      <c r="AM69" s="541"/>
      <c r="AN69" s="536"/>
      <c r="AO69" s="551">
        <f>IF($B74="yes",10,0)</f>
        <v>10</v>
      </c>
    </row>
    <row r="70" spans="1:42" s="537" customFormat="1" ht="12.75" customHeight="1">
      <c r="A70" s="539"/>
      <c r="B70" s="541"/>
      <c r="C70" s="541"/>
      <c r="D70" s="552"/>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4"/>
      <c r="AL70" s="541"/>
      <c r="AM70" s="541"/>
      <c r="AN70" s="536"/>
      <c r="AO70" s="551">
        <f>IF($B81="yes",10,0)</f>
        <v>0</v>
      </c>
    </row>
    <row r="71" spans="1:42" s="537" customFormat="1" ht="12.75" customHeight="1">
      <c r="A71" s="539"/>
      <c r="B71" s="541"/>
      <c r="C71" s="541"/>
      <c r="D71" s="552"/>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4"/>
      <c r="AL71" s="541"/>
      <c r="AM71" s="541"/>
      <c r="AN71" s="536"/>
      <c r="AO71" s="537">
        <f>IF(SUM(AO68:AO70)&gt;10,10,(SUM(AO68:AO70)))</f>
        <v>10</v>
      </c>
      <c r="AP71" s="575" t="s">
        <v>1317</v>
      </c>
    </row>
    <row r="72" spans="1:42" s="537" customFormat="1" ht="12.75" customHeight="1">
      <c r="A72" s="539"/>
      <c r="B72" s="541"/>
      <c r="C72" s="541"/>
      <c r="D72" s="552"/>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7" t="s">
        <v>546</v>
      </c>
      <c r="C74" s="2397"/>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7" t="s">
        <v>546</v>
      </c>
      <c r="F75" s="2397"/>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5" t="s">
        <v>592</v>
      </c>
      <c r="F76" s="2396"/>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5" t="s">
        <v>592</v>
      </c>
      <c r="F77" s="2396"/>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7" t="s">
        <v>592</v>
      </c>
      <c r="F79" s="2397"/>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7" t="s">
        <v>592</v>
      </c>
      <c r="C81" s="2397"/>
      <c r="D81" s="548" t="s">
        <v>1321</v>
      </c>
      <c r="E81" s="2398" t="s">
        <v>1741</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4"/>
      <c r="AL81" s="541"/>
      <c r="AM81" s="541"/>
      <c r="AN81" s="536"/>
    </row>
    <row r="82" spans="1:43" s="537" customFormat="1" ht="12.75" customHeight="1">
      <c r="A82" s="539"/>
      <c r="B82" s="541"/>
      <c r="C82" s="541"/>
      <c r="D82" s="551"/>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0">
        <f>IF(AK62&gt;0,0,AO71)</f>
        <v>10</v>
      </c>
      <c r="AL84" s="2431"/>
      <c r="AM84" s="243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7" t="s">
        <v>1306</v>
      </c>
      <c r="AF87" s="2407"/>
      <c r="AG87" s="2407"/>
      <c r="AH87" s="2407"/>
      <c r="AI87" s="2407"/>
      <c r="AJ87" s="2407"/>
      <c r="AK87" s="2407"/>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7" t="s">
        <v>546</v>
      </c>
      <c r="C90" s="2397"/>
      <c r="D90" s="548" t="s">
        <v>1316</v>
      </c>
      <c r="E90" s="2408" t="s">
        <v>1326</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4"/>
      <c r="AL90" s="541"/>
      <c r="AM90" s="541"/>
      <c r="AN90" s="536"/>
    </row>
    <row r="91" spans="1:43" s="537" customFormat="1" ht="12.75" customHeight="1">
      <c r="A91" s="539"/>
      <c r="B91" s="540"/>
      <c r="C91" s="540"/>
      <c r="D91" s="540"/>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1">
        <f>Application!AC753</f>
        <v>0.29999999999999993</v>
      </c>
      <c r="F93" s="2392"/>
      <c r="G93" s="2392"/>
      <c r="H93" s="2392"/>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3">
        <f>0.6-ROUNDUP(E93,2)</f>
        <v>0.3</v>
      </c>
      <c r="F94" s="2394"/>
      <c r="G94" s="2394"/>
      <c r="H94" s="2394"/>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4">
        <f>IF(E94*200&gt;20,20,E94*200)</f>
        <v>20</v>
      </c>
      <c r="F95" s="2425"/>
      <c r="G95" s="2425"/>
      <c r="H95" s="2425"/>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7" t="s">
        <v>592</v>
      </c>
      <c r="C98" s="2397"/>
      <c r="D98" s="548" t="s">
        <v>1318</v>
      </c>
      <c r="E98" s="2408" t="s">
        <v>1726</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4"/>
      <c r="AL98" s="541"/>
      <c r="AM98" s="541"/>
      <c r="AN98" s="536"/>
    </row>
    <row r="99" spans="1:47" s="537" customFormat="1" ht="12.75" customHeight="1">
      <c r="A99" s="539"/>
      <c r="B99" s="540"/>
      <c r="C99" s="540"/>
      <c r="D99" s="540"/>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4"/>
      <c r="AL99" s="541"/>
      <c r="AM99" s="541"/>
      <c r="AN99" s="536"/>
    </row>
    <row r="100" spans="1:47" s="537" customFormat="1" ht="12.75" customHeight="1">
      <c r="A100" s="539"/>
      <c r="B100" s="540"/>
      <c r="C100" s="540"/>
      <c r="D100" s="540"/>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4"/>
      <c r="AL100" s="541"/>
      <c r="AM100" s="541"/>
      <c r="AN100" s="536"/>
    </row>
    <row r="101" spans="1:47" s="537" customFormat="1" ht="12.75" customHeight="1">
      <c r="A101" s="539"/>
      <c r="B101" s="540"/>
      <c r="C101" s="540"/>
      <c r="D101" s="540"/>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1">
        <f>Application!AC753</f>
        <v>0.29999999999999993</v>
      </c>
      <c r="F103" s="2392"/>
      <c r="G103" s="2392"/>
      <c r="H103" s="2392"/>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1">
        <f ca="1">SUMIF(Application!AC718:AG752,0.2,Application!G718:J752)/Application!G753+SUMIF(Application!AC718:AG752,0.25,Application!G718:J752)/Application!G753+SUMIF(Application!AC718:AG752,0.3,Application!G718:J752)/Application!G753</f>
        <v>1</v>
      </c>
      <c r="F104" s="2392"/>
      <c r="G104" s="2392"/>
      <c r="H104" s="2392"/>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1">
        <f ca="1">SUMIF(Application!AC718:AG752,0.35,Application!G718:J752)/Application!G753+SUMIF(Application!AC718:AG752,0.4,Application!G718:J752)/Application!G753+SUMIF(Application!AC718:AG752,0.45,Application!G718:J752)/Application!G753+SUMIF(Application!AC718:AG752,0.5,Application!G718:J752)/Application!G753</f>
        <v>0</v>
      </c>
      <c r="F105" s="2392"/>
      <c r="G105" s="2392"/>
      <c r="H105" s="2392"/>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9">
        <f ca="1">IF(AND(E103&lt;=0.6,OR(AND(E104&gt;=0.1,E105&gt;=0.1),AND(E104&gt;0.1,(E104+E105)&gt;=0.2))),20,0)</f>
        <v>20</v>
      </c>
      <c r="F106" s="2450"/>
      <c r="G106" s="2450"/>
      <c r="H106" s="2450"/>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0">
        <f>MAX(AP95,AP106)</f>
        <v>20</v>
      </c>
      <c r="AL109" s="2431"/>
      <c r="AM109" s="243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7" t="s">
        <v>1315</v>
      </c>
      <c r="AF112" s="2407"/>
      <c r="AG112" s="2407"/>
      <c r="AH112" s="2407"/>
      <c r="AI112" s="2407"/>
      <c r="AJ112" s="2407"/>
      <c r="AK112" s="2407"/>
      <c r="AL112" s="541"/>
      <c r="AM112" s="541"/>
      <c r="AN112" s="536"/>
      <c r="AO112" s="537" t="str">
        <f>Application!B718</f>
        <v>SRO/Studio</v>
      </c>
      <c r="AQ112" s="537">
        <f>Application!O718</f>
        <v>468.8</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741.2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196.4</v>
      </c>
    </row>
    <row r="115" spans="1:52" s="537" customFormat="1" ht="12.75" customHeight="1">
      <c r="A115" s="541"/>
      <c r="B115" s="2397" t="s">
        <v>546</v>
      </c>
      <c r="C115" s="2397"/>
      <c r="D115" s="548" t="s">
        <v>1316</v>
      </c>
      <c r="E115" s="2408" t="s">
        <v>1859</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1"/>
      <c r="AL115" s="541"/>
      <c r="AM115" s="541"/>
      <c r="AN115" s="536"/>
      <c r="AO115" s="537" t="str">
        <f>Application!B721</f>
        <v>SRO/Studio</v>
      </c>
      <c r="AQ115" s="537">
        <f>Application!O721</f>
        <v>468.8</v>
      </c>
      <c r="AU115" s="537" t="s">
        <v>1841</v>
      </c>
      <c r="AV115" s="596" t="s">
        <v>1842</v>
      </c>
      <c r="AW115" s="537" t="s">
        <v>1843</v>
      </c>
    </row>
    <row r="116" spans="1:52" s="537" customFormat="1" ht="12.75" customHeight="1">
      <c r="A116" s="541"/>
      <c r="B116" s="540"/>
      <c r="C116" s="540"/>
      <c r="D116" s="540"/>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1"/>
      <c r="AL116" s="541"/>
      <c r="AM116" s="541"/>
      <c r="AN116" s="536"/>
      <c r="AO116" s="537" t="str">
        <f>Application!B722</f>
        <v>SRO/Studio</v>
      </c>
      <c r="AQ116" s="537">
        <f>Application!O722</f>
        <v>741.2</v>
      </c>
      <c r="AU116" s="857" t="str">
        <f>E124</f>
        <v>Studio/SRO</v>
      </c>
      <c r="AV116" s="537">
        <f t="array" ref="AV116">SUM(IF(Application!B718:F752="SRO/Studio",Application!G718:J752))</f>
        <v>138</v>
      </c>
      <c r="AW116" s="1012">
        <f>AV116/AV122</f>
        <v>0.965034965034965</v>
      </c>
    </row>
    <row r="117" spans="1:52" s="537" customFormat="1" ht="12.75" customHeight="1">
      <c r="A117" s="541"/>
      <c r="B117" s="540"/>
      <c r="C117" s="540"/>
      <c r="D117" s="540"/>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1"/>
      <c r="AL118" s="541"/>
      <c r="AM118" s="541"/>
      <c r="AN118" s="536"/>
      <c r="AO118" s="537" t="str">
        <f>Application!B724</f>
        <v>2 Bedrooms</v>
      </c>
      <c r="AQ118" s="537">
        <f>Application!O724</f>
        <v>881.2</v>
      </c>
      <c r="AU118" s="857" t="str">
        <f>O124</f>
        <v>2-bedroom</v>
      </c>
      <c r="AV118" s="537">
        <f t="array" ref="AV118">SUM(IF(Application!B718:F752="2 Bedrooms",Application!G718:J752))</f>
        <v>5</v>
      </c>
      <c r="AW118" s="1012">
        <f>AV118/AV122</f>
        <v>3.4965034965034968E-2</v>
      </c>
    </row>
    <row r="119" spans="1:52" s="537" customFormat="1" ht="12.75" customHeight="1">
      <c r="A119" s="541"/>
      <c r="B119" s="540"/>
      <c r="C119" s="540"/>
      <c r="D119" s="540"/>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1"/>
      <c r="AL122" s="541"/>
      <c r="AM122" s="541"/>
      <c r="AN122" s="536"/>
      <c r="AO122" s="537">
        <f>Application!B728</f>
        <v>0</v>
      </c>
      <c r="AQ122" s="537">
        <f>Application!O728</f>
        <v>0</v>
      </c>
      <c r="AV122" s="537">
        <f>SUM(AV116:AV121)</f>
        <v>143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1" t="s">
        <v>1589</v>
      </c>
      <c r="F124" s="2392"/>
      <c r="G124" s="2392"/>
      <c r="H124" s="2392"/>
      <c r="I124" s="578"/>
      <c r="J124" s="2392" t="s">
        <v>1632</v>
      </c>
      <c r="K124" s="2392"/>
      <c r="L124" s="2392"/>
      <c r="M124" s="2392"/>
      <c r="N124" s="578"/>
      <c r="O124" s="2392" t="s">
        <v>1633</v>
      </c>
      <c r="P124" s="2392"/>
      <c r="Q124" s="2392"/>
      <c r="R124" s="2392"/>
      <c r="S124" s="578"/>
      <c r="T124" s="2392" t="s">
        <v>1335</v>
      </c>
      <c r="U124" s="2392"/>
      <c r="V124" s="2392"/>
      <c r="W124" s="2392"/>
      <c r="X124" s="578"/>
      <c r="Y124" s="2392" t="s">
        <v>1634</v>
      </c>
      <c r="Z124" s="2392"/>
      <c r="AA124" s="2392"/>
      <c r="AB124" s="2392"/>
      <c r="AC124" s="578"/>
      <c r="AD124" s="2392" t="s">
        <v>1635</v>
      </c>
      <c r="AE124" s="2392"/>
      <c r="AF124" s="2392"/>
      <c r="AG124" s="239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1">
        <v>1388</v>
      </c>
      <c r="F127" s="2452"/>
      <c r="G127" s="2452"/>
      <c r="H127" s="2452"/>
      <c r="I127" s="865"/>
      <c r="J127" s="2452"/>
      <c r="K127" s="2452"/>
      <c r="L127" s="2452"/>
      <c r="M127" s="2452"/>
      <c r="N127" s="865"/>
      <c r="O127" s="2452">
        <v>3092</v>
      </c>
      <c r="P127" s="2452"/>
      <c r="Q127" s="2452"/>
      <c r="R127" s="2452"/>
      <c r="S127" s="865"/>
      <c r="T127" s="2452"/>
      <c r="U127" s="2452"/>
      <c r="V127" s="2452"/>
      <c r="W127" s="2452"/>
      <c r="X127" s="865"/>
      <c r="Y127" s="2452"/>
      <c r="Z127" s="2452"/>
      <c r="AA127" s="2452"/>
      <c r="AB127" s="2452"/>
      <c r="AC127" s="865"/>
      <c r="AD127" s="2452"/>
      <c r="AE127" s="2452"/>
      <c r="AF127" s="2452"/>
      <c r="AG127" s="245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4">
        <f>Application!DX670</f>
        <v>518.14782608695657</v>
      </c>
      <c r="F130" s="2445"/>
      <c r="G130" s="2445"/>
      <c r="H130" s="2445"/>
      <c r="I130" s="865"/>
      <c r="J130" s="2445">
        <f>Application!EC670</f>
        <v>0</v>
      </c>
      <c r="K130" s="2445"/>
      <c r="L130" s="2445"/>
      <c r="M130" s="2445"/>
      <c r="N130" s="865"/>
      <c r="O130" s="2445">
        <f>Application!EH670</f>
        <v>881.2</v>
      </c>
      <c r="P130" s="2445"/>
      <c r="Q130" s="2445"/>
      <c r="R130" s="2445"/>
      <c r="S130" s="869"/>
      <c r="T130" s="2445">
        <f>Application!EM670</f>
        <v>0</v>
      </c>
      <c r="U130" s="2445"/>
      <c r="V130" s="2445"/>
      <c r="W130" s="2445"/>
      <c r="X130" s="869"/>
      <c r="Y130" s="2445">
        <f>Application!ER670</f>
        <v>0</v>
      </c>
      <c r="Z130" s="2445"/>
      <c r="AA130" s="2445"/>
      <c r="AB130" s="2445"/>
      <c r="AC130" s="869"/>
      <c r="AD130" s="2445">
        <f>Application!EW670</f>
        <v>0</v>
      </c>
      <c r="AE130" s="2445"/>
      <c r="AF130" s="2445"/>
      <c r="AG130" s="244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3">
        <f>(E127-E130)/E127</f>
        <v>0.62669464979325895</v>
      </c>
      <c r="F133" s="2394"/>
      <c r="G133" s="2394"/>
      <c r="H133" s="2644"/>
      <c r="I133" s="578"/>
      <c r="J133" s="2643" t="e">
        <f>(J127-J130)/J127</f>
        <v>#DIV/0!</v>
      </c>
      <c r="K133" s="2394"/>
      <c r="L133" s="2394"/>
      <c r="M133" s="2644"/>
      <c r="N133" s="578"/>
      <c r="O133" s="2643">
        <f>(O127-O130)/O127</f>
        <v>0.71500646830530412</v>
      </c>
      <c r="P133" s="2394"/>
      <c r="Q133" s="2394"/>
      <c r="R133" s="2644"/>
      <c r="S133" s="578"/>
      <c r="T133" s="2643" t="e">
        <f>(T127-T130)/T127</f>
        <v>#DIV/0!</v>
      </c>
      <c r="U133" s="2394"/>
      <c r="V133" s="2394"/>
      <c r="W133" s="2644"/>
      <c r="X133" s="578"/>
      <c r="Y133" s="2643" t="e">
        <f>(Y127-Y130)/Y127</f>
        <v>#DIV/0!</v>
      </c>
      <c r="Z133" s="2394"/>
      <c r="AA133" s="2394"/>
      <c r="AB133" s="2644"/>
      <c r="AC133" s="578"/>
      <c r="AD133" s="2643" t="e">
        <f>(AD127-AD130)/AD127</f>
        <v>#DIV/0!</v>
      </c>
      <c r="AE133" s="2394"/>
      <c r="AF133" s="2394"/>
      <c r="AG133" s="264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6">
        <f>IF(((E133-0.1)*AW116)&gt;0,((E133-0.1)*AW116),0)</f>
        <v>0.50827875294734082</v>
      </c>
      <c r="F136" s="2447"/>
      <c r="G136" s="2447"/>
      <c r="H136" s="2448"/>
      <c r="I136" s="578"/>
      <c r="J136" s="2446" t="e">
        <f>IF(((J133-0.1)*AW117)&gt;0,((J133-0.1)*AW117),0)</f>
        <v>#DIV/0!</v>
      </c>
      <c r="K136" s="2447"/>
      <c r="L136" s="2447"/>
      <c r="M136" s="2448"/>
      <c r="N136" s="578"/>
      <c r="O136" s="2446">
        <f>IF(((O133-0.1)*AW118)&gt;0,((O133-0.1)*AW118),0)</f>
        <v>2.150372266801763E-2</v>
      </c>
      <c r="P136" s="2447"/>
      <c r="Q136" s="2447"/>
      <c r="R136" s="2448"/>
      <c r="S136" s="578"/>
      <c r="T136" s="2446" t="e">
        <f>IF(((T133-0.1)*AW119)&gt;0,((T133-0.1)*AW119),0)</f>
        <v>#DIV/0!</v>
      </c>
      <c r="U136" s="2447"/>
      <c r="V136" s="2447"/>
      <c r="W136" s="2448"/>
      <c r="X136" s="578"/>
      <c r="Y136" s="2446" t="e">
        <f>IF(((Y133-0.1)*AW120)&gt;0,((Y133-0.1)*AW120),0)</f>
        <v>#DIV/0!</v>
      </c>
      <c r="Z136" s="2447"/>
      <c r="AA136" s="2447"/>
      <c r="AB136" s="2448"/>
      <c r="AC136" s="578"/>
      <c r="AD136" s="2446" t="e">
        <f>IF(((AD133-0.1)*AW121)&gt;0,((AD133-0.1)*AW121),0)</f>
        <v>#DIV/0!</v>
      </c>
      <c r="AE136" s="2447"/>
      <c r="AF136" s="2447"/>
      <c r="AG136" s="244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3">
        <f>ROUNDDOWN(SUMIF(E136:AG136,"&gt;0"),2)</f>
        <v>0.52</v>
      </c>
      <c r="F138" s="2394"/>
      <c r="G138" s="2394"/>
      <c r="H138" s="2644"/>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0">
        <f>IF((E138*100)&gt;10,10,E138*100)</f>
        <v>10</v>
      </c>
      <c r="F139" s="2431"/>
      <c r="G139" s="2431"/>
      <c r="H139" s="2432"/>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0">
        <f>E139</f>
        <v>10</v>
      </c>
      <c r="AL143" s="2431"/>
      <c r="AM143" s="243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7" t="s">
        <v>1315</v>
      </c>
      <c r="AF146" s="2407"/>
      <c r="AG146" s="2407"/>
      <c r="AH146" s="2407"/>
      <c r="AI146" s="2407"/>
      <c r="AJ146" s="2407"/>
      <c r="AK146" s="2407"/>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2" t="s">
        <v>1339</v>
      </c>
      <c r="AG148" s="2442"/>
      <c r="AH148" s="2442"/>
      <c r="AI148" s="2442"/>
      <c r="AJ148" s="2442"/>
      <c r="AK148" s="2442"/>
      <c r="AL148" s="244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3" t="s">
        <v>2647</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9" t="s">
        <v>1342</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40"/>
      <c r="AN153" s="536"/>
      <c r="AO153" s="477" t="s">
        <v>1342</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1343</v>
      </c>
      <c r="AB155" s="2470" t="s">
        <v>592</v>
      </c>
      <c r="AC155" s="247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9" t="s">
        <v>1344</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0" t="s">
        <v>2479</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2"/>
      <c r="AM161" s="540"/>
      <c r="AN161" s="536"/>
      <c r="AO161" s="477"/>
      <c r="AP161" s="490"/>
    </row>
    <row r="162" spans="1:42" s="537"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2"/>
      <c r="AM162" s="540"/>
      <c r="AN162" s="536"/>
      <c r="AO162" s="477"/>
      <c r="AP162" s="490"/>
    </row>
    <row r="163" spans="1:42" s="537" customFormat="1" ht="12.75" customHeight="1">
      <c r="C163" s="2533" t="s">
        <v>2480</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2"/>
      <c r="AM163" s="540"/>
      <c r="AN163" s="536"/>
      <c r="AO163" s="477"/>
      <c r="AP163" s="490"/>
    </row>
    <row r="164" spans="1:42" s="537" customFormat="1" ht="12.75" customHeight="1">
      <c r="B164" s="1182"/>
      <c r="C164" s="2468" t="s">
        <v>2478</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2"/>
      <c r="AB164" s="1172"/>
      <c r="AC164" s="1172"/>
      <c r="AD164" s="1172"/>
      <c r="AE164" s="1172"/>
      <c r="AF164" s="1172"/>
      <c r="AG164" s="1172"/>
      <c r="AH164" s="1172"/>
      <c r="AJ164" s="2470" t="s">
        <v>592</v>
      </c>
      <c r="AK164" s="247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3">
        <f>IF($AB$155="N/A",VLOOKUP($B$153,$AO$151:$AP$154,2,FALSE),VLOOKUP($B$158,$AO$156:$AP$158,2,FALSE))</f>
        <v>7</v>
      </c>
      <c r="AK166" s="247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2" t="s">
        <v>1353</v>
      </c>
      <c r="AG168" s="2442"/>
      <c r="AH168" s="2442"/>
      <c r="AI168" s="2442"/>
      <c r="AJ168" s="2442"/>
      <c r="AK168" s="2442"/>
      <c r="AL168" s="2442"/>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9" t="s">
        <v>1351</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0" t="s">
        <v>592</v>
      </c>
      <c r="AG172" s="2470"/>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9" t="s">
        <v>1344</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1" t="str">
        <f>Application!AA335</f>
        <v>Domus Management Company</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2">
        <f>IF($AF$172="N/A",VLOOKUP($C$170,$AO$170:$AP$173,2,FALSE),VLOOKUP($C$174,$AO$177:$AP$179,2,FALSE))</f>
        <v>3</v>
      </c>
      <c r="AK180" s="247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0">
        <f>$AJ$166+$AJ$180</f>
        <v>10</v>
      </c>
      <c r="AL183" s="2431"/>
      <c r="AM183" s="243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7" t="s">
        <v>1315</v>
      </c>
      <c r="AF186" s="2407"/>
      <c r="AG186" s="2407"/>
      <c r="AH186" s="2407"/>
      <c r="AI186" s="2407"/>
      <c r="AJ186" s="2407"/>
      <c r="AK186" s="2407"/>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7" t="s">
        <v>1044</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7"/>
      <c r="AE188" s="537"/>
      <c r="AF188" s="2442" t="s">
        <v>1364</v>
      </c>
      <c r="AG188" s="2442"/>
      <c r="AH188" s="2442"/>
      <c r="AI188" s="2442"/>
      <c r="AJ188" s="2442"/>
      <c r="AK188" s="2442"/>
      <c r="AL188" s="2442"/>
      <c r="AN188" s="598"/>
      <c r="AP188" s="551" t="s">
        <v>1044</v>
      </c>
      <c r="AQ188" s="551">
        <v>10</v>
      </c>
    </row>
    <row r="189" spans="1:73" s="551" customFormat="1" ht="12.75" customHeight="1">
      <c r="A189" s="537"/>
      <c r="B189" s="2468" t="s">
        <v>1727</v>
      </c>
      <c r="C189" s="2468"/>
      <c r="D189" s="2468"/>
      <c r="E189" s="2468"/>
      <c r="F189" s="2468"/>
      <c r="G189" s="2468"/>
      <c r="H189" s="2468"/>
      <c r="I189" s="2468"/>
      <c r="J189" s="2468"/>
      <c r="K189" s="2468"/>
      <c r="L189" s="2468"/>
      <c r="M189" s="2468"/>
      <c r="N189" s="2468"/>
      <c r="O189" s="2468"/>
      <c r="P189" s="2468"/>
      <c r="Q189" s="2468"/>
      <c r="R189" s="2468"/>
      <c r="S189" s="2468"/>
      <c r="T189" s="2443" t="s">
        <v>592</v>
      </c>
      <c r="U189" s="2443"/>
      <c r="V189" s="2443"/>
      <c r="W189" s="2443"/>
      <c r="X189" s="2443"/>
      <c r="Y189" s="2443"/>
      <c r="Z189" s="2443"/>
      <c r="AA189" s="2443"/>
      <c r="AB189" s="2443"/>
      <c r="AC189" s="244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7">
        <f>IF(AK84&gt;0,VLOOKUP($B$188,AP185:AQ191,2,FALSE),0)</f>
        <v>10</v>
      </c>
      <c r="AL191" s="2478"/>
      <c r="AM191" s="2479"/>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7" t="s">
        <v>1373</v>
      </c>
      <c r="AF194" s="2407"/>
      <c r="AG194" s="2407"/>
      <c r="AH194" s="2407"/>
      <c r="AI194" s="2407"/>
      <c r="AJ194" s="2407"/>
      <c r="AK194" s="2407"/>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4" t="str">
        <f>Application!C629</f>
        <v>R2H2 City Loan</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7"/>
      <c r="AD199" s="2455">
        <f>Application!AO629</f>
        <v>12500000</v>
      </c>
      <c r="AE199" s="2455"/>
      <c r="AF199" s="2455"/>
      <c r="AG199" s="2455"/>
      <c r="AH199" s="2455"/>
      <c r="AI199" s="2455"/>
      <c r="AJ199" s="2455"/>
      <c r="AK199" s="611"/>
    </row>
    <row r="200" spans="1:40">
      <c r="A200" s="606"/>
      <c r="B200" s="2454" t="str">
        <f>Application!C627</f>
        <v>HomeKey Capital</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7"/>
      <c r="AD200" s="2455">
        <f>Application!AO627</f>
        <v>32500000</v>
      </c>
      <c r="AE200" s="2455"/>
      <c r="AF200" s="2455"/>
      <c r="AG200" s="2455"/>
      <c r="AH200" s="2455"/>
      <c r="AI200" s="2455"/>
      <c r="AJ200" s="2455"/>
      <c r="AK200" s="611"/>
    </row>
    <row r="201" spans="1:40">
      <c r="A201" s="606"/>
      <c r="B201" s="2454" t="s">
        <v>2630</v>
      </c>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7"/>
      <c r="AD201" s="2455">
        <f>ROUNDUP(8%*AG269,-6)</f>
        <v>6000000</v>
      </c>
      <c r="AE201" s="2455"/>
      <c r="AF201" s="2455"/>
      <c r="AG201" s="2455"/>
      <c r="AH201" s="2455"/>
      <c r="AI201" s="2455"/>
      <c r="AJ201" s="2455"/>
      <c r="AK201" s="611"/>
    </row>
    <row r="202" spans="1:40">
      <c r="A202" s="606"/>
      <c r="B202" s="2454" t="s">
        <v>2736</v>
      </c>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7"/>
      <c r="AD202" s="2455">
        <v>4800000</v>
      </c>
      <c r="AE202" s="2455"/>
      <c r="AF202" s="2455"/>
      <c r="AG202" s="2455"/>
      <c r="AH202" s="2455"/>
      <c r="AI202" s="2455"/>
      <c r="AJ202" s="2455"/>
      <c r="AK202" s="611"/>
    </row>
    <row r="203" spans="1:40">
      <c r="A203" s="606"/>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7"/>
      <c r="AD203" s="2455"/>
      <c r="AE203" s="2455"/>
      <c r="AF203" s="2455"/>
      <c r="AG203" s="2455"/>
      <c r="AH203" s="2455"/>
      <c r="AI203" s="2455"/>
      <c r="AJ203" s="2455"/>
      <c r="AK203" s="611"/>
    </row>
    <row r="204" spans="1:40">
      <c r="A204" s="606"/>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7"/>
      <c r="AD204" s="2455"/>
      <c r="AE204" s="2455"/>
      <c r="AF204" s="2455"/>
      <c r="AG204" s="2455"/>
      <c r="AH204" s="2455"/>
      <c r="AI204" s="2455"/>
      <c r="AJ204" s="2455"/>
      <c r="AK204" s="611"/>
    </row>
    <row r="205" spans="1:40">
      <c r="A205" s="606"/>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7"/>
      <c r="AD205" s="2455"/>
      <c r="AE205" s="2455"/>
      <c r="AF205" s="2455"/>
      <c r="AG205" s="2455"/>
      <c r="AH205" s="2455"/>
      <c r="AI205" s="2455"/>
      <c r="AJ205" s="2455"/>
      <c r="AK205" s="611"/>
    </row>
    <row r="206" spans="1:40">
      <c r="A206" s="606"/>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7"/>
      <c r="AD206" s="2455"/>
      <c r="AE206" s="2455"/>
      <c r="AF206" s="2455"/>
      <c r="AG206" s="2455"/>
      <c r="AH206" s="2455"/>
      <c r="AI206" s="2455"/>
      <c r="AJ206" s="2455"/>
      <c r="AK206" s="611"/>
    </row>
    <row r="207" spans="1:40">
      <c r="A207" s="606"/>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7"/>
      <c r="AD207" s="2455"/>
      <c r="AE207" s="2455"/>
      <c r="AF207" s="2455"/>
      <c r="AG207" s="2455"/>
      <c r="AH207" s="2455"/>
      <c r="AI207" s="2455"/>
      <c r="AJ207" s="2455"/>
      <c r="AK207" s="611"/>
    </row>
    <row r="208" spans="1:40">
      <c r="A208" s="606"/>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7"/>
      <c r="AD208" s="2455"/>
      <c r="AE208" s="2455"/>
      <c r="AF208" s="2455"/>
      <c r="AG208" s="2455"/>
      <c r="AH208" s="2455"/>
      <c r="AI208" s="2455"/>
      <c r="AJ208" s="2455"/>
      <c r="AK208" s="611"/>
    </row>
    <row r="209" spans="1:37">
      <c r="A209" s="606"/>
      <c r="B209" s="2465" t="s">
        <v>1628</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7"/>
      <c r="AD209" s="2484">
        <f>AB260</f>
        <v>2775706.4170650286</v>
      </c>
      <c r="AE209" s="2484"/>
      <c r="AF209" s="2484"/>
      <c r="AG209" s="2484"/>
      <c r="AH209" s="2484"/>
      <c r="AI209" s="2484"/>
      <c r="AJ209" s="2484"/>
      <c r="AK209" s="611"/>
    </row>
    <row r="210" spans="1:37">
      <c r="A210" s="606"/>
      <c r="B210" s="2611" t="s">
        <v>1591</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7"/>
      <c r="AD210" s="2485">
        <f>'Sources and Uses Budget'!B15</f>
        <v>0</v>
      </c>
      <c r="AE210" s="2485"/>
      <c r="AF210" s="2485"/>
      <c r="AG210" s="2485"/>
      <c r="AH210" s="2485"/>
      <c r="AI210" s="2485"/>
      <c r="AJ210" s="2485"/>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9">
        <f>SUM(AD199:AJ209)-AD210</f>
        <v>58575706.417065032</v>
      </c>
      <c r="AE211" s="2489"/>
      <c r="AF211" s="2489"/>
      <c r="AG211" s="2489"/>
      <c r="AH211" s="2489"/>
      <c r="AI211" s="2489"/>
      <c r="AJ211" s="248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8" t="s">
        <v>1608</v>
      </c>
      <c r="J222" s="2458"/>
      <c r="K222" s="2458"/>
      <c r="L222" s="537"/>
      <c r="M222" s="537"/>
      <c r="N222" s="537"/>
      <c r="O222" s="537"/>
      <c r="P222" s="537"/>
      <c r="Q222" s="537"/>
      <c r="R222" s="537"/>
      <c r="S222" s="537"/>
      <c r="T222" s="2646" t="s">
        <v>1602</v>
      </c>
      <c r="U222" s="2646"/>
      <c r="V222" s="2646"/>
      <c r="W222" s="2646"/>
      <c r="X222" s="2646"/>
      <c r="Y222" s="2646"/>
      <c r="Z222" s="850"/>
      <c r="AA222" s="490"/>
      <c r="AB222" s="2453" t="s">
        <v>1603</v>
      </c>
      <c r="AC222" s="2453"/>
      <c r="AD222" s="2453"/>
      <c r="AE222" s="2453"/>
      <c r="AF222" s="2453"/>
      <c r="AG222" s="2453"/>
      <c r="AH222" s="828"/>
      <c r="AI222" s="828"/>
      <c r="AJ222" s="828"/>
      <c r="AK222" s="611"/>
    </row>
    <row r="223" spans="1:37">
      <c r="A223" s="606"/>
      <c r="B223" s="2456" t="s">
        <v>1588</v>
      </c>
      <c r="C223" s="2456"/>
      <c r="D223" s="2456"/>
      <c r="E223" s="2456"/>
      <c r="F223" s="2456"/>
      <c r="G223" s="2456"/>
      <c r="I223" s="2457" t="s">
        <v>1609</v>
      </c>
      <c r="J223" s="2457"/>
      <c r="K223" s="2457"/>
      <c r="L223" s="1009"/>
      <c r="N223" s="2463" t="s">
        <v>1604</v>
      </c>
      <c r="O223" s="2463"/>
      <c r="P223" s="2463"/>
      <c r="Q223" s="2463"/>
      <c r="R223" s="2463"/>
      <c r="T223" s="2463" t="s">
        <v>1605</v>
      </c>
      <c r="U223" s="2463"/>
      <c r="V223" s="2463"/>
      <c r="W223" s="2463"/>
      <c r="X223" s="2463"/>
      <c r="Y223" s="2463"/>
      <c r="Z223" s="851"/>
      <c r="AA223" s="490"/>
      <c r="AB223" s="2600" t="s">
        <v>1606</v>
      </c>
      <c r="AC223" s="2600"/>
      <c r="AD223" s="2600"/>
      <c r="AE223" s="2600"/>
      <c r="AF223" s="2600"/>
      <c r="AG223" s="2600"/>
      <c r="AH223" s="828"/>
      <c r="AI223" s="828"/>
      <c r="AJ223" s="828"/>
      <c r="AK223" s="611"/>
    </row>
    <row r="224" spans="1:37">
      <c r="A224" s="606"/>
      <c r="B224" s="2460" t="s">
        <v>324</v>
      </c>
      <c r="C224" s="2460"/>
      <c r="D224" s="2460"/>
      <c r="E224" s="2460"/>
      <c r="F224" s="2460"/>
      <c r="G224" s="2460"/>
      <c r="H224" s="853"/>
      <c r="I224" s="2459">
        <v>16</v>
      </c>
      <c r="J224" s="2459"/>
      <c r="K224" s="2459"/>
      <c r="L224" s="1009"/>
      <c r="N224" s="2464">
        <v>817</v>
      </c>
      <c r="O224" s="2464"/>
      <c r="P224" s="2464"/>
      <c r="Q224" s="2464"/>
      <c r="R224" s="2464"/>
      <c r="T224" s="2612">
        <v>1846</v>
      </c>
      <c r="U224" s="2612"/>
      <c r="V224" s="2612"/>
      <c r="W224" s="2612"/>
      <c r="X224" s="2612"/>
      <c r="Y224" s="2612"/>
      <c r="Z224" s="852"/>
      <c r="AA224" s="852"/>
      <c r="AB224" s="2461">
        <f t="shared" ref="AB224:AB233" si="0">MAX(($T224-$N224)*$I224*12,0)</f>
        <v>197568</v>
      </c>
      <c r="AC224" s="2461"/>
      <c r="AD224" s="2461"/>
      <c r="AE224" s="2461"/>
      <c r="AF224" s="2461"/>
      <c r="AG224" s="2461"/>
      <c r="AH224" s="828"/>
      <c r="AI224" s="828"/>
      <c r="AJ224" s="828"/>
      <c r="AK224" s="611"/>
    </row>
    <row r="225" spans="1:37">
      <c r="A225" s="606"/>
      <c r="B225" s="2460" t="s">
        <v>2631</v>
      </c>
      <c r="C225" s="2460"/>
      <c r="D225" s="2460"/>
      <c r="E225" s="2460"/>
      <c r="F225" s="2460"/>
      <c r="G225" s="2460"/>
      <c r="I225" s="2459">
        <v>5</v>
      </c>
      <c r="J225" s="2459"/>
      <c r="K225" s="2459"/>
      <c r="L225" s="1009"/>
      <c r="N225" s="2464">
        <v>1051</v>
      </c>
      <c r="O225" s="2464"/>
      <c r="P225" s="2464"/>
      <c r="Q225" s="2464"/>
      <c r="R225" s="2464"/>
      <c r="T225" s="2612">
        <v>2729</v>
      </c>
      <c r="U225" s="2612"/>
      <c r="V225" s="2612"/>
      <c r="W225" s="2612"/>
      <c r="X225" s="2612"/>
      <c r="Y225" s="2612"/>
      <c r="Z225" s="852"/>
      <c r="AA225" s="852"/>
      <c r="AB225" s="2461">
        <f t="shared" si="0"/>
        <v>100680</v>
      </c>
      <c r="AC225" s="2461"/>
      <c r="AD225" s="2461"/>
      <c r="AE225" s="2461"/>
      <c r="AF225" s="2461"/>
      <c r="AG225" s="2461"/>
      <c r="AH225" s="828"/>
      <c r="AI225" s="828"/>
      <c r="AJ225" s="828"/>
      <c r="AK225" s="611"/>
    </row>
    <row r="226" spans="1:37">
      <c r="A226" s="606"/>
      <c r="B226" s="2460" t="s">
        <v>1185</v>
      </c>
      <c r="C226" s="2460"/>
      <c r="D226" s="2460"/>
      <c r="E226" s="2460"/>
      <c r="F226" s="2460"/>
      <c r="G226" s="2460"/>
      <c r="I226" s="2459"/>
      <c r="J226" s="2459"/>
      <c r="K226" s="2459"/>
      <c r="L226" s="1009"/>
      <c r="N226" s="2464"/>
      <c r="O226" s="2464"/>
      <c r="P226" s="2464"/>
      <c r="Q226" s="2464"/>
      <c r="R226" s="2464"/>
      <c r="T226" s="2612"/>
      <c r="U226" s="2612"/>
      <c r="V226" s="2612"/>
      <c r="W226" s="2612"/>
      <c r="X226" s="2612"/>
      <c r="Y226" s="2612"/>
      <c r="Z226" s="852"/>
      <c r="AA226" s="852"/>
      <c r="AB226" s="2461">
        <f t="shared" si="0"/>
        <v>0</v>
      </c>
      <c r="AC226" s="2461"/>
      <c r="AD226" s="2461"/>
      <c r="AE226" s="2461"/>
      <c r="AF226" s="2461"/>
      <c r="AG226" s="2461"/>
      <c r="AH226" s="828"/>
      <c r="AI226" s="828"/>
      <c r="AJ226" s="828"/>
      <c r="AK226" s="611"/>
    </row>
    <row r="227" spans="1:37">
      <c r="A227" s="606"/>
      <c r="B227" s="2460" t="s">
        <v>1185</v>
      </c>
      <c r="C227" s="2460"/>
      <c r="D227" s="2460"/>
      <c r="E227" s="2460"/>
      <c r="F227" s="2460"/>
      <c r="G227" s="2460"/>
      <c r="I227" s="2459"/>
      <c r="J227" s="2459"/>
      <c r="K227" s="2459"/>
      <c r="L227" s="1009"/>
      <c r="N227" s="2464"/>
      <c r="O227" s="2464"/>
      <c r="P227" s="2464"/>
      <c r="Q227" s="2464"/>
      <c r="R227" s="2464"/>
      <c r="T227" s="2612"/>
      <c r="U227" s="2612"/>
      <c r="V227" s="2612"/>
      <c r="W227" s="2612"/>
      <c r="X227" s="2612"/>
      <c r="Y227" s="2612"/>
      <c r="Z227" s="852"/>
      <c r="AA227" s="852"/>
      <c r="AB227" s="2461">
        <f t="shared" si="0"/>
        <v>0</v>
      </c>
      <c r="AC227" s="2461"/>
      <c r="AD227" s="2461"/>
      <c r="AE227" s="2461"/>
      <c r="AF227" s="2461"/>
      <c r="AG227" s="2461"/>
      <c r="AH227" s="828"/>
      <c r="AI227" s="828"/>
      <c r="AJ227" s="828"/>
      <c r="AK227" s="611"/>
    </row>
    <row r="228" spans="1:37">
      <c r="A228" s="606"/>
      <c r="B228" s="2460" t="s">
        <v>1185</v>
      </c>
      <c r="C228" s="2460"/>
      <c r="D228" s="2460"/>
      <c r="E228" s="2460"/>
      <c r="F228" s="2460"/>
      <c r="G228" s="2460"/>
      <c r="I228" s="2459"/>
      <c r="J228" s="2459"/>
      <c r="K228" s="2459"/>
      <c r="L228" s="1016"/>
      <c r="N228" s="2464"/>
      <c r="O228" s="2464"/>
      <c r="P228" s="2464"/>
      <c r="Q228" s="2464"/>
      <c r="R228" s="2464"/>
      <c r="T228" s="2612"/>
      <c r="U228" s="2612"/>
      <c r="V228" s="2612"/>
      <c r="W228" s="2612"/>
      <c r="X228" s="2612"/>
      <c r="Y228" s="2612"/>
      <c r="Z228" s="852"/>
      <c r="AA228" s="852"/>
      <c r="AB228" s="2461">
        <f t="shared" si="0"/>
        <v>0</v>
      </c>
      <c r="AC228" s="2461"/>
      <c r="AD228" s="2461"/>
      <c r="AE228" s="2461"/>
      <c r="AF228" s="2461"/>
      <c r="AG228" s="2461"/>
      <c r="AH228" s="828"/>
      <c r="AI228" s="828"/>
      <c r="AJ228" s="828"/>
      <c r="AK228" s="611"/>
    </row>
    <row r="229" spans="1:37">
      <c r="A229" s="606"/>
      <c r="B229" s="2460" t="s">
        <v>1185</v>
      </c>
      <c r="C229" s="2460"/>
      <c r="D229" s="2460"/>
      <c r="E229" s="2460"/>
      <c r="F229" s="2460"/>
      <c r="G229" s="2460"/>
      <c r="I229" s="2459"/>
      <c r="J229" s="2459"/>
      <c r="K229" s="2459"/>
      <c r="L229" s="1016"/>
      <c r="N229" s="2464"/>
      <c r="O229" s="2464"/>
      <c r="P229" s="2464"/>
      <c r="Q229" s="2464"/>
      <c r="R229" s="2464"/>
      <c r="T229" s="2612"/>
      <c r="U229" s="2612"/>
      <c r="V229" s="2612"/>
      <c r="W229" s="2612"/>
      <c r="X229" s="2612"/>
      <c r="Y229" s="2612"/>
      <c r="Z229" s="852"/>
      <c r="AA229" s="852"/>
      <c r="AB229" s="2461">
        <f t="shared" si="0"/>
        <v>0</v>
      </c>
      <c r="AC229" s="2461"/>
      <c r="AD229" s="2461"/>
      <c r="AE229" s="2461"/>
      <c r="AF229" s="2461"/>
      <c r="AG229" s="2461"/>
      <c r="AH229" s="828"/>
      <c r="AI229" s="828"/>
      <c r="AJ229" s="828"/>
      <c r="AK229" s="611"/>
    </row>
    <row r="230" spans="1:37">
      <c r="A230" s="606"/>
      <c r="B230" s="2460" t="s">
        <v>1185</v>
      </c>
      <c r="C230" s="2460"/>
      <c r="D230" s="2460"/>
      <c r="E230" s="2460"/>
      <c r="F230" s="2460"/>
      <c r="G230" s="2460"/>
      <c r="I230" s="2459"/>
      <c r="J230" s="2459"/>
      <c r="K230" s="2459"/>
      <c r="L230" s="1016"/>
      <c r="N230" s="2464"/>
      <c r="O230" s="2464"/>
      <c r="P230" s="2464"/>
      <c r="Q230" s="2464"/>
      <c r="R230" s="2464"/>
      <c r="T230" s="2612"/>
      <c r="U230" s="2612"/>
      <c r="V230" s="2612"/>
      <c r="W230" s="2612"/>
      <c r="X230" s="2612"/>
      <c r="Y230" s="2612"/>
      <c r="Z230" s="852"/>
      <c r="AA230" s="852"/>
      <c r="AB230" s="2461">
        <f t="shared" si="0"/>
        <v>0</v>
      </c>
      <c r="AC230" s="2461"/>
      <c r="AD230" s="2461"/>
      <c r="AE230" s="2461"/>
      <c r="AF230" s="2461"/>
      <c r="AG230" s="2461"/>
      <c r="AH230" s="828"/>
      <c r="AI230" s="828"/>
      <c r="AJ230" s="828"/>
      <c r="AK230" s="611"/>
    </row>
    <row r="231" spans="1:37">
      <c r="A231" s="606"/>
      <c r="B231" s="2460" t="s">
        <v>1185</v>
      </c>
      <c r="C231" s="2460"/>
      <c r="D231" s="2460"/>
      <c r="E231" s="2460"/>
      <c r="F231" s="2460"/>
      <c r="G231" s="2460"/>
      <c r="I231" s="2459"/>
      <c r="J231" s="2459"/>
      <c r="K231" s="2459"/>
      <c r="L231" s="1016"/>
      <c r="N231" s="2464"/>
      <c r="O231" s="2464"/>
      <c r="P231" s="2464"/>
      <c r="Q231" s="2464"/>
      <c r="R231" s="2464"/>
      <c r="T231" s="2612"/>
      <c r="U231" s="2612"/>
      <c r="V231" s="2612"/>
      <c r="W231" s="2612"/>
      <c r="X231" s="2612"/>
      <c r="Y231" s="2612"/>
      <c r="Z231" s="852"/>
      <c r="AA231" s="852"/>
      <c r="AB231" s="2461">
        <f t="shared" si="0"/>
        <v>0</v>
      </c>
      <c r="AC231" s="2461"/>
      <c r="AD231" s="2461"/>
      <c r="AE231" s="2461"/>
      <c r="AF231" s="2461"/>
      <c r="AG231" s="2461"/>
      <c r="AH231" s="828"/>
      <c r="AI231" s="828"/>
      <c r="AJ231" s="828"/>
      <c r="AK231" s="611"/>
    </row>
    <row r="232" spans="1:37">
      <c r="A232" s="606"/>
      <c r="B232" s="2460" t="s">
        <v>1185</v>
      </c>
      <c r="C232" s="2460"/>
      <c r="D232" s="2460"/>
      <c r="E232" s="2460"/>
      <c r="F232" s="2460"/>
      <c r="G232" s="2460"/>
      <c r="I232" s="2459"/>
      <c r="J232" s="2459"/>
      <c r="K232" s="2459"/>
      <c r="L232" s="1016"/>
      <c r="N232" s="2464"/>
      <c r="O232" s="2464"/>
      <c r="P232" s="2464"/>
      <c r="Q232" s="2464"/>
      <c r="R232" s="2464"/>
      <c r="T232" s="2612"/>
      <c r="U232" s="2612"/>
      <c r="V232" s="2612"/>
      <c r="W232" s="2612"/>
      <c r="X232" s="2612"/>
      <c r="Y232" s="2612"/>
      <c r="Z232" s="852"/>
      <c r="AA232" s="852"/>
      <c r="AB232" s="2461">
        <f t="shared" si="0"/>
        <v>0</v>
      </c>
      <c r="AC232" s="2461"/>
      <c r="AD232" s="2461"/>
      <c r="AE232" s="2461"/>
      <c r="AF232" s="2461"/>
      <c r="AG232" s="2461"/>
      <c r="AH232" s="828"/>
      <c r="AI232" s="828"/>
      <c r="AJ232" s="828"/>
      <c r="AK232" s="611"/>
    </row>
    <row r="233" spans="1:37">
      <c r="A233" s="606"/>
      <c r="B233" s="2460" t="s">
        <v>1185</v>
      </c>
      <c r="C233" s="2460"/>
      <c r="D233" s="2460"/>
      <c r="E233" s="2460"/>
      <c r="F233" s="2460"/>
      <c r="G233" s="2460"/>
      <c r="I233" s="2462"/>
      <c r="J233" s="2462"/>
      <c r="K233" s="2462"/>
      <c r="L233" s="1016"/>
      <c r="N233" s="2464"/>
      <c r="O233" s="2464"/>
      <c r="P233" s="2464"/>
      <c r="Q233" s="2464"/>
      <c r="R233" s="2464"/>
      <c r="T233" s="2612"/>
      <c r="U233" s="2612"/>
      <c r="V233" s="2612"/>
      <c r="W233" s="2612"/>
      <c r="X233" s="2612"/>
      <c r="Y233" s="2612"/>
      <c r="Z233" s="852"/>
      <c r="AA233" s="852"/>
      <c r="AB233" s="2610">
        <f t="shared" si="0"/>
        <v>0</v>
      </c>
      <c r="AC233" s="2610"/>
      <c r="AD233" s="2610"/>
      <c r="AE233" s="2610"/>
      <c r="AF233" s="2610"/>
      <c r="AG233" s="261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1">
        <f>SUM(AB224:AB233)</f>
        <v>298248</v>
      </c>
      <c r="AC234" s="2461"/>
      <c r="AD234" s="2461"/>
      <c r="AE234" s="2461"/>
      <c r="AF234" s="2461"/>
      <c r="AG234" s="246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3"/>
      <c r="AC240" s="2613"/>
      <c r="AD240" s="2613"/>
      <c r="AE240" s="2613"/>
      <c r="AF240" s="2613"/>
      <c r="AG240" s="2613"/>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3"/>
      <c r="AC243" s="2613"/>
      <c r="AD243" s="2613"/>
      <c r="AE243" s="2613"/>
      <c r="AF243" s="2613"/>
      <c r="AG243" s="2613"/>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5"/>
      <c r="AC244" s="2645"/>
      <c r="AD244" s="2645"/>
      <c r="AE244" s="2645"/>
      <c r="AF244" s="2645"/>
      <c r="AG244" s="2645"/>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7">
        <f>IFERROR(AB243/AB244,0)</f>
        <v>0</v>
      </c>
      <c r="AC245" s="2627"/>
      <c r="AD245" s="2627"/>
      <c r="AE245" s="2627"/>
      <c r="AF245" s="2627"/>
      <c r="AG245" s="262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0">
        <f>MAX(AB240,AB245)</f>
        <v>0</v>
      </c>
      <c r="AC247" s="2610"/>
      <c r="AD247" s="2610"/>
      <c r="AE247" s="2610"/>
      <c r="AF247" s="2610"/>
      <c r="AG247" s="261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1">
        <f>AB234+AB247</f>
        <v>298248</v>
      </c>
      <c r="AC250" s="2461"/>
      <c r="AD250" s="2461"/>
      <c r="AE250" s="2461"/>
      <c r="AF250" s="2461"/>
      <c r="AG250" s="246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3">
        <v>0.05</v>
      </c>
      <c r="AC251" s="2493"/>
      <c r="AD251" s="2493"/>
      <c r="AE251" s="2493"/>
      <c r="AF251" s="2493"/>
      <c r="AG251" s="2493"/>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4">
        <f>AB250-(AB250*AB251)</f>
        <v>283335.59999999998</v>
      </c>
      <c r="AC252" s="2494"/>
      <c r="AD252" s="2494"/>
      <c r="AE252" s="2494"/>
      <c r="AF252" s="2494"/>
      <c r="AG252" s="2494"/>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1">
        <f>AB252/AB258</f>
        <v>246378.78260869565</v>
      </c>
      <c r="AC254" s="2461"/>
      <c r="AD254" s="2461"/>
      <c r="AE254" s="2461"/>
      <c r="AF254" s="2461"/>
      <c r="AG254" s="246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3">
        <v>15</v>
      </c>
      <c r="AC256" s="2453"/>
      <c r="AD256" s="2453"/>
      <c r="AE256" s="2453"/>
      <c r="AF256" s="2453"/>
      <c r="AG256" s="2453"/>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5">
        <v>0.04</v>
      </c>
      <c r="AC257" s="2495"/>
      <c r="AD257" s="2495"/>
      <c r="AE257" s="2495"/>
      <c r="AF257" s="2495"/>
      <c r="AG257" s="249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6">
        <v>1.1499999999999999</v>
      </c>
      <c r="AC258" s="2466"/>
      <c r="AD258" s="2466"/>
      <c r="AE258" s="2466"/>
      <c r="AF258" s="2466"/>
      <c r="AG258" s="246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6">
        <f>PV(AB257/12,AB256*12,-AB254/12, ,0)</f>
        <v>2775706.4170650286</v>
      </c>
      <c r="AC260" s="2487"/>
      <c r="AD260" s="2487"/>
      <c r="AE260" s="2487"/>
      <c r="AF260" s="2487"/>
      <c r="AG260" s="2488"/>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0">
        <f>IFERROR(('Sources and Uses Budget'!D105/'Sources and Uses Budget'!B105),0)</f>
        <v>0</v>
      </c>
      <c r="AC266" s="2491"/>
      <c r="AD266" s="2491"/>
      <c r="AE266" s="2491"/>
      <c r="AF266" s="2491"/>
      <c r="AG266" s="249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0">
        <f>AD211*(1-AB266)</f>
        <v>58575706.417065032</v>
      </c>
      <c r="AH268" s="2480"/>
      <c r="AI268" s="2480"/>
      <c r="AJ268" s="2480"/>
      <c r="AK268" s="2480"/>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0">
        <f>'Sources and Uses Budget'!C105</f>
        <v>72459026</v>
      </c>
      <c r="AH269" s="2480"/>
      <c r="AI269" s="2480"/>
      <c r="AJ269" s="2480"/>
      <c r="AK269" s="248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1">
        <f>ROUNDDOWN(IF(AND(C292="Yes",AK84=10),((AG268*2)/AG269),AG268/AG269),2)</f>
        <v>0.8</v>
      </c>
      <c r="AH270" s="2481"/>
      <c r="AI270" s="2481"/>
      <c r="AJ270" s="2481"/>
      <c r="AK270" s="2481"/>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2">
        <f>IFERROR(IF(AG270=0,0,IF((AG270*100)&gt;8,8,(AG270*100))),0)</f>
        <v>8</v>
      </c>
      <c r="AL273" s="2482"/>
      <c r="AM273" s="2483"/>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4" t="s">
        <v>546</v>
      </c>
      <c r="D278" s="2474"/>
      <c r="E278" s="548"/>
      <c r="F278" s="2631" t="s">
        <v>2027</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1"/>
      <c r="AF278" s="636"/>
      <c r="AG278" s="2475" t="s">
        <v>1364</v>
      </c>
      <c r="AH278" s="2475"/>
      <c r="AI278" s="2475"/>
      <c r="AJ278" s="2475"/>
      <c r="AK278" s="551"/>
      <c r="AL278" s="551"/>
      <c r="AM278" s="551"/>
      <c r="AO278" s="551"/>
    </row>
    <row r="279" spans="1:52" ht="13.7" customHeight="1">
      <c r="A279" s="551"/>
      <c r="B279" s="597"/>
      <c r="C279" s="637"/>
      <c r="D279" s="551"/>
      <c r="E279" s="548"/>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1"/>
      <c r="AF279" s="636"/>
      <c r="AG279" s="636"/>
      <c r="AH279" s="636"/>
      <c r="AI279" s="636"/>
      <c r="AJ279" s="551"/>
      <c r="AK279" s="551"/>
      <c r="AL279" s="551"/>
      <c r="AM279" s="551"/>
      <c r="AO279" s="551"/>
    </row>
    <row r="280" spans="1:52">
      <c r="A280" s="551"/>
      <c r="B280" s="597"/>
      <c r="C280" s="637"/>
      <c r="D280" s="551"/>
      <c r="E280" s="548"/>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1"/>
      <c r="AF280" s="636"/>
      <c r="AG280" s="636"/>
      <c r="AH280" s="636"/>
      <c r="AI280" s="636"/>
      <c r="AJ280" s="551"/>
      <c r="AK280" s="551"/>
      <c r="AL280" s="551"/>
      <c r="AM280" s="551"/>
      <c r="AO280" s="551"/>
      <c r="AP280" s="638"/>
    </row>
    <row r="281" spans="1:52">
      <c r="A281" s="551"/>
      <c r="B281" s="597"/>
      <c r="C281" s="637"/>
      <c r="D281" s="551"/>
      <c r="E281" s="548"/>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1"/>
      <c r="AF281" s="636"/>
      <c r="AG281" s="636"/>
      <c r="AH281" s="636"/>
      <c r="AI281" s="636"/>
      <c r="AJ281" s="551"/>
      <c r="AK281" s="551"/>
      <c r="AL281" s="551"/>
      <c r="AM281" s="551"/>
      <c r="AO281" s="551"/>
      <c r="AP281" s="638"/>
    </row>
    <row r="282" spans="1:52" ht="13.7" customHeight="1">
      <c r="A282" s="551"/>
      <c r="B282" s="597"/>
      <c r="C282" s="2476"/>
      <c r="D282" s="2476"/>
      <c r="E282" s="548"/>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1"/>
      <c r="AF282" s="636"/>
      <c r="AG282" s="2475"/>
      <c r="AH282" s="2475"/>
      <c r="AI282" s="2475"/>
      <c r="AJ282" s="2475"/>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2">
        <f>IF($C$278="yes",10,0)</f>
        <v>10</v>
      </c>
      <c r="AL285" s="2482"/>
      <c r="AM285" s="2483"/>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70" t="s">
        <v>592</v>
      </c>
      <c r="D292" s="2474"/>
      <c r="E292" s="548"/>
      <c r="F292" s="2502" t="s">
        <v>1384</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3"/>
      <c r="AF292" s="551"/>
      <c r="AG292" s="2505" t="s">
        <v>2020</v>
      </c>
      <c r="AH292" s="2505"/>
      <c r="AI292" s="2505"/>
      <c r="AJ292" s="2505"/>
      <c r="AK292" s="2505"/>
      <c r="AL292" s="551"/>
      <c r="AM292" s="551"/>
      <c r="AN292" s="73"/>
      <c r="AO292" s="14"/>
      <c r="AP292" s="30"/>
      <c r="AS292" s="571"/>
      <c r="AT292" s="571"/>
      <c r="AU292" s="571"/>
      <c r="AV292" s="32"/>
      <c r="AW292" s="32"/>
    </row>
    <row r="293" spans="1:49">
      <c r="A293" s="641"/>
      <c r="B293" s="597"/>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6" t="s">
        <v>2028</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c r="A296" s="641"/>
      <c r="B296" s="597"/>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6" t="s">
        <v>1385</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6" t="s">
        <v>1386</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74" t="s">
        <v>546</v>
      </c>
      <c r="D302" s="247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4" t="s">
        <v>2022</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2"/>
      <c r="AF303" s="552"/>
      <c r="AG303" s="552"/>
      <c r="AH303" s="552"/>
      <c r="AI303" s="552"/>
      <c r="AJ303" s="551"/>
      <c r="AK303" s="551"/>
      <c r="AL303" s="551"/>
      <c r="AM303" s="551"/>
      <c r="AR303" s="649"/>
    </row>
    <row r="304" spans="1:49" ht="15" customHeight="1">
      <c r="A304" s="551"/>
      <c r="B304" s="552"/>
      <c r="C304" s="551"/>
      <c r="D304" s="552"/>
      <c r="E304" s="551"/>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2"/>
      <c r="AF304" s="552"/>
      <c r="AG304" s="552"/>
      <c r="AH304" s="552"/>
      <c r="AI304" s="552"/>
      <c r="AJ304" s="551"/>
      <c r="AK304" s="551"/>
      <c r="AL304" s="551"/>
      <c r="AM304" s="551"/>
      <c r="AR304" s="649"/>
    </row>
    <row r="305" spans="1:44">
      <c r="A305" s="551"/>
      <c r="B305" s="552"/>
      <c r="C305" s="551"/>
      <c r="D305" s="552"/>
      <c r="E305" s="551"/>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7" t="s">
        <v>1390</v>
      </c>
      <c r="B310" s="1627"/>
      <c r="C310" s="2474" t="s">
        <v>592</v>
      </c>
      <c r="D310" s="247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96" t="s">
        <v>2029</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2"/>
      <c r="AF311" s="552"/>
      <c r="AG311" s="540"/>
      <c r="AH311" s="552"/>
      <c r="AI311" s="552"/>
      <c r="AJ311" s="551"/>
      <c r="AK311" s="551"/>
      <c r="AL311" s="551"/>
      <c r="AM311" s="551"/>
      <c r="AN311" s="73"/>
      <c r="AO311" s="14"/>
      <c r="AP311" s="558" t="s">
        <v>1185</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6" t="s">
        <v>1185</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3"/>
      <c r="AF316" s="643"/>
      <c r="AG316" s="643"/>
      <c r="AH316" s="643"/>
      <c r="AI316" s="643"/>
      <c r="AJ316" s="643"/>
      <c r="AK316" s="643"/>
      <c r="AL316" s="551"/>
      <c r="AM316" s="551"/>
      <c r="AN316" s="73"/>
      <c r="AO316" s="14"/>
      <c r="AP316" s="30"/>
    </row>
    <row r="317" spans="1:44" hidden="1">
      <c r="A317" s="551"/>
      <c r="B317" s="552"/>
      <c r="C317" s="731"/>
      <c r="D317" s="731"/>
      <c r="E317" s="548"/>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2"/>
      <c r="AF317" s="552"/>
      <c r="AG317" s="540"/>
      <c r="AH317" s="552"/>
      <c r="AI317" s="552"/>
      <c r="AJ317" s="551"/>
      <c r="AK317" s="551"/>
      <c r="AL317" s="551"/>
      <c r="AM317" s="551"/>
      <c r="AN317" s="73"/>
      <c r="AO317" s="14"/>
      <c r="AP317" s="30"/>
    </row>
    <row r="318" spans="1:44" hidden="1">
      <c r="A318" s="551"/>
      <c r="B318" s="552"/>
      <c r="C318" s="731"/>
      <c r="D318" s="731"/>
      <c r="E318" s="548"/>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2"/>
      <c r="AF318" s="552"/>
      <c r="AG318" s="540"/>
      <c r="AH318" s="552"/>
      <c r="AI318" s="552"/>
      <c r="AJ318" s="551"/>
      <c r="AK318" s="551"/>
      <c r="AL318" s="551"/>
      <c r="AM318" s="551"/>
      <c r="AN318" s="73"/>
      <c r="AO318" s="14"/>
      <c r="AP318" s="30"/>
    </row>
    <row r="319" spans="1:44" hidden="1">
      <c r="A319" s="551"/>
      <c r="B319" s="552"/>
      <c r="C319" s="731"/>
      <c r="D319" s="731"/>
      <c r="E319" s="548"/>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2"/>
      <c r="AF319" s="552"/>
      <c r="AG319" s="540"/>
      <c r="AH319" s="552"/>
      <c r="AI319" s="552"/>
      <c r="AJ319" s="551"/>
      <c r="AK319" s="551"/>
      <c r="AL319" s="551"/>
      <c r="AM319" s="551"/>
      <c r="AN319" s="73"/>
      <c r="AO319" s="14"/>
      <c r="AP319" s="30"/>
    </row>
    <row r="320" spans="1:44" hidden="1">
      <c r="A320" s="551"/>
      <c r="B320" s="552"/>
      <c r="C320" s="731"/>
      <c r="D320" s="731"/>
      <c r="E320" s="548"/>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2" t="s">
        <v>1185</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12" t="s">
        <v>1185</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74" t="s">
        <v>592</v>
      </c>
      <c r="D333" s="2474"/>
      <c r="E333" s="548"/>
      <c r="F333" s="2398" t="s">
        <v>2030</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2"/>
      <c r="AF334" s="552"/>
      <c r="AG334" s="552"/>
      <c r="AH334" s="552"/>
      <c r="AI334" s="552"/>
      <c r="AJ334" s="551"/>
      <c r="AK334" s="551"/>
      <c r="AL334" s="551"/>
      <c r="AM334" s="551"/>
      <c r="AN334" s="73"/>
      <c r="AO334" s="14"/>
    </row>
    <row r="335" spans="1:42" ht="15" hidden="1" customHeight="1">
      <c r="A335" s="551"/>
      <c r="B335" s="552"/>
      <c r="C335" s="552"/>
      <c r="D335" s="552"/>
      <c r="E335" s="552"/>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7">
        <f>IF(NOT(OR(Application!M355="Yes",Application!M356="Yes")),0,AP295)</f>
        <v>9</v>
      </c>
      <c r="AL338" s="2478"/>
      <c r="AM338" s="247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7" t="s">
        <v>1315</v>
      </c>
      <c r="AF341" s="2407"/>
      <c r="AG341" s="2407"/>
      <c r="AH341" s="2407"/>
      <c r="AI341" s="2407"/>
      <c r="AJ341" s="2407"/>
      <c r="AK341" s="240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6" t="s">
        <v>1455</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4"/>
      <c r="AL343" s="604"/>
      <c r="AM343" s="604"/>
      <c r="AN343" s="598"/>
    </row>
    <row r="344" spans="1:44" s="551" customFormat="1" ht="12.75" customHeight="1">
      <c r="A344" s="604"/>
      <c r="B344" s="612"/>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4"/>
      <c r="AL344" s="604"/>
      <c r="AM344" s="604"/>
      <c r="AN344" s="598"/>
    </row>
    <row r="345" spans="1:44" s="551" customFormat="1" ht="12.75" customHeight="1">
      <c r="A345" s="604"/>
      <c r="B345" s="612"/>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4"/>
      <c r="AL345" s="604"/>
      <c r="AM345" s="604"/>
      <c r="AN345" s="598"/>
      <c r="AQ345" s="571"/>
    </row>
    <row r="346" spans="1:44" s="551" customFormat="1" ht="12.75" customHeight="1">
      <c r="A346" s="604"/>
      <c r="B346" s="612"/>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4"/>
      <c r="AL346" s="604"/>
      <c r="AM346" s="604"/>
      <c r="AN346" s="598"/>
      <c r="AQ346" s="571"/>
    </row>
    <row r="347" spans="1:44" s="551" customFormat="1" ht="12.4" customHeight="1">
      <c r="A347" s="604"/>
      <c r="B347" s="612"/>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4"/>
      <c r="AL347" s="604"/>
      <c r="AM347" s="604"/>
      <c r="AN347" s="598"/>
      <c r="AQ347" s="571"/>
      <c r="AR347" s="571"/>
    </row>
    <row r="348" spans="1:44" s="551" customFormat="1" ht="45.75" customHeight="1">
      <c r="A348" s="604"/>
      <c r="B348" s="612"/>
      <c r="C348" s="2516" t="s">
        <v>2095</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6" t="s">
        <v>2210</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4"/>
      <c r="AL350" s="604"/>
      <c r="AM350" s="604"/>
      <c r="AN350" s="598"/>
      <c r="AQ350" s="571"/>
      <c r="AR350" s="571"/>
    </row>
    <row r="351" spans="1:44" s="551" customFormat="1" ht="30" customHeight="1">
      <c r="A351" s="604"/>
      <c r="B351" s="612"/>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4"/>
      <c r="AL351" s="604"/>
      <c r="AM351" s="604"/>
      <c r="AN351" s="598"/>
      <c r="AR351" s="571"/>
    </row>
    <row r="352" spans="1:44" s="551" customFormat="1" ht="12.75" customHeight="1">
      <c r="A352" s="604"/>
      <c r="B352" s="612"/>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4"/>
      <c r="AL352" s="604"/>
      <c r="AM352" s="604"/>
      <c r="AN352" s="598"/>
      <c r="AR352" s="571"/>
    </row>
    <row r="353" spans="1:46" s="551" customFormat="1" ht="12.75" customHeight="1">
      <c r="A353" s="604"/>
      <c r="B353" s="612"/>
      <c r="C353" s="2516" t="s">
        <v>1456</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4"/>
      <c r="AL353" s="604"/>
      <c r="AM353" s="604"/>
      <c r="AN353" s="598"/>
      <c r="AQ353" s="571"/>
      <c r="AR353" s="571"/>
    </row>
    <row r="354" spans="1:46" s="551" customFormat="1" ht="12.75" customHeight="1">
      <c r="A354" s="604"/>
      <c r="B354" s="612"/>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4"/>
      <c r="AL354" s="604"/>
      <c r="AM354" s="604"/>
      <c r="AN354" s="598"/>
      <c r="AQ354" s="571"/>
      <c r="AR354" s="571"/>
    </row>
    <row r="355" spans="1:46" s="551" customFormat="1" ht="13.15" customHeight="1">
      <c r="A355" s="604"/>
      <c r="B355" s="612"/>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4"/>
      <c r="AL355" s="604"/>
      <c r="AM355" s="604"/>
      <c r="AN355" s="598"/>
      <c r="AQ355" s="571"/>
      <c r="AR355" s="571"/>
    </row>
    <row r="356" spans="1:46" s="551" customFormat="1" ht="12.75" customHeight="1">
      <c r="A356" s="604"/>
      <c r="B356" s="612"/>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4"/>
      <c r="AL356" s="604"/>
      <c r="AM356" s="604"/>
      <c r="AN356" s="598"/>
      <c r="AO356" s="695"/>
      <c r="AP356" s="695"/>
      <c r="AQ356" s="571"/>
    </row>
    <row r="357" spans="1:46" s="551" customFormat="1" ht="11.85" customHeight="1">
      <c r="A357" s="604"/>
      <c r="B357" s="612"/>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4"/>
      <c r="AL357" s="604"/>
      <c r="AM357" s="604"/>
      <c r="AN357" s="598"/>
      <c r="AO357" s="696" t="s">
        <v>112</v>
      </c>
      <c r="AP357" s="697">
        <f>IF(C381="Yes",5,0)</f>
        <v>0</v>
      </c>
      <c r="AS357" s="540" t="s">
        <v>1457</v>
      </c>
    </row>
    <row r="358" spans="1:46" s="551" customFormat="1" ht="12.75" customHeight="1">
      <c r="A358" s="604"/>
      <c r="B358" s="612"/>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4"/>
      <c r="AL358" s="604"/>
      <c r="AM358" s="604"/>
      <c r="AN358" s="598"/>
      <c r="AO358" s="696" t="s">
        <v>113</v>
      </c>
      <c r="AP358" s="697">
        <f>IF(C389="Yes",5,0)</f>
        <v>0</v>
      </c>
      <c r="AS358" s="2537">
        <f>IF(Application!D211="Non-Targeted",(SUM(AQ366+AQ375)),AS362)</f>
        <v>10</v>
      </c>
      <c r="AT358" s="2537"/>
    </row>
    <row r="359" spans="1:46" s="551" customFormat="1" ht="12.75" customHeight="1">
      <c r="A359" s="604"/>
      <c r="B359" s="612"/>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4"/>
      <c r="AL359" s="604"/>
      <c r="AM359" s="604"/>
      <c r="AN359" s="598"/>
      <c r="AO359" s="696" t="s">
        <v>119</v>
      </c>
      <c r="AP359" s="697">
        <f>IF(C397="Yes",7,0)</f>
        <v>0</v>
      </c>
      <c r="AS359" s="540" t="s">
        <v>1458</v>
      </c>
    </row>
    <row r="360" spans="1:46" s="551" customFormat="1" ht="12.75" customHeight="1">
      <c r="A360" s="604"/>
      <c r="B360" s="612"/>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4"/>
      <c r="AL360" s="604"/>
      <c r="AM360" s="604"/>
      <c r="AN360" s="598"/>
      <c r="AO360" s="598"/>
      <c r="AP360" s="697">
        <f>IF(C399="Yes",5,0)</f>
        <v>0</v>
      </c>
      <c r="AS360" s="2537">
        <f>IF(AND(AQ366&gt;0,AQ375&gt;0),(AQ366+AQ375)/2,0)</f>
        <v>0</v>
      </c>
      <c r="AT360" s="2537"/>
    </row>
    <row r="361" spans="1:46" s="551" customFormat="1" ht="12.75" customHeight="1">
      <c r="A361" s="604"/>
      <c r="B361" s="612"/>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4"/>
      <c r="AL361" s="604"/>
      <c r="AM361" s="604"/>
      <c r="AN361" s="598"/>
      <c r="AO361" s="696" t="s">
        <v>582</v>
      </c>
      <c r="AP361" s="697">
        <f>IF(C407="Yes",5,0)</f>
        <v>0</v>
      </c>
      <c r="AS361" s="540" t="s">
        <v>1880</v>
      </c>
    </row>
    <row r="362" spans="1:46" s="551" customFormat="1" ht="12.75" customHeight="1">
      <c r="A362" s="604"/>
      <c r="B362" s="612"/>
      <c r="C362" s="2538" t="s">
        <v>2235</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4"/>
      <c r="AL362" s="604"/>
      <c r="AM362" s="604"/>
      <c r="AN362" s="598"/>
      <c r="AO362" s="598"/>
      <c r="AP362" s="697">
        <f>IF(C409="Yes",3,0)</f>
        <v>0</v>
      </c>
      <c r="AS362" s="2537">
        <f>IF(AQ366=0,AQ375,AQ366)</f>
        <v>10</v>
      </c>
      <c r="AT362" s="2537"/>
    </row>
    <row r="363" spans="1:46" s="551" customFormat="1" ht="12.75" customHeight="1">
      <c r="A363" s="604"/>
      <c r="B363" s="612"/>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4"/>
      <c r="AL363" s="604"/>
      <c r="AM363" s="604"/>
      <c r="AN363" s="598"/>
      <c r="AO363" s="696" t="s">
        <v>764</v>
      </c>
      <c r="AP363" s="697">
        <f>IF(C412="Yes",5,0)</f>
        <v>0</v>
      </c>
    </row>
    <row r="364" spans="1:46" s="551" customFormat="1" ht="12.75" customHeight="1">
      <c r="A364" s="604"/>
      <c r="B364" s="612"/>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4"/>
      <c r="AL364" s="604"/>
      <c r="AM364" s="604"/>
      <c r="AN364" s="598"/>
      <c r="AO364" s="696" t="s">
        <v>585</v>
      </c>
      <c r="AP364" s="697">
        <f>IF(C421="Yes",5,0)</f>
        <v>0</v>
      </c>
    </row>
    <row r="365" spans="1:46" s="551" customFormat="1" ht="11.85" customHeight="1">
      <c r="A365" s="604"/>
      <c r="B365" s="612"/>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4"/>
      <c r="AL365" s="604"/>
      <c r="AM365" s="604"/>
      <c r="AN365" s="598"/>
      <c r="AO365" s="698"/>
      <c r="AP365" s="699">
        <f>IF(C423="Yes",3,0)</f>
        <v>0</v>
      </c>
    </row>
    <row r="366" spans="1:46" s="551" customFormat="1" ht="12.4" customHeight="1">
      <c r="A366" s="604"/>
      <c r="B366" s="612"/>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4"/>
      <c r="AL366" s="604"/>
      <c r="AM366" s="604"/>
      <c r="AN366" s="598"/>
      <c r="AO366" s="700" t="s">
        <v>227</v>
      </c>
      <c r="AP366" s="701">
        <f>SUM(AP357:AP365)</f>
        <v>0</v>
      </c>
      <c r="AQ366" s="2539">
        <f>IF(AP366&gt;0,AP366,0)</f>
        <v>0</v>
      </c>
      <c r="AR366" s="2539"/>
    </row>
    <row r="367" spans="1:46" s="551" customFormat="1" ht="12.75" customHeight="1">
      <c r="A367" s="604"/>
      <c r="B367" s="612"/>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5</v>
      </c>
    </row>
    <row r="369" spans="1:81" s="551" customFormat="1" ht="12.75" customHeight="1">
      <c r="A369" s="604"/>
      <c r="B369" s="612"/>
      <c r="C369" s="2516" t="s">
        <v>1459</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4"/>
      <c r="AL369" s="604"/>
      <c r="AM369" s="604"/>
      <c r="AN369" s="598"/>
      <c r="AO369" s="696" t="s">
        <v>457</v>
      </c>
      <c r="AP369" s="697">
        <f>IF(C442="Yes",5,0)</f>
        <v>0</v>
      </c>
    </row>
    <row r="370" spans="1:81" s="551" customFormat="1" ht="12.75" customHeight="1">
      <c r="A370" s="604"/>
      <c r="B370" s="612"/>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4"/>
      <c r="AL370" s="604"/>
      <c r="AM370" s="604"/>
      <c r="AN370" s="598"/>
      <c r="AO370" s="696" t="s">
        <v>462</v>
      </c>
      <c r="AP370" s="697">
        <f>IF(C449="Yes",5,0)</f>
        <v>5</v>
      </c>
    </row>
    <row r="371" spans="1:81" s="551" customFormat="1" ht="68.099999999999994" customHeight="1">
      <c r="A371" s="604"/>
      <c r="B371" s="612"/>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4">
        <f>Application!DU802-U374</f>
        <v>0</v>
      </c>
      <c r="V373" s="2624"/>
      <c r="W373" s="2624"/>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5">
        <f>IF(Application!D211="SRO",Application!DU755,Application!AG756)</f>
        <v>148</v>
      </c>
      <c r="V374" s="2625"/>
      <c r="W374" s="262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39">
        <f>IF(AP375&gt;0,AP375,0)</f>
        <v>10</v>
      </c>
      <c r="AR375" s="2539"/>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0" t="s">
        <v>1461</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7" t="s">
        <v>592</v>
      </c>
      <c r="D381" s="247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8" t="s">
        <v>1463</v>
      </c>
      <c r="AG381" s="2518"/>
      <c r="AH381" s="2518"/>
      <c r="AI381" s="2518"/>
      <c r="AJ381" s="2518"/>
      <c r="AK381" s="2518"/>
      <c r="AL381" s="251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0" t="s">
        <v>1464</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3"/>
      <c r="AN388" s="598"/>
      <c r="BS388" s="30"/>
      <c r="BT388" s="30"/>
      <c r="BU388" s="14"/>
      <c r="BV388" s="14"/>
      <c r="BW388" s="14"/>
      <c r="BX388" s="14"/>
      <c r="BY388" s="14"/>
      <c r="BZ388" s="14"/>
      <c r="CA388" s="14"/>
      <c r="CB388" s="14"/>
      <c r="CC388" s="14"/>
    </row>
    <row r="389" spans="1:81" s="551" customFormat="1" ht="12.75" customHeight="1">
      <c r="A389" s="537"/>
      <c r="B389" s="14"/>
      <c r="C389" s="2517" t="s">
        <v>592</v>
      </c>
      <c r="D389" s="247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8" t="s">
        <v>1463</v>
      </c>
      <c r="AG389" s="2518"/>
      <c r="AH389" s="2518"/>
      <c r="AI389" s="2518"/>
      <c r="AJ389" s="2518"/>
      <c r="AK389" s="2518"/>
      <c r="AL389" s="251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0" t="s">
        <v>1466</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7" t="s">
        <v>592</v>
      </c>
      <c r="D397" s="247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8" t="s">
        <v>1468</v>
      </c>
      <c r="AG397" s="2518"/>
      <c r="AH397" s="2518"/>
      <c r="AI397" s="2518"/>
      <c r="AJ397" s="2518"/>
      <c r="AK397" s="2518"/>
      <c r="AL397" s="251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7" t="s">
        <v>592</v>
      </c>
      <c r="D399" s="247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8" t="s">
        <v>1463</v>
      </c>
      <c r="AG399" s="2518"/>
      <c r="AH399" s="2518"/>
      <c r="AI399" s="2518"/>
      <c r="AJ399" s="2518"/>
      <c r="AK399" s="2518"/>
      <c r="AL399" s="251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0" t="s">
        <v>1472</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7" t="s">
        <v>592</v>
      </c>
      <c r="D407" s="247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8" t="s">
        <v>1463</v>
      </c>
      <c r="AG407" s="2518"/>
      <c r="AH407" s="2518"/>
      <c r="AI407" s="2518"/>
      <c r="AJ407" s="2518"/>
      <c r="AK407" s="2518"/>
      <c r="AL407" s="251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7" t="s">
        <v>592</v>
      </c>
      <c r="D409" s="247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8" t="s">
        <v>1475</v>
      </c>
      <c r="AG409" s="2518"/>
      <c r="AH409" s="2518"/>
      <c r="AI409" s="2518"/>
      <c r="AJ409" s="2518"/>
      <c r="AK409" s="2518"/>
      <c r="AL409" s="251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7" t="s">
        <v>592</v>
      </c>
      <c r="D412" s="2474"/>
      <c r="E412" s="716" t="s">
        <v>1476</v>
      </c>
      <c r="F412" s="2520" t="s">
        <v>1477</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1463</v>
      </c>
      <c r="AG413" s="2442"/>
      <c r="AH413" s="2442"/>
      <c r="AI413" s="2442"/>
      <c r="AJ413" s="2442"/>
      <c r="AK413" s="2442"/>
      <c r="AL413" s="2522"/>
      <c r="AM413" s="571"/>
      <c r="AN413" s="598"/>
      <c r="BS413" s="571"/>
      <c r="BT413" s="571"/>
      <c r="BY413" s="571"/>
      <c r="BZ413" s="571"/>
      <c r="CA413" s="571"/>
      <c r="CB413" s="571"/>
      <c r="CC413" s="571"/>
    </row>
    <row r="414" spans="1:81" s="551" customFormat="1" ht="12.75" customHeight="1">
      <c r="A414" s="537"/>
      <c r="B414" s="14"/>
      <c r="C414" s="732"/>
      <c r="D414" s="14"/>
      <c r="E414" s="692"/>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0" t="s">
        <v>1479</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8"/>
      <c r="AG417" s="748"/>
      <c r="AH417" s="748"/>
      <c r="AI417" s="748"/>
      <c r="AJ417" s="748"/>
      <c r="AK417" s="748"/>
      <c r="AL417" s="749"/>
      <c r="AM417" s="571"/>
    </row>
    <row r="418" spans="1:55">
      <c r="A418" s="537"/>
      <c r="C418" s="732"/>
      <c r="E418" s="692"/>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40"/>
      <c r="AG418" s="537"/>
      <c r="AH418" s="551"/>
      <c r="AI418" s="551"/>
      <c r="AJ418" s="551"/>
      <c r="AK418" s="551"/>
      <c r="AL418" s="733"/>
      <c r="AM418" s="571"/>
    </row>
    <row r="419" spans="1:55" s="551" customFormat="1" ht="12.75" customHeight="1">
      <c r="A419" s="537"/>
      <c r="B419" s="14"/>
      <c r="C419" s="732"/>
      <c r="D419" s="14"/>
      <c r="E419" s="692"/>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3"/>
      <c r="AM419" s="571"/>
      <c r="AN419" s="598"/>
    </row>
    <row r="420" spans="1:55" s="551" customFormat="1" ht="12.75" customHeight="1">
      <c r="A420" s="537"/>
      <c r="B420" s="14"/>
      <c r="C420" s="740"/>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3"/>
      <c r="AM420" s="571"/>
      <c r="AN420" s="598"/>
    </row>
    <row r="421" spans="1:55" s="551" customFormat="1" ht="12.75" customHeight="1">
      <c r="A421" s="537"/>
      <c r="B421" s="14"/>
      <c r="C421" s="2517" t="s">
        <v>592</v>
      </c>
      <c r="D421" s="247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2" t="s">
        <v>1463</v>
      </c>
      <c r="AG421" s="2442"/>
      <c r="AH421" s="2442"/>
      <c r="AI421" s="2442"/>
      <c r="AJ421" s="2442"/>
      <c r="AK421" s="2442"/>
      <c r="AL421" s="2522"/>
      <c r="AM421" s="571"/>
      <c r="AN421" s="598"/>
    </row>
    <row r="422" spans="1:55" s="551" customFormat="1" ht="12.75" customHeight="1">
      <c r="A422" s="537"/>
      <c r="B422" s="14"/>
      <c r="C422" s="740"/>
      <c r="AL422" s="733"/>
      <c r="AM422" s="571"/>
      <c r="AN422" s="598"/>
    </row>
    <row r="423" spans="1:55" s="551" customFormat="1" ht="12.75" customHeight="1">
      <c r="A423" s="537"/>
      <c r="B423" s="14"/>
      <c r="C423" s="2517" t="s">
        <v>592</v>
      </c>
      <c r="D423" s="247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2" t="s">
        <v>1475</v>
      </c>
      <c r="AG423" s="2442"/>
      <c r="AH423" s="2442"/>
      <c r="AI423" s="2442"/>
      <c r="AJ423" s="2442"/>
      <c r="AK423" s="2442"/>
      <c r="AL423" s="252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0" t="s">
        <v>1483</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5"/>
      <c r="AG427" s="715"/>
      <c r="AH427" s="715"/>
      <c r="AI427" s="715"/>
      <c r="AJ427" s="715"/>
      <c r="AK427" s="715"/>
      <c r="AL427" s="746"/>
      <c r="AM427" s="571"/>
      <c r="AN427" s="598"/>
    </row>
    <row r="428" spans="1:55" s="551" customFormat="1" ht="12.75" customHeight="1">
      <c r="A428" s="537"/>
      <c r="B428" s="14"/>
      <c r="C428" s="732"/>
      <c r="D428" s="14"/>
      <c r="E428" s="692"/>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40"/>
      <c r="AG428" s="537"/>
      <c r="AL428" s="733"/>
      <c r="AM428" s="571"/>
      <c r="AN428" s="598"/>
    </row>
    <row r="429" spans="1:55" s="551" customFormat="1" ht="12.4" customHeight="1">
      <c r="A429" s="537"/>
      <c r="B429" s="14"/>
      <c r="C429" s="732"/>
      <c r="D429" s="14"/>
      <c r="E429" s="692"/>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3"/>
      <c r="AM429" s="571"/>
      <c r="AN429" s="598"/>
    </row>
    <row r="430" spans="1:55" s="551" customFormat="1" ht="12.75" customHeight="1">
      <c r="A430" s="537"/>
      <c r="B430" s="14"/>
      <c r="C430" s="2517" t="s">
        <v>546</v>
      </c>
      <c r="D430" s="247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2" t="s">
        <v>1463</v>
      </c>
      <c r="AG430" s="2442"/>
      <c r="AH430" s="2442"/>
      <c r="AI430" s="2442"/>
      <c r="AJ430" s="2442"/>
      <c r="AK430" s="2442"/>
      <c r="AL430" s="252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520" t="s">
        <v>1486</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8"/>
      <c r="AG433" s="748"/>
      <c r="AH433" s="748"/>
      <c r="AI433" s="748"/>
      <c r="AJ433" s="748"/>
      <c r="AK433" s="748"/>
      <c r="AL433" s="749"/>
      <c r="AM433" s="571"/>
      <c r="AO433" s="551"/>
      <c r="AP433" s="551"/>
      <c r="BD433" s="14"/>
      <c r="BE433" s="14"/>
      <c r="BF433" s="14"/>
      <c r="BG433" s="14"/>
      <c r="BH433" s="14"/>
    </row>
    <row r="434" spans="1:60">
      <c r="A434" s="537"/>
      <c r="C434" s="732"/>
      <c r="E434" s="692"/>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5"/>
      <c r="AG434" s="595"/>
      <c r="AH434" s="595"/>
      <c r="AI434" s="595"/>
      <c r="AJ434" s="595"/>
      <c r="AK434" s="595"/>
      <c r="AL434" s="751"/>
      <c r="AM434" s="571"/>
      <c r="AO434" s="551"/>
      <c r="AP434" s="551"/>
    </row>
    <row r="435" spans="1:60" s="551" customFormat="1" ht="12.75" customHeight="1">
      <c r="A435" s="537"/>
      <c r="B435" s="14"/>
      <c r="C435" s="732"/>
      <c r="D435" s="14"/>
      <c r="E435" s="692"/>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5"/>
      <c r="AG435" s="595"/>
      <c r="AH435" s="595"/>
      <c r="AI435" s="595"/>
      <c r="AJ435" s="595"/>
      <c r="AK435" s="595"/>
      <c r="AL435" s="751"/>
      <c r="AM435" s="571"/>
      <c r="AN435" s="598"/>
    </row>
    <row r="436" spans="1:60" s="551" customFormat="1" ht="12.75" customHeight="1">
      <c r="A436" s="537"/>
      <c r="B436" s="14"/>
      <c r="C436" s="752"/>
      <c r="D436" s="731"/>
      <c r="E436" s="720"/>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5"/>
      <c r="AG437" s="595"/>
      <c r="AH437" s="595"/>
      <c r="AI437" s="595"/>
      <c r="AJ437" s="595"/>
      <c r="AK437" s="595"/>
      <c r="AL437" s="751"/>
      <c r="AM437" s="571"/>
      <c r="AN437" s="598"/>
    </row>
    <row r="438" spans="1:60" s="551" customFormat="1" ht="12.75" customHeight="1">
      <c r="A438" s="537"/>
      <c r="B438" s="14"/>
      <c r="C438" s="752"/>
      <c r="D438" s="731"/>
      <c r="E438" s="720"/>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5"/>
      <c r="AG438" s="595"/>
      <c r="AH438" s="595"/>
      <c r="AI438" s="595"/>
      <c r="AJ438" s="595"/>
      <c r="AK438" s="595"/>
      <c r="AL438" s="751"/>
      <c r="AM438" s="571"/>
      <c r="AN438" s="598"/>
    </row>
    <row r="439" spans="1:60" s="551" customFormat="1" ht="12.75" customHeight="1">
      <c r="A439" s="537"/>
      <c r="B439" s="14"/>
      <c r="C439" s="752"/>
      <c r="D439" s="731"/>
      <c r="E439" s="720"/>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5"/>
      <c r="AG439" s="595"/>
      <c r="AH439" s="595"/>
      <c r="AI439" s="595"/>
      <c r="AJ439" s="595"/>
      <c r="AK439" s="595"/>
      <c r="AL439" s="751"/>
      <c r="AM439" s="571"/>
      <c r="AN439" s="598"/>
    </row>
    <row r="440" spans="1:60" s="551" customFormat="1" ht="12.75" customHeight="1">
      <c r="A440" s="537"/>
      <c r="B440" s="14"/>
      <c r="C440" s="752"/>
      <c r="D440" s="731"/>
      <c r="E440" s="720"/>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5"/>
      <c r="AG440" s="595"/>
      <c r="AH440" s="595"/>
      <c r="AI440" s="595"/>
      <c r="AJ440" s="595"/>
      <c r="AK440" s="595"/>
      <c r="AL440" s="751"/>
      <c r="AM440" s="571"/>
      <c r="AN440" s="598"/>
    </row>
    <row r="441" spans="1:60" s="551" customFormat="1" ht="17.25" customHeight="1">
      <c r="A441" s="537"/>
      <c r="B441" s="14"/>
      <c r="C441" s="752"/>
      <c r="D441" s="731"/>
      <c r="E441" s="720"/>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3"/>
      <c r="AM441" s="571"/>
      <c r="AN441" s="598"/>
    </row>
    <row r="442" spans="1:60" s="551" customFormat="1" ht="12.75" customHeight="1">
      <c r="A442" s="537"/>
      <c r="B442" s="14"/>
      <c r="C442" s="2517" t="s">
        <v>592</v>
      </c>
      <c r="D442" s="247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2" t="s">
        <v>1463</v>
      </c>
      <c r="AG442" s="2442"/>
      <c r="AH442" s="2442"/>
      <c r="AI442" s="2442"/>
      <c r="AJ442" s="2442"/>
      <c r="AK442" s="2442"/>
      <c r="AL442" s="252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0" t="s">
        <v>1489</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5"/>
      <c r="AG445" s="715"/>
      <c r="AH445" s="715"/>
      <c r="AI445" s="715"/>
      <c r="AJ445" s="715"/>
      <c r="AK445" s="715"/>
      <c r="AL445" s="746"/>
      <c r="AM445" s="571"/>
      <c r="AN445" s="598"/>
    </row>
    <row r="446" spans="1:60" s="551" customFormat="1" ht="12.75" customHeight="1">
      <c r="A446" s="537"/>
      <c r="B446" s="14"/>
      <c r="C446" s="752"/>
      <c r="D446" s="731"/>
      <c r="E446" s="720"/>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2"/>
      <c r="AG446" s="592"/>
      <c r="AH446" s="592"/>
      <c r="AI446" s="592"/>
      <c r="AJ446" s="592"/>
      <c r="AK446" s="592"/>
      <c r="AL446" s="721"/>
      <c r="AM446" s="571"/>
      <c r="AN446" s="598"/>
    </row>
    <row r="447" spans="1:60" s="551" customFormat="1" ht="12.75" customHeight="1">
      <c r="A447" s="537"/>
      <c r="B447" s="14"/>
      <c r="C447" s="752"/>
      <c r="D447" s="731"/>
      <c r="E447" s="720"/>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2"/>
      <c r="AG447" s="592"/>
      <c r="AH447" s="592"/>
      <c r="AI447" s="592"/>
      <c r="AJ447" s="592"/>
      <c r="AK447" s="592"/>
      <c r="AL447" s="721"/>
      <c r="AM447" s="571"/>
      <c r="AN447" s="598"/>
    </row>
    <row r="448" spans="1:60" s="551" customFormat="1" ht="12.75" customHeight="1">
      <c r="A448" s="537"/>
      <c r="B448" s="14"/>
      <c r="C448" s="752"/>
      <c r="D448" s="731"/>
      <c r="E448" s="720"/>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3"/>
      <c r="AM448" s="571"/>
      <c r="AN448" s="598"/>
    </row>
    <row r="449" spans="1:40" s="551" customFormat="1" ht="12.75" customHeight="1">
      <c r="A449" s="537"/>
      <c r="B449" s="14"/>
      <c r="C449" s="2517" t="s">
        <v>546</v>
      </c>
      <c r="D449" s="247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2" t="s">
        <v>1463</v>
      </c>
      <c r="AG449" s="2442"/>
      <c r="AH449" s="2442"/>
      <c r="AI449" s="2442"/>
      <c r="AJ449" s="2442"/>
      <c r="AK449" s="2442"/>
      <c r="AL449" s="252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3" t="s">
        <v>592</v>
      </c>
      <c r="D453" s="2524"/>
      <c r="E453" s="716" t="s">
        <v>1498</v>
      </c>
      <c r="F453" s="2520" t="s">
        <v>1499</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1463</v>
      </c>
      <c r="AG453" s="2541"/>
      <c r="AH453" s="2541"/>
      <c r="AI453" s="2541"/>
      <c r="AJ453" s="2541"/>
      <c r="AK453" s="2541"/>
      <c r="AL453" s="2542"/>
      <c r="AM453" s="571"/>
      <c r="AN453" s="754"/>
    </row>
    <row r="454" spans="1:40" s="551" customFormat="1" ht="12.75" customHeight="1">
      <c r="A454" s="537"/>
      <c r="B454" s="14"/>
      <c r="C454" s="752"/>
      <c r="D454" s="731"/>
      <c r="E454" s="720"/>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2"/>
      <c r="AG454" s="592"/>
      <c r="AH454" s="592"/>
      <c r="AI454" s="592"/>
      <c r="AJ454" s="592"/>
      <c r="AK454" s="592"/>
      <c r="AL454" s="721"/>
      <c r="AM454" s="571"/>
      <c r="AN454" s="755"/>
    </row>
    <row r="455" spans="1:40" s="551" customFormat="1" ht="17.649999999999999" customHeight="1">
      <c r="A455" s="537"/>
      <c r="B455" s="14"/>
      <c r="C455" s="757"/>
      <c r="D455" s="724"/>
      <c r="E455" s="725"/>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7" t="s">
        <v>592</v>
      </c>
      <c r="D457" s="2474"/>
      <c r="E457" s="716" t="s">
        <v>1504</v>
      </c>
      <c r="F457" s="2520" t="s">
        <v>1505</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1463</v>
      </c>
      <c r="AG457" s="2541"/>
      <c r="AH457" s="2541"/>
      <c r="AI457" s="2541"/>
      <c r="AJ457" s="2541"/>
      <c r="AK457" s="2541"/>
      <c r="AL457" s="2542"/>
      <c r="AM457" s="571"/>
      <c r="AN457" s="536"/>
    </row>
    <row r="458" spans="1:40" s="551" customFormat="1" ht="12.75" customHeight="1">
      <c r="A458" s="537"/>
      <c r="B458" s="14"/>
      <c r="C458" s="732"/>
      <c r="D458" s="14"/>
      <c r="E458" s="692"/>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40"/>
      <c r="AG458" s="537"/>
      <c r="AL458" s="733"/>
      <c r="AM458" s="571"/>
      <c r="AN458" s="536"/>
    </row>
    <row r="459" spans="1:40" s="551" customFormat="1" ht="12.75" customHeight="1">
      <c r="A459" s="537"/>
      <c r="B459" s="14"/>
      <c r="C459" s="732"/>
      <c r="D459" s="14"/>
      <c r="E459" s="692"/>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40"/>
      <c r="AG459" s="537"/>
      <c r="AL459" s="733"/>
      <c r="AM459" s="571"/>
      <c r="AN459" s="536"/>
    </row>
    <row r="460" spans="1:40" s="551" customFormat="1" ht="12.75" customHeight="1">
      <c r="A460" s="537"/>
      <c r="B460" s="14"/>
      <c r="C460" s="757"/>
      <c r="D460" s="724"/>
      <c r="E460" s="725"/>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0" t="s">
        <v>1508</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5"/>
      <c r="AH462" s="715"/>
      <c r="AI462" s="715"/>
      <c r="AJ462" s="715"/>
      <c r="AK462" s="715"/>
      <c r="AL462" s="746"/>
      <c r="AM462" s="571"/>
      <c r="AN462" s="598"/>
    </row>
    <row r="463" spans="1:40" s="551" customFormat="1" ht="12.75" customHeight="1">
      <c r="A463" s="537"/>
      <c r="B463" s="14"/>
      <c r="C463" s="732"/>
      <c r="D463" s="14"/>
      <c r="E463" s="692"/>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3"/>
      <c r="AM463" s="571"/>
      <c r="AN463" s="598"/>
    </row>
    <row r="464" spans="1:40" s="551" customFormat="1" ht="12.75" customHeight="1">
      <c r="A464" s="537"/>
      <c r="B464" s="14"/>
      <c r="C464" s="740"/>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3"/>
      <c r="AM464" s="571"/>
      <c r="AN464" s="598"/>
    </row>
    <row r="465" spans="1:58" s="551" customFormat="1" ht="12.75" customHeight="1">
      <c r="A465" s="537"/>
      <c r="B465" s="14"/>
      <c r="C465" s="740"/>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3"/>
      <c r="AM465" s="571"/>
      <c r="AN465" s="598"/>
    </row>
    <row r="466" spans="1:58" s="551" customFormat="1" ht="12.75" customHeight="1">
      <c r="A466" s="537"/>
      <c r="B466" s="14"/>
      <c r="C466" s="2517" t="s">
        <v>592</v>
      </c>
      <c r="D466" s="247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8" t="s">
        <v>1463</v>
      </c>
      <c r="AG466" s="2518"/>
      <c r="AH466" s="2518"/>
      <c r="AI466" s="2518"/>
      <c r="AJ466" s="2518"/>
      <c r="AK466" s="2518"/>
      <c r="AL466" s="251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7">
        <f>IF(Application!D214="N/A",AS358,AS360)</f>
        <v>10</v>
      </c>
      <c r="AL469" s="2478"/>
      <c r="AM469" s="247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8" t="s">
        <v>1512</v>
      </c>
      <c r="AF472" s="2518"/>
      <c r="AG472" s="2518"/>
      <c r="AH472" s="2518"/>
      <c r="AI472" s="2518"/>
      <c r="AJ472" s="2518"/>
      <c r="AK472" s="2518"/>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3" t="s">
        <v>592</v>
      </c>
      <c r="D478" s="2544"/>
      <c r="E478" s="762" t="s">
        <v>508</v>
      </c>
      <c r="F478" s="2545" t="s">
        <v>1518</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9" t="s">
        <v>592</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0" t="s">
        <v>546</v>
      </c>
      <c r="D482" s="2621"/>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8" t="s">
        <v>592</v>
      </c>
      <c r="W485" s="2618"/>
      <c r="X485" s="261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8" t="s">
        <v>592</v>
      </c>
      <c r="W487" s="2618"/>
      <c r="X487" s="261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8" t="s">
        <v>592</v>
      </c>
      <c r="W492" s="2618"/>
      <c r="X492" s="261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8"/>
      <c r="E495" s="2608"/>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8" t="s">
        <v>592</v>
      </c>
      <c r="W496" s="2618"/>
      <c r="X496" s="261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8" t="s">
        <v>592</v>
      </c>
      <c r="W498" s="2618"/>
      <c r="X498" s="261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3" t="s">
        <v>592</v>
      </c>
      <c r="D501" s="2544"/>
      <c r="E501" s="762" t="s">
        <v>508</v>
      </c>
      <c r="F501" s="2545" t="s">
        <v>1518</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4" t="s">
        <v>592</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3" t="s">
        <v>592</v>
      </c>
      <c r="D505" s="2544"/>
      <c r="E505" s="762" t="s">
        <v>758</v>
      </c>
      <c r="F505" s="2615" t="s">
        <v>1540</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7" t="s">
        <v>592</v>
      </c>
      <c r="G508" s="2617"/>
      <c r="H508" s="261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3" t="s">
        <v>592</v>
      </c>
      <c r="D510" s="2544"/>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7"/>
      <c r="D512" s="2608"/>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9" t="s">
        <v>592</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7" t="s">
        <v>592</v>
      </c>
      <c r="D515" s="2548"/>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7" t="s">
        <v>592</v>
      </c>
      <c r="D519" s="2548"/>
      <c r="F519" s="796" t="s">
        <v>1548</v>
      </c>
      <c r="G519" s="2521" t="s">
        <v>1549</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9" t="s">
        <v>592</v>
      </c>
      <c r="D523" s="2550"/>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1" t="s">
        <v>592</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7">
        <f>SUM(AG479:AG524)</f>
        <v>0</v>
      </c>
      <c r="AL535" s="2478"/>
      <c r="AM535" s="247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7" t="s">
        <v>1561</v>
      </c>
      <c r="AF538" s="2407"/>
      <c r="AG538" s="2407"/>
      <c r="AH538" s="2407"/>
      <c r="AI538" s="2407"/>
      <c r="AJ538" s="2407"/>
      <c r="AK538" s="2407"/>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4" t="s">
        <v>546</v>
      </c>
      <c r="D541" s="2474"/>
      <c r="E541" s="552"/>
      <c r="F541" s="2601" t="s">
        <v>1562</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6"/>
      <c r="AN541" s="598"/>
    </row>
    <row r="542" spans="1:81" s="551" customFormat="1" ht="12.75" customHeight="1">
      <c r="A542" s="540"/>
      <c r="B542" s="540"/>
      <c r="C542" s="552"/>
      <c r="D542" s="552"/>
      <c r="E542" s="552"/>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4" t="s">
        <v>592</v>
      </c>
      <c r="D544" s="247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6" t="s">
        <v>1564</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6"/>
      <c r="AN545" s="598"/>
      <c r="AS545" s="871"/>
      <c r="AT545" s="871"/>
      <c r="AU545" s="871"/>
      <c r="AV545" s="871"/>
      <c r="AW545" s="871"/>
    </row>
    <row r="546" spans="1:49" s="551" customFormat="1" ht="12.75" customHeight="1">
      <c r="B546" s="807"/>
      <c r="C546" s="807"/>
      <c r="D546" s="807"/>
      <c r="E546" s="807"/>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6" t="s">
        <v>1565</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4"/>
      <c r="AM548" s="596"/>
      <c r="AN548" s="598"/>
    </row>
    <row r="549" spans="1:49" s="551" customFormat="1" ht="12.75" customHeight="1">
      <c r="B549" s="807"/>
      <c r="C549" s="807"/>
      <c r="D549" s="807"/>
      <c r="E549" s="807"/>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3">
        <f>Application!AJ992</f>
        <v>69278220</v>
      </c>
      <c r="AQ550" s="2623"/>
      <c r="AR550" s="262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0">
        <f>'Sources and Uses Budget'!S107+'Sources and Uses Budget'!T107</f>
        <v>48954431</v>
      </c>
      <c r="AG551" s="2480"/>
      <c r="AH551" s="2480"/>
      <c r="AI551" s="2480"/>
      <c r="AJ551" s="2480"/>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8">
        <f>IFERROR(AP559,0)</f>
        <v>160725470</v>
      </c>
      <c r="AG552" s="2628"/>
      <c r="AH552" s="2628"/>
      <c r="AI552" s="2628"/>
      <c r="AJ552" s="2628"/>
      <c r="AK552" s="596"/>
      <c r="AL552" s="596"/>
      <c r="AM552" s="596"/>
      <c r="AN552" s="598"/>
      <c r="AP552" s="2623">
        <f>Application!AJ1045</f>
        <v>0</v>
      </c>
      <c r="AQ552" s="2623"/>
      <c r="AR552" s="262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9">
        <f>IFERROR(ROUNDDOWN(IF(C544="YES",((1-(AF551/AF552))*2),(1-(AF551/AF552))),2),0)</f>
        <v>0.69</v>
      </c>
      <c r="AG553" s="2629"/>
      <c r="AH553" s="2629"/>
      <c r="AI553" s="2629"/>
      <c r="AJ553" s="2629"/>
      <c r="AK553" s="596"/>
      <c r="AL553" s="596"/>
      <c r="AM553" s="596"/>
      <c r="AN553" s="598"/>
      <c r="AP553" s="2626">
        <f>Application!AJ1049</f>
        <v>138556440</v>
      </c>
      <c r="AQ553" s="2626"/>
      <c r="AR553" s="2626"/>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2">
        <f>IF(((AP552+AP553)/AP550)&gt;0.8,0.8,((AP552+AP553)/AP550))</f>
        <v>0.8</v>
      </c>
      <c r="AQ554" s="2622"/>
      <c r="AR554" s="2622"/>
      <c r="AS554" s="551" t="s">
        <v>2174</v>
      </c>
    </row>
    <row r="555" spans="1:49" s="551" customFormat="1" ht="12.75" customHeight="1">
      <c r="A555" s="625"/>
      <c r="B555" s="2559" t="s">
        <v>2034</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6"/>
      <c r="AL555" s="596"/>
      <c r="AM555" s="596"/>
      <c r="AN555" s="598"/>
    </row>
    <row r="556" spans="1:49" s="551" customFormat="1" ht="12.75" customHeight="1">
      <c r="A556" s="625"/>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6"/>
      <c r="AL556" s="596"/>
      <c r="AM556" s="596"/>
      <c r="AN556" s="598"/>
      <c r="AP556" s="2623">
        <f>AP557-AP552-AP553</f>
        <v>105302894</v>
      </c>
      <c r="AQ556" s="2532"/>
      <c r="AR556" s="2532"/>
      <c r="AS556" s="551" t="s">
        <v>2176</v>
      </c>
    </row>
    <row r="557" spans="1:49" s="551" customFormat="1" ht="12.75" customHeight="1">
      <c r="A557" s="625"/>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6"/>
      <c r="AL557" s="596"/>
      <c r="AM557" s="596"/>
      <c r="AN557" s="598"/>
      <c r="AP557" s="2623">
        <f>Application!AJ1053</f>
        <v>243859334</v>
      </c>
      <c r="AQ557" s="2623"/>
      <c r="AR557" s="262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8">
        <f>IFERROR(IF(AND(C541="N/A",C544="N/A"),0,IF(AF553=0,0,IF((AF553*100)&gt;12,12,(AF553*100)))),0)</f>
        <v>12</v>
      </c>
      <c r="AL559" s="2568"/>
      <c r="AM559" s="2569"/>
      <c r="AN559" s="598"/>
      <c r="AP559" s="2640">
        <f>AP556+(AP550*AP554)</f>
        <v>160725470</v>
      </c>
      <c r="AQ559" s="2641"/>
      <c r="AR559" s="264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7" t="s">
        <v>1315</v>
      </c>
      <c r="AF562" s="2407"/>
      <c r="AG562" s="2407"/>
      <c r="AH562" s="2407"/>
      <c r="AI562" s="2407"/>
      <c r="AJ562" s="2407"/>
      <c r="AK562" s="240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7" t="s">
        <v>2025</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3"/>
      <c r="AL564" s="574"/>
      <c r="AM564" s="604"/>
      <c r="AN564" s="598"/>
    </row>
    <row r="565" spans="1:42" s="551" customFormat="1" ht="12.75" customHeight="1">
      <c r="A565" s="604"/>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3"/>
      <c r="AL565" s="574"/>
      <c r="AM565" s="604"/>
      <c r="AN565" s="598"/>
    </row>
    <row r="566" spans="1:42" s="551" customFormat="1" ht="12.75" customHeight="1">
      <c r="A566" s="604"/>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3"/>
      <c r="AL566" s="574"/>
      <c r="AM566" s="604"/>
      <c r="AN566" s="598"/>
    </row>
    <row r="567" spans="1:42" s="551" customFormat="1" ht="12.75" customHeight="1">
      <c r="A567" s="604"/>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3"/>
      <c r="AL567" s="574"/>
      <c r="AM567" s="604"/>
      <c r="AN567" s="598"/>
    </row>
    <row r="568" spans="1:42" s="551" customFormat="1" ht="12.75" customHeight="1">
      <c r="A568" s="604"/>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3"/>
      <c r="AL568" s="574"/>
      <c r="AM568" s="604"/>
      <c r="AN568" s="598"/>
    </row>
    <row r="569" spans="1:42" s="551" customFormat="1" ht="12.75" customHeight="1">
      <c r="A569" s="604"/>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3"/>
      <c r="AL569" s="574"/>
      <c r="AM569" s="604"/>
      <c r="AN569" s="598"/>
    </row>
    <row r="570" spans="1:42" s="551" customFormat="1" ht="12.75" customHeight="1">
      <c r="A570" s="604"/>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3"/>
      <c r="AL570" s="574"/>
      <c r="AM570" s="604"/>
      <c r="AN570" s="598"/>
    </row>
    <row r="571" spans="1:42" ht="12.75" customHeight="1">
      <c r="A571" s="604"/>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3"/>
      <c r="AL571" s="574"/>
      <c r="AM571" s="604"/>
    </row>
    <row r="572" spans="1:42" s="551"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2" t="s">
        <v>1339</v>
      </c>
      <c r="AG578" s="2442"/>
      <c r="AH578" s="2442"/>
      <c r="AI578" s="2442"/>
      <c r="AJ578" s="2442"/>
      <c r="AK578" s="2442"/>
      <c r="AL578" s="2442"/>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2" t="s">
        <v>1397</v>
      </c>
      <c r="AG585" s="2442"/>
      <c r="AH585" s="2442"/>
      <c r="AI585" s="2442"/>
      <c r="AJ585" s="2442"/>
      <c r="AK585" s="2442"/>
      <c r="AL585" s="2442"/>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2" t="s">
        <v>1379</v>
      </c>
      <c r="AG591" s="2442"/>
      <c r="AH591" s="2442"/>
      <c r="AI591" s="2442"/>
      <c r="AJ591" s="2442"/>
      <c r="AK591" s="2442"/>
      <c r="AL591" s="2442"/>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2" t="s">
        <v>1400</v>
      </c>
      <c r="AG597" s="2442"/>
      <c r="AH597" s="2442"/>
      <c r="AI597" s="2442"/>
      <c r="AJ597" s="2442"/>
      <c r="AK597" s="2442"/>
      <c r="AL597" s="2442"/>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8" t="s">
        <v>1185</v>
      </c>
      <c r="P601" s="2528"/>
      <c r="Q601" s="2528"/>
      <c r="R601" s="2528"/>
      <c r="S601" s="2528"/>
      <c r="T601" s="2528"/>
      <c r="U601" s="2528"/>
      <c r="V601" s="2528"/>
      <c r="W601" s="2528"/>
      <c r="X601" s="2528"/>
      <c r="Y601" s="2528"/>
      <c r="Z601" s="2528"/>
      <c r="AA601" s="2528"/>
      <c r="AB601" s="252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2" t="s">
        <v>1353</v>
      </c>
      <c r="AG603" s="2442"/>
      <c r="AH603" s="2442"/>
      <c r="AI603" s="2442"/>
      <c r="AJ603" s="2442"/>
      <c r="AK603" s="2442"/>
      <c r="AL603" s="2442"/>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6" t="s">
        <v>688</v>
      </c>
      <c r="I606" s="2526"/>
      <c r="J606" s="937"/>
      <c r="K606" s="937"/>
      <c r="L606" s="937"/>
      <c r="N606" s="22"/>
      <c r="O606" s="22"/>
      <c r="P606" s="22"/>
      <c r="Q606" s="1153" t="s">
        <v>2179</v>
      </c>
      <c r="R606" s="2529"/>
      <c r="S606" s="2529"/>
      <c r="T606" s="2529"/>
      <c r="U606" s="2529"/>
      <c r="V606" s="2529"/>
      <c r="W606" s="252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0"/>
      <c r="Z608" s="2530"/>
      <c r="AA608" s="2530"/>
      <c r="AB608" s="2530"/>
      <c r="AC608" s="2530"/>
      <c r="AD608" s="2530"/>
      <c r="AE608" s="2530"/>
      <c r="AF608" s="2530"/>
      <c r="AG608" s="2530"/>
      <c r="AH608" s="2530"/>
      <c r="AI608" s="2530"/>
      <c r="AJ608" s="2530"/>
      <c r="AK608" s="2530"/>
      <c r="AL608" s="2530"/>
      <c r="AM608" s="2531"/>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7" t="s">
        <v>592</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0" t="s">
        <v>592</v>
      </c>
      <c r="C616" s="2470"/>
      <c r="D616" s="643"/>
      <c r="E616" s="2497" t="s">
        <v>1404</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3"/>
      <c r="AI616" s="643"/>
      <c r="AJ616" s="643"/>
      <c r="AK616" s="643"/>
      <c r="AL616" s="643"/>
      <c r="AN616" s="598"/>
    </row>
    <row r="617" spans="1:42" s="551" customFormat="1" ht="12.75" customHeight="1">
      <c r="B617" s="537"/>
      <c r="C617" s="934"/>
      <c r="D617" s="643"/>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3"/>
      <c r="AI617" s="643"/>
      <c r="AJ617" s="643"/>
      <c r="AK617" s="643"/>
      <c r="AL617" s="643"/>
      <c r="AN617" s="598"/>
    </row>
    <row r="618" spans="1:42" s="551" customFormat="1" ht="12.75" customHeight="1">
      <c r="B618" s="537"/>
      <c r="C618" s="934"/>
      <c r="D618" s="643"/>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3"/>
      <c r="AI618" s="643"/>
      <c r="AJ618" s="643"/>
      <c r="AK618" s="643"/>
      <c r="AL618" s="643"/>
      <c r="AN618" s="598"/>
    </row>
    <row r="619" spans="1:42" s="551" customFormat="1" ht="12.75" customHeight="1">
      <c r="B619" s="537"/>
      <c r="C619" s="934"/>
      <c r="D619" s="643"/>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7">
        <f>VLOOKUP($H$606,$AO$586:$AP$591,2,FALSE)+IF(R606=AO594,0,VLOOKUP($I$614,$AO$613:$AP$615,2,FALSE))</f>
        <v>7</v>
      </c>
      <c r="AK621" s="247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5" t="s">
        <v>1695</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40"/>
      <c r="AF625" s="2442" t="s">
        <v>1353</v>
      </c>
      <c r="AG625" s="2442"/>
      <c r="AH625" s="2442"/>
      <c r="AI625" s="2442"/>
      <c r="AJ625" s="2442"/>
      <c r="AK625" s="2442"/>
      <c r="AL625" s="2442"/>
      <c r="AM625" s="551"/>
      <c r="AN625" s="679"/>
    </row>
    <row r="626" spans="1:42" s="551" customFormat="1" ht="12.75" customHeight="1">
      <c r="A626" s="680"/>
      <c r="B626" s="537"/>
      <c r="C626" s="934"/>
      <c r="D626" s="664"/>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7"/>
      <c r="AF626" s="537"/>
      <c r="AG626" s="537"/>
      <c r="AH626" s="537"/>
      <c r="AI626" s="537"/>
      <c r="AJ626" s="537"/>
      <c r="AK626" s="537"/>
      <c r="AL626" s="537"/>
      <c r="AN626" s="598"/>
    </row>
    <row r="627" spans="1:42" s="551" customFormat="1" ht="12.75" customHeight="1">
      <c r="B627" s="537"/>
      <c r="C627" s="932"/>
      <c r="D627" s="664"/>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7"/>
      <c r="AF627" s="537"/>
      <c r="AG627" s="537"/>
      <c r="AH627" s="537"/>
      <c r="AI627" s="537"/>
      <c r="AJ627" s="537"/>
      <c r="AK627" s="537"/>
      <c r="AL627" s="537"/>
      <c r="AN627" s="598"/>
    </row>
    <row r="628" spans="1:42" s="551" customFormat="1" ht="12.75" customHeight="1">
      <c r="B628" s="537"/>
      <c r="C628" s="932"/>
      <c r="D628" s="664"/>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7"/>
      <c r="AF628" s="537"/>
      <c r="AG628" s="537"/>
      <c r="AH628" s="537"/>
      <c r="AI628" s="537"/>
      <c r="AJ628" s="537"/>
      <c r="AK628" s="537"/>
      <c r="AL628" s="537"/>
      <c r="AN628" s="598"/>
    </row>
    <row r="629" spans="1:42" s="551" customFormat="1" ht="12.75" customHeight="1">
      <c r="B629" s="537"/>
      <c r="C629" s="932"/>
      <c r="D629" s="664"/>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7"/>
      <c r="AF629" s="537"/>
      <c r="AG629" s="537"/>
      <c r="AH629" s="537"/>
      <c r="AI629" s="537"/>
      <c r="AJ629" s="537"/>
      <c r="AK629" s="537"/>
      <c r="AL629" s="537"/>
      <c r="AN629" s="598"/>
    </row>
    <row r="630" spans="1:42" s="551" customFormat="1" ht="12.75" customHeight="1">
      <c r="B630" s="537"/>
      <c r="C630" s="932"/>
      <c r="D630" s="664"/>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7"/>
      <c r="AF630" s="537"/>
      <c r="AG630" s="537"/>
      <c r="AH630" s="537"/>
      <c r="AI630" s="537"/>
      <c r="AJ630" s="537"/>
      <c r="AK630" s="537"/>
      <c r="AL630" s="537"/>
      <c r="AN630" s="598"/>
    </row>
    <row r="631" spans="1:42" s="551" customFormat="1" ht="12.75" customHeight="1">
      <c r="A631" s="638"/>
      <c r="B631" s="617"/>
      <c r="C631" s="941"/>
      <c r="D631" s="664"/>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7"/>
      <c r="AF631" s="617"/>
      <c r="AG631" s="617"/>
      <c r="AH631" s="617"/>
      <c r="AI631" s="617"/>
      <c r="AJ631" s="617"/>
      <c r="AK631" s="537"/>
      <c r="AL631" s="537"/>
      <c r="AN631" s="598"/>
    </row>
    <row r="632" spans="1:42" s="551" customFormat="1" ht="12.75" customHeight="1">
      <c r="B632" s="617"/>
      <c r="C632" s="941"/>
      <c r="D632" s="664"/>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0" t="s">
        <v>592</v>
      </c>
      <c r="Y634" s="247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2" t="s">
        <v>1409</v>
      </c>
      <c r="AG636" s="2442"/>
      <c r="AH636" s="2442"/>
      <c r="AI636" s="2442"/>
      <c r="AJ636" s="2442"/>
      <c r="AK636" s="2442"/>
      <c r="AL636" s="244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6" t="s">
        <v>688</v>
      </c>
      <c r="I638" s="252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7">
        <f>VLOOKUP($H$638,$AO$605:$AP$607,2,FALSE)</f>
        <v>3</v>
      </c>
      <c r="AK640" s="2479"/>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7" t="s">
        <v>2100</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7"/>
      <c r="AF644" s="2442" t="s">
        <v>1353</v>
      </c>
      <c r="AG644" s="2442"/>
      <c r="AH644" s="2442"/>
      <c r="AI644" s="2442"/>
      <c r="AJ644" s="2442"/>
      <c r="AK644" s="2442"/>
      <c r="AL644" s="2442"/>
      <c r="AN644" s="598"/>
    </row>
    <row r="645" spans="1:42" s="551" customFormat="1" ht="12.75" customHeight="1">
      <c r="B645" s="537"/>
      <c r="C645" s="537"/>
      <c r="D645" s="664"/>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2" t="s">
        <v>1409</v>
      </c>
      <c r="AG647" s="2442"/>
      <c r="AH647" s="2442"/>
      <c r="AI647" s="2442"/>
      <c r="AJ647" s="2442"/>
      <c r="AK647" s="2442"/>
      <c r="AL647" s="2442"/>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6" t="s">
        <v>688</v>
      </c>
      <c r="I650" s="252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7">
        <f>VLOOKUP(H650,AT605:AU607,2,FALSE)</f>
        <v>3</v>
      </c>
      <c r="AK652" s="247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7" t="s">
        <v>1419</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7"/>
      <c r="AE657" s="537"/>
      <c r="AF657" s="2442" t="s">
        <v>1379</v>
      </c>
      <c r="AG657" s="2442"/>
      <c r="AH657" s="2442"/>
      <c r="AI657" s="2442"/>
      <c r="AJ657" s="2442"/>
      <c r="AK657" s="2442"/>
      <c r="AL657" s="2442"/>
      <c r="AN657" s="598"/>
    </row>
    <row r="658" spans="1:42" s="551" customFormat="1" ht="12.75" customHeight="1">
      <c r="B658" s="537"/>
      <c r="C658" s="540"/>
      <c r="D658" s="537"/>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7"/>
      <c r="AE658" s="537"/>
      <c r="AF658" s="537"/>
      <c r="AG658" s="537"/>
      <c r="AH658" s="537"/>
      <c r="AI658" s="537"/>
      <c r="AJ658" s="537"/>
      <c r="AK658" s="537"/>
      <c r="AL658" s="537"/>
      <c r="AN658" s="598"/>
    </row>
    <row r="659" spans="1:42" s="551" customFormat="1" ht="12.75" customHeight="1">
      <c r="B659" s="537"/>
      <c r="C659" s="540"/>
      <c r="D659" s="664"/>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7" t="s">
        <v>1420</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7"/>
      <c r="AE661" s="537"/>
      <c r="AF661" s="2442" t="s">
        <v>1400</v>
      </c>
      <c r="AG661" s="2442"/>
      <c r="AH661" s="2442"/>
      <c r="AI661" s="2442"/>
      <c r="AJ661" s="2442"/>
      <c r="AK661" s="2442"/>
      <c r="AL661" s="2442"/>
      <c r="AN661" s="598"/>
    </row>
    <row r="662" spans="1:42" s="551" customFormat="1" ht="12.75" customHeight="1">
      <c r="B662" s="537"/>
      <c r="C662" s="540"/>
      <c r="D662" s="537"/>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7"/>
      <c r="AE662" s="537"/>
      <c r="AF662" s="537"/>
      <c r="AG662" s="537"/>
      <c r="AH662" s="537"/>
      <c r="AI662" s="537"/>
      <c r="AJ662" s="537"/>
      <c r="AK662" s="537"/>
      <c r="AL662" s="537"/>
      <c r="AN662" s="598"/>
    </row>
    <row r="663" spans="1:42" s="551" customFormat="1" ht="15" customHeight="1">
      <c r="B663" s="537"/>
      <c r="C663" s="540"/>
      <c r="D663" s="664"/>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7" t="s">
        <v>1421</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7"/>
      <c r="AE665" s="537"/>
      <c r="AF665" s="2442" t="s">
        <v>1353</v>
      </c>
      <c r="AG665" s="2442"/>
      <c r="AH665" s="2442"/>
      <c r="AI665" s="2442"/>
      <c r="AJ665" s="2442"/>
      <c r="AK665" s="2442"/>
      <c r="AL665" s="2442"/>
      <c r="AN665" s="598"/>
    </row>
    <row r="666" spans="1:42" s="551" customFormat="1" ht="12.75" customHeight="1">
      <c r="B666" s="537"/>
      <c r="C666" s="932"/>
      <c r="D666" s="537"/>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7"/>
      <c r="AE666" s="2442"/>
      <c r="AF666" s="2442"/>
      <c r="AG666" s="2442"/>
      <c r="AH666" s="2442"/>
      <c r="AI666" s="2442"/>
      <c r="AJ666" s="2442"/>
      <c r="AK666" s="2442"/>
      <c r="AL666" s="595"/>
      <c r="AN666" s="598"/>
      <c r="AO666" s="551" t="s">
        <v>592</v>
      </c>
      <c r="AP666" s="674">
        <v>0</v>
      </c>
    </row>
    <row r="667" spans="1:42" s="551" customFormat="1" ht="12.75" customHeight="1">
      <c r="A667" s="680"/>
      <c r="B667" s="537"/>
      <c r="C667" s="537"/>
      <c r="D667" s="664"/>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7" t="s">
        <v>1422</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7"/>
      <c r="AE669" s="537"/>
      <c r="AF669" s="2442" t="s">
        <v>1400</v>
      </c>
      <c r="AG669" s="2442"/>
      <c r="AH669" s="2442"/>
      <c r="AI669" s="2442"/>
      <c r="AJ669" s="2442"/>
      <c r="AK669" s="2442"/>
      <c r="AL669" s="2442"/>
      <c r="AN669" s="598"/>
    </row>
    <row r="670" spans="1:42" s="551" customFormat="1" ht="12.75" customHeight="1">
      <c r="A670" s="671"/>
      <c r="B670" s="537"/>
      <c r="C670" s="948"/>
      <c r="D670" s="664"/>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7" t="s">
        <v>1423</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7"/>
      <c r="AE673" s="537"/>
      <c r="AF673" s="2442" t="s">
        <v>1353</v>
      </c>
      <c r="AG673" s="2442"/>
      <c r="AH673" s="2442"/>
      <c r="AI673" s="2442"/>
      <c r="AJ673" s="2442"/>
      <c r="AK673" s="2442"/>
      <c r="AL673" s="2442"/>
      <c r="AM673" s="597"/>
      <c r="AN673" s="598"/>
    </row>
    <row r="674" spans="1:42" s="551" customFormat="1" ht="12.75" customHeight="1">
      <c r="B674" s="537"/>
      <c r="C674" s="932"/>
      <c r="D674" s="664"/>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7"/>
      <c r="AE674" s="537"/>
      <c r="AF674" s="537"/>
      <c r="AG674" s="537"/>
      <c r="AH674" s="537"/>
      <c r="AI674" s="537"/>
      <c r="AJ674" s="537"/>
      <c r="AK674" s="537"/>
      <c r="AL674" s="537"/>
      <c r="AM674" s="597"/>
      <c r="AN674" s="598"/>
    </row>
    <row r="675" spans="1:42" s="551" customFormat="1" ht="12.75" customHeight="1">
      <c r="B675" s="537"/>
      <c r="C675" s="932"/>
      <c r="D675" s="664"/>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7" t="s">
        <v>1424</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7"/>
      <c r="AE677" s="537"/>
      <c r="AF677" s="2442" t="s">
        <v>1409</v>
      </c>
      <c r="AG677" s="2442"/>
      <c r="AH677" s="2442"/>
      <c r="AI677" s="2442"/>
      <c r="AJ677" s="2442"/>
      <c r="AK677" s="2442"/>
      <c r="AL677" s="2442"/>
      <c r="AM677" s="597"/>
      <c r="AN677" s="598"/>
    </row>
    <row r="678" spans="1:42" s="551" customFormat="1" ht="12.75" customHeight="1">
      <c r="A678" s="680"/>
      <c r="B678" s="537"/>
      <c r="C678" s="932"/>
      <c r="D678" s="664"/>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7" t="s">
        <v>1425</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7"/>
      <c r="AE681" s="537"/>
      <c r="AF681" s="2442" t="s">
        <v>1426</v>
      </c>
      <c r="AG681" s="2442"/>
      <c r="AH681" s="2442"/>
      <c r="AI681" s="2442"/>
      <c r="AJ681" s="2442"/>
      <c r="AK681" s="2442"/>
      <c r="AL681" s="2442"/>
      <c r="AM681" s="597"/>
      <c r="AN681" s="598"/>
      <c r="AO681" s="612" t="s">
        <v>688</v>
      </c>
      <c r="AP681" s="551">
        <v>3</v>
      </c>
    </row>
    <row r="682" spans="1:42" s="551" customFormat="1" ht="12.75" customHeight="1">
      <c r="A682" s="680"/>
      <c r="B682" s="537"/>
      <c r="C682" s="932"/>
      <c r="D682" s="664"/>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6" t="s">
        <v>510</v>
      </c>
      <c r="I685" s="252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7">
        <f>VLOOKUP($H$685,$AO$633:$AP$640,2,FALSE)</f>
        <v>4</v>
      </c>
      <c r="AK687" s="247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143</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143</v>
      </c>
    </row>
    <row r="691" spans="1:51" s="551" customFormat="1" ht="12.75" customHeight="1">
      <c r="A691" s="680"/>
      <c r="B691" s="537"/>
      <c r="C691" s="949"/>
      <c r="D691" s="664" t="s">
        <v>688</v>
      </c>
      <c r="E691" s="2533" t="s">
        <v>2192</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7"/>
      <c r="AD691" s="537"/>
      <c r="AE691" s="537"/>
      <c r="AF691" s="2442" t="s">
        <v>1353</v>
      </c>
      <c r="AG691" s="2442"/>
      <c r="AH691" s="2442"/>
      <c r="AI691" s="2442"/>
      <c r="AJ691" s="2442"/>
      <c r="AK691" s="2442"/>
      <c r="AL691" s="2442"/>
      <c r="AN691" s="598"/>
      <c r="AW691" s="22" t="s">
        <v>2187</v>
      </c>
      <c r="AX691" s="551">
        <f>Application!DE753</f>
        <v>0</v>
      </c>
    </row>
    <row r="692" spans="1:51" s="551" customFormat="1" ht="12.75" customHeight="1">
      <c r="A692" s="680"/>
      <c r="B692" s="537"/>
      <c r="C692" s="949"/>
      <c r="D692" s="664"/>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7" t="s">
        <v>2136</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7"/>
      <c r="AD694" s="537"/>
      <c r="AE694" s="537"/>
      <c r="AF694" s="2442" t="s">
        <v>1353</v>
      </c>
      <c r="AG694" s="2442"/>
      <c r="AH694" s="2442"/>
      <c r="AI694" s="2442"/>
      <c r="AJ694" s="2442"/>
      <c r="AK694" s="2442"/>
      <c r="AL694" s="2442"/>
      <c r="AN694" s="598"/>
      <c r="AW694" s="22" t="s">
        <v>2190</v>
      </c>
      <c r="AX694" s="551">
        <f>AX691+AX692+AX693</f>
        <v>0</v>
      </c>
    </row>
    <row r="695" spans="1:51" s="551" customFormat="1" ht="12.75" customHeight="1">
      <c r="B695" s="537"/>
      <c r="C695" s="941"/>
      <c r="D695" s="664"/>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7"/>
      <c r="AD695" s="537"/>
      <c r="AE695" s="617"/>
      <c r="AF695" s="537"/>
      <c r="AG695" s="537"/>
      <c r="AH695" s="537"/>
      <c r="AI695" s="537"/>
      <c r="AJ695" s="537"/>
      <c r="AK695" s="537"/>
      <c r="AL695" s="537"/>
      <c r="AN695" s="598"/>
      <c r="AO695" s="2532" t="b">
        <f>IF(Application!D211="Special Needs",IF(AY695&gt;=0.25,TRUE,FALSE),IF(AX695&gt;=0.25,TRUE,FALSE))</f>
        <v>0</v>
      </c>
      <c r="AP695" s="2532"/>
      <c r="AW695" s="22" t="s">
        <v>2191</v>
      </c>
      <c r="AX695" s="551">
        <f>IFERROR(AX694/AX690,0)</f>
        <v>0</v>
      </c>
      <c r="AY695" s="551">
        <f>IFERROR(AX694/(AX690-AX689),0)</f>
        <v>0</v>
      </c>
    </row>
    <row r="696" spans="1:51" s="551" customFormat="1" ht="12.75" customHeight="1">
      <c r="B696" s="537"/>
      <c r="C696" s="941"/>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7" t="s">
        <v>2137</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7"/>
      <c r="AD699" s="537"/>
      <c r="AE699" s="537"/>
      <c r="AF699" s="2442" t="s">
        <v>1409</v>
      </c>
      <c r="AG699" s="2442"/>
      <c r="AH699" s="2442"/>
      <c r="AI699" s="2442"/>
      <c r="AJ699" s="2442"/>
      <c r="AK699" s="2442"/>
      <c r="AL699" s="2442"/>
      <c r="AN699" s="598"/>
      <c r="AO699" s="612" t="s">
        <v>510</v>
      </c>
      <c r="AP699" s="551">
        <v>1</v>
      </c>
    </row>
    <row r="700" spans="1:51" s="551" customFormat="1" ht="12" customHeight="1">
      <c r="B700" s="537"/>
      <c r="C700" s="932"/>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7"/>
      <c r="AD700" s="537"/>
      <c r="AE700" s="617"/>
      <c r="AF700" s="537"/>
      <c r="AG700" s="537"/>
      <c r="AH700" s="537"/>
      <c r="AI700" s="537"/>
      <c r="AJ700" s="537"/>
      <c r="AK700" s="537"/>
      <c r="AL700" s="537"/>
      <c r="AN700" s="598"/>
    </row>
    <row r="701" spans="1:51" s="551" customFormat="1" ht="12" customHeight="1">
      <c r="B701" s="537"/>
      <c r="C701" s="932"/>
      <c r="D701" s="537"/>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7"/>
      <c r="AD701" s="537"/>
      <c r="AE701" s="617"/>
      <c r="AF701" s="537"/>
      <c r="AG701" s="537"/>
      <c r="AH701" s="537"/>
      <c r="AI701" s="537"/>
      <c r="AJ701" s="537"/>
      <c r="AK701" s="537"/>
      <c r="AL701" s="537"/>
      <c r="AN701" s="598"/>
    </row>
    <row r="702" spans="1:51" s="551" customFormat="1" ht="12" customHeight="1">
      <c r="B702" s="537"/>
      <c r="C702" s="932"/>
      <c r="D702" s="537"/>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7" t="s">
        <v>1694</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6" t="s">
        <v>592</v>
      </c>
      <c r="I709" s="252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7">
        <f>VLOOKUP($H$709,$AO$703:$AP$706,2,FALSE)</f>
        <v>0</v>
      </c>
      <c r="AK711" s="2479"/>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7"/>
      <c r="AD715" s="537"/>
      <c r="AE715" s="537"/>
      <c r="AF715" s="2442" t="s">
        <v>1353</v>
      </c>
      <c r="AG715" s="2442"/>
      <c r="AH715" s="2442"/>
      <c r="AI715" s="2442"/>
      <c r="AJ715" s="2442"/>
      <c r="AK715" s="2442"/>
      <c r="AL715" s="2442"/>
      <c r="AM715" s="551"/>
      <c r="AN715" s="685"/>
      <c r="AP715" s="571" t="s">
        <v>1433</v>
      </c>
    </row>
    <row r="716" spans="1:43" s="571" customFormat="1" ht="11.85" customHeight="1">
      <c r="A716" s="551"/>
      <c r="B716" s="537"/>
      <c r="C716" s="934"/>
      <c r="D716" s="664"/>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7"/>
      <c r="AD719" s="537"/>
      <c r="AE719" s="537"/>
      <c r="AF719" s="2442" t="s">
        <v>1409</v>
      </c>
      <c r="AG719" s="2442"/>
      <c r="AH719" s="2442"/>
      <c r="AI719" s="2442"/>
      <c r="AJ719" s="2442"/>
      <c r="AK719" s="2442"/>
      <c r="AL719" s="2442"/>
      <c r="AM719" s="551"/>
      <c r="AN719" s="686"/>
    </row>
    <row r="720" spans="1:43" s="571" customFormat="1" ht="12.75" customHeight="1">
      <c r="A720" s="551"/>
      <c r="B720" s="537"/>
      <c r="C720" s="934"/>
      <c r="D720" s="537"/>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526" t="s">
        <v>592</v>
      </c>
      <c r="I723" s="252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7">
        <f>VLOOKUP($H$723,$AP$720:$AQ$722,2,FALSE)</f>
        <v>0</v>
      </c>
      <c r="AK725" s="2479"/>
      <c r="AL725" s="596"/>
      <c r="AM725" s="551"/>
      <c r="AN725" s="685"/>
      <c r="AP725" s="2477"/>
      <c r="AQ725" s="247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97" t="s">
        <v>1697</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7"/>
      <c r="AD729" s="537"/>
      <c r="AE729" s="537"/>
      <c r="AF729" s="2442" t="s">
        <v>1353</v>
      </c>
      <c r="AG729" s="2442"/>
      <c r="AH729" s="2442"/>
      <c r="AI729" s="2442"/>
      <c r="AJ729" s="2442"/>
      <c r="AK729" s="2442"/>
      <c r="AL729" s="2442"/>
      <c r="AM729" s="551"/>
      <c r="AN729" s="685"/>
      <c r="AT729" s="14"/>
      <c r="AU729" s="14"/>
      <c r="AV729" s="14"/>
      <c r="AW729" s="14"/>
      <c r="AX729" s="14"/>
      <c r="AY729" s="14"/>
      <c r="AZ729" s="14"/>
    </row>
    <row r="730" spans="1:81" s="571" customFormat="1">
      <c r="A730" s="551"/>
      <c r="B730" s="537"/>
      <c r="C730" s="934"/>
      <c r="D730" s="664"/>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7" t="s">
        <v>1440</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7"/>
      <c r="AD732" s="537"/>
      <c r="AE732" s="537"/>
      <c r="AF732" s="2442" t="s">
        <v>1409</v>
      </c>
      <c r="AG732" s="2442"/>
      <c r="AH732" s="2442"/>
      <c r="AI732" s="2442"/>
      <c r="AJ732" s="2442"/>
      <c r="AK732" s="2442"/>
      <c r="AL732" s="2442"/>
      <c r="AM732" s="551"/>
      <c r="AN732" s="685"/>
      <c r="AT732" s="14"/>
      <c r="AU732" s="14"/>
      <c r="AV732" s="14"/>
      <c r="AW732" s="14"/>
      <c r="AX732" s="14"/>
      <c r="AY732" s="14"/>
      <c r="AZ732" s="14"/>
    </row>
    <row r="733" spans="1:81" s="571" customFormat="1">
      <c r="A733" s="551"/>
      <c r="B733" s="537"/>
      <c r="C733" s="934"/>
      <c r="D733" s="537"/>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6" t="s">
        <v>688</v>
      </c>
      <c r="I735" s="252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7">
        <f>VLOOKUP($H$735,$AO$666:$AP$668,2,FALSE)</f>
        <v>3</v>
      </c>
      <c r="AK737" s="247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97" t="s">
        <v>1443</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7"/>
      <c r="AD741" s="537"/>
      <c r="AE741" s="537"/>
      <c r="AF741" s="2442" t="s">
        <v>1353</v>
      </c>
      <c r="AG741" s="2442"/>
      <c r="AH741" s="2442"/>
      <c r="AI741" s="2442"/>
      <c r="AJ741" s="2442"/>
      <c r="AK741" s="2442"/>
      <c r="AL741" s="2442"/>
      <c r="AM741" s="551"/>
      <c r="AN741" s="685"/>
      <c r="AT741" s="14"/>
      <c r="AU741" s="14"/>
      <c r="AV741" s="14"/>
      <c r="AW741" s="14"/>
      <c r="AX741" s="14"/>
      <c r="AY741" s="14"/>
      <c r="AZ741" s="14"/>
    </row>
    <row r="742" spans="1:81" s="571" customFormat="1">
      <c r="A742" s="551"/>
      <c r="B742" s="537"/>
      <c r="C742" s="932"/>
      <c r="D742" s="664"/>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97" t="s">
        <v>1444</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6"/>
      <c r="AC746" s="537"/>
      <c r="AD746" s="537"/>
      <c r="AE746" s="537"/>
      <c r="AF746" s="2442" t="s">
        <v>1409</v>
      </c>
      <c r="AG746" s="2442"/>
      <c r="AH746" s="2442"/>
      <c r="AI746" s="2442"/>
      <c r="AJ746" s="2442"/>
      <c r="AK746" s="2442"/>
      <c r="AL746" s="2442"/>
      <c r="AM746" s="551"/>
      <c r="AN746" s="685"/>
      <c r="AO746" s="30"/>
      <c r="AP746" s="14"/>
    </row>
    <row r="747" spans="1:81" s="571" customFormat="1">
      <c r="A747" s="551"/>
      <c r="B747" s="537"/>
      <c r="C747" s="932"/>
      <c r="D747" s="664"/>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6" t="s">
        <v>688</v>
      </c>
      <c r="I751" s="252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7">
        <f>VLOOKUP($H$751,$AO$680:$AP$682,2,FALSE)</f>
        <v>3</v>
      </c>
      <c r="AK753" s="247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97" t="s">
        <v>1446</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7"/>
      <c r="AD757" s="537"/>
      <c r="AE757" s="537"/>
      <c r="AF757" s="2442" t="s">
        <v>1409</v>
      </c>
      <c r="AG757" s="2442"/>
      <c r="AH757" s="2442"/>
      <c r="AI757" s="2442"/>
      <c r="AJ757" s="2442"/>
      <c r="AK757" s="2442"/>
      <c r="AL757" s="244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97" t="s">
        <v>1447</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7"/>
      <c r="AD760" s="537"/>
      <c r="AE760" s="537"/>
      <c r="AF760" s="2442" t="s">
        <v>1426</v>
      </c>
      <c r="AG760" s="2442"/>
      <c r="AH760" s="2442"/>
      <c r="AI760" s="2442"/>
      <c r="AJ760" s="2442"/>
      <c r="AK760" s="2442"/>
      <c r="AL760" s="244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6" t="s">
        <v>688</v>
      </c>
      <c r="I763" s="252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7">
        <f>VLOOKUP($H$763,$AO$697:$AP$699,2,FALSE)</f>
        <v>2</v>
      </c>
      <c r="AK765" s="247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97" t="s">
        <v>1693</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7"/>
      <c r="AF769" s="2442" t="s">
        <v>1409</v>
      </c>
      <c r="AG769" s="2442"/>
      <c r="AH769" s="2442"/>
      <c r="AI769" s="2442"/>
      <c r="AJ769" s="2442"/>
      <c r="AK769" s="2442"/>
      <c r="AL769" s="2442"/>
      <c r="AM769" s="614"/>
      <c r="AN769" s="685"/>
      <c r="AO769" s="551" t="s">
        <v>592</v>
      </c>
      <c r="AP769" s="674">
        <v>0</v>
      </c>
    </row>
    <row r="770" spans="1:81" s="571" customFormat="1" ht="13.7" customHeight="1">
      <c r="A770" s="551"/>
      <c r="B770" s="617"/>
      <c r="C770" s="941"/>
      <c r="D770" s="664"/>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442" t="s">
        <v>1353</v>
      </c>
      <c r="AG774" s="2442"/>
      <c r="AH774" s="2442"/>
      <c r="AI774" s="2442"/>
      <c r="AJ774" s="2442"/>
      <c r="AK774" s="2442"/>
      <c r="AL774" s="2442"/>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6" t="s">
        <v>592</v>
      </c>
      <c r="I779" s="252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7">
        <f>VLOOKUP($H$779,$AO$769:$AP$771,2,FALSE)</f>
        <v>0</v>
      </c>
      <c r="AK781" s="247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97" t="s">
        <v>2035</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7"/>
      <c r="AF785" s="2442" t="s">
        <v>1353</v>
      </c>
      <c r="AG785" s="2442"/>
      <c r="AH785" s="2442"/>
      <c r="AI785" s="2442"/>
      <c r="AJ785" s="2442"/>
      <c r="AK785" s="2442"/>
      <c r="AL785" s="2442"/>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526" t="s">
        <v>592</v>
      </c>
      <c r="I790" s="252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7">
        <f>VLOOKUP($H$790,$AO$784:$AP$785,2,FALSE)</f>
        <v>0</v>
      </c>
      <c r="AK792" s="247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7">
        <f>IF(($AJ$621+$AJ$640+$AJ$652+$AJ$687+$AJ$711+$AJ$725+$AJ$737+$AJ$753+$AJ$765+$AJ$781+AJ792)&gt;10,10,($AJ$621+$AJ$640+$AJ$652+$AJ$687+$AJ$711+$AJ$725+$AJ$737+$AJ$753+$AJ$765+$AJ$781+AJ792))</f>
        <v>10</v>
      </c>
      <c r="AL794" s="2478"/>
      <c r="AM794" s="247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0" t="s">
        <v>1569</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7"/>
      <c r="AQ800" s="817"/>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3" t="s">
        <v>1570</v>
      </c>
      <c r="U802" s="2574"/>
      <c r="V802" s="2574"/>
      <c r="W802" s="2574"/>
      <c r="X802" s="2574"/>
      <c r="Y802" s="2575"/>
      <c r="Z802" s="2573" t="s">
        <v>1571</v>
      </c>
      <c r="AA802" s="2574"/>
      <c r="AB802" s="2574"/>
      <c r="AC802" s="2574"/>
      <c r="AD802" s="2574"/>
      <c r="AE802" s="2575"/>
      <c r="AF802" s="2573" t="s">
        <v>1572</v>
      </c>
      <c r="AG802" s="2574"/>
      <c r="AH802" s="2574"/>
      <c r="AI802" s="2574"/>
      <c r="AJ802" s="2574"/>
      <c r="AK802" s="2575"/>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6"/>
      <c r="U803" s="2577"/>
      <c r="V803" s="2577"/>
      <c r="W803" s="2577"/>
      <c r="X803" s="2577"/>
      <c r="Y803" s="2578"/>
      <c r="Z803" s="2576"/>
      <c r="AA803" s="2577"/>
      <c r="AB803" s="2577"/>
      <c r="AC803" s="2577"/>
      <c r="AD803" s="2577"/>
      <c r="AE803" s="2578"/>
      <c r="AF803" s="2576"/>
      <c r="AG803" s="2577"/>
      <c r="AH803" s="2577"/>
      <c r="AI803" s="2577"/>
      <c r="AJ803" s="2577"/>
      <c r="AK803" s="2578"/>
      <c r="AL803" s="819"/>
      <c r="AM803" s="597"/>
      <c r="AO803" s="817"/>
      <c r="AP803" s="817"/>
      <c r="AQ803" s="817"/>
    </row>
    <row r="804" spans="1:81">
      <c r="A804" s="820" t="s">
        <v>758</v>
      </c>
      <c r="B804" s="2553" t="s">
        <v>1305</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9"/>
      <c r="AM804" s="597"/>
      <c r="AO804" s="817"/>
      <c r="AP804" s="817"/>
      <c r="AQ804" s="817"/>
    </row>
    <row r="805" spans="1:81">
      <c r="A805" s="820" t="s">
        <v>1542</v>
      </c>
      <c r="B805" s="2553" t="s">
        <v>1314</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9"/>
      <c r="AM805" s="597"/>
      <c r="AO805" s="817"/>
      <c r="AP805" s="817"/>
      <c r="AQ805" s="817"/>
    </row>
    <row r="806" spans="1:81">
      <c r="A806" s="820" t="s">
        <v>1551</v>
      </c>
      <c r="B806" s="2553" t="s">
        <v>1324</v>
      </c>
      <c r="C806" s="2553"/>
      <c r="D806" s="2553"/>
      <c r="E806" s="2553"/>
      <c r="F806" s="2553"/>
      <c r="G806" s="2553"/>
      <c r="H806" s="2553"/>
      <c r="I806" s="2553"/>
      <c r="J806" s="2553"/>
      <c r="K806" s="2553"/>
      <c r="L806" s="2553"/>
      <c r="M806" s="2553"/>
      <c r="N806" s="2553"/>
      <c r="O806" s="2553"/>
      <c r="P806" s="2553"/>
      <c r="Q806" s="2553"/>
      <c r="R806" s="2553"/>
      <c r="S806" s="2554"/>
      <c r="T806" s="2555">
        <f>AK109</f>
        <v>20</v>
      </c>
      <c r="U806" s="2556"/>
      <c r="V806" s="2556"/>
      <c r="W806" s="2556"/>
      <c r="X806" s="2556"/>
      <c r="Y806" s="2557"/>
      <c r="Z806" s="2558">
        <v>20</v>
      </c>
      <c r="AA806" s="2556"/>
      <c r="AB806" s="2556"/>
      <c r="AC806" s="2556"/>
      <c r="AD806" s="2556"/>
      <c r="AE806" s="2557"/>
      <c r="AF806" s="2539">
        <f>IF(T806&gt;Z806,Z806,T806)</f>
        <v>20</v>
      </c>
      <c r="AG806" s="2539"/>
      <c r="AH806" s="2539"/>
      <c r="AI806" s="2539"/>
      <c r="AJ806" s="2539"/>
      <c r="AK806" s="2539"/>
      <c r="AL806" s="819"/>
      <c r="AM806" s="597"/>
      <c r="AO806" s="817"/>
      <c r="AP806" s="817"/>
      <c r="AQ806" s="817"/>
    </row>
    <row r="807" spans="1:81">
      <c r="A807" s="820" t="s">
        <v>1573</v>
      </c>
      <c r="B807" s="2553" t="s">
        <v>1334</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9"/>
      <c r="AM807" s="597"/>
      <c r="AO807" s="817"/>
      <c r="AP807" s="817"/>
      <c r="AQ807" s="817"/>
    </row>
    <row r="808" spans="1:81">
      <c r="A808" s="821" t="s">
        <v>1574</v>
      </c>
      <c r="B808" s="2553" t="s">
        <v>1575</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9"/>
      <c r="AM808" s="597"/>
    </row>
    <row r="809" spans="1:81">
      <c r="A809" s="536"/>
      <c r="B809" s="602"/>
      <c r="C809" s="2580" t="s">
        <v>1576</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9"/>
      <c r="AM809" s="597"/>
    </row>
    <row r="810" spans="1:81">
      <c r="A810" s="601"/>
      <c r="B810" s="602"/>
      <c r="C810" s="2580" t="s">
        <v>1577</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9"/>
      <c r="AM810" s="597"/>
      <c r="AO810" s="551"/>
    </row>
    <row r="811" spans="1:81">
      <c r="A811" s="821" t="s">
        <v>1362</v>
      </c>
      <c r="B811" s="2553" t="s">
        <v>1578</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9"/>
      <c r="AM811" s="597"/>
    </row>
    <row r="812" spans="1:81">
      <c r="A812" s="820" t="s">
        <v>1371</v>
      </c>
      <c r="B812" s="2553" t="s">
        <v>1372</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9"/>
      <c r="AM812" s="597"/>
    </row>
    <row r="813" spans="1:81" s="535" customFormat="1" hidden="1">
      <c r="A813" s="821" t="s">
        <v>590</v>
      </c>
      <c r="B813" s="2553" t="s">
        <v>1579</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553" t="s">
        <v>1580</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553" t="s">
        <v>1382</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553" t="s">
        <v>846</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553" t="s">
        <v>1560</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553" t="s">
        <v>1582</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3" t="s">
        <v>1583</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1584</v>
      </c>
      <c r="AA820" s="2473"/>
      <c r="AB820" s="2473"/>
      <c r="AC820" s="2473"/>
      <c r="AD820" s="2473"/>
      <c r="AE820" s="2473"/>
      <c r="AF820" s="2585">
        <f>IF(T820&gt;0,T820,0)</f>
        <v>0</v>
      </c>
      <c r="AG820" s="2586"/>
      <c r="AH820" s="2586"/>
      <c r="AI820" s="2586"/>
      <c r="AJ820" s="2586"/>
      <c r="AK820" s="25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88" t="s">
        <v>1585</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SUM(AF804:AK819)-AF820</f>
        <v>119</v>
      </c>
      <c r="AG821" s="2595"/>
      <c r="AH821" s="2595"/>
      <c r="AI821" s="2595"/>
      <c r="AJ821" s="2595"/>
      <c r="AK821" s="25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YKwRL0hpfWRfwkKzWWTUXHlXxKkRX+86F9kQvTYpvba7sUoFz1z3/u7QuEgA+Jq0WkaROpRsvRGyCzqnfptZw==" saltValue="SkwU+xfdpDqtRk0KeyYTW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2025-01-22T22:06:51Z</cp:lastPrinted>
  <dcterms:created xsi:type="dcterms:W3CDTF">2007-12-27T18:26:28Z</dcterms:created>
  <dcterms:modified xsi:type="dcterms:W3CDTF">2025-02-03T15:50:33Z</dcterms:modified>
</cp:coreProperties>
</file>