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2 The Eliza\"/>
    </mc:Choice>
  </mc:AlternateContent>
  <xr:revisionPtr revIDLastSave="0" documentId="13_ncr:1_{B2FC5A85-B17D-4991-B222-DA752B6D4629}" xr6:coauthVersionLast="47" xr6:coauthVersionMax="47" xr10:uidLastSave="{00000000-0000-0000-0000-000000000000}"/>
  <bookViews>
    <workbookView xWindow="-120" yWindow="-120" windowWidth="29040" windowHeight="15840" firstSheet="3" activeTab="7" xr2:uid="{996E6C3F-A79C-3C43-9303-02FA54A9D866}"/>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1" i="21"/>
  <c r="G76" i="21"/>
  <c r="I18" i="21"/>
  <c r="I17" i="21"/>
  <c r="C32" i="4"/>
  <c r="C33" i="4" s="1"/>
  <c r="E33" i="4" s="1"/>
  <c r="J30" i="4"/>
  <c r="N30" i="4"/>
  <c r="I30" i="4"/>
  <c r="H30" i="4"/>
  <c r="G30" i="4"/>
  <c r="F30" i="4"/>
  <c r="E37" i="4"/>
  <c r="E35" i="4"/>
  <c r="E31" i="4"/>
  <c r="C30" i="4"/>
  <c r="E32" i="4" l="1"/>
  <c r="E30" i="4"/>
  <c r="AM561" i="3"/>
  <c r="I948" i="3" l="1"/>
  <c r="C93" i="4" l="1"/>
  <c r="W853" i="3" l="1"/>
  <c r="E69" i="4" l="1"/>
  <c r="E84" i="4"/>
  <c r="E85" i="4"/>
  <c r="E86" i="4"/>
  <c r="E88" i="4"/>
  <c r="E89" i="4"/>
  <c r="E90" i="4"/>
  <c r="E92" i="4"/>
  <c r="E93" i="4"/>
  <c r="E94" i="4"/>
  <c r="E95" i="4"/>
  <c r="E83" i="4"/>
  <c r="E80" i="4"/>
  <c r="E79" i="4"/>
  <c r="E75" i="4"/>
  <c r="E73" i="4"/>
  <c r="E65" i="4"/>
  <c r="E58" i="4"/>
  <c r="E50" i="4"/>
  <c r="E51" i="4"/>
  <c r="E52" i="4"/>
  <c r="E49" i="4"/>
  <c r="E46" i="4"/>
  <c r="E45" i="4"/>
  <c r="E40" i="4"/>
  <c r="E13" i="4"/>
  <c r="E6" i="4"/>
  <c r="C76" i="4"/>
  <c r="E76" i="4" s="1"/>
  <c r="C43" i="4"/>
  <c r="E43" i="4" s="1"/>
  <c r="AA942" i="3" l="1"/>
  <c r="AA948" i="3"/>
  <c r="AA921" i="3"/>
  <c r="AA918" i="3"/>
  <c r="Q628" i="3" l="1"/>
  <c r="AM558" i="3"/>
  <c r="AM557" i="3"/>
  <c r="C559" i="3"/>
  <c r="C560" i="3"/>
  <c r="C558" i="3"/>
  <c r="AM555" i="3"/>
  <c r="C555" i="3"/>
  <c r="AO634" i="3"/>
  <c r="AM559" i="3" s="1"/>
  <c r="C53" i="4" l="1"/>
  <c r="AA950" i="3"/>
  <c r="Q627" i="3"/>
  <c r="T628" i="3"/>
  <c r="T627" i="3" s="1"/>
  <c r="Q629" i="3"/>
  <c r="T629" i="3" l="1"/>
  <c r="Q630" i="3"/>
  <c r="T630" i="3" l="1"/>
  <c r="Q631" i="3"/>
  <c r="T631" i="3" s="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E24" i="13" s="1"/>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70" i="2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90" i="13"/>
  <c r="E87" i="13"/>
  <c r="E65" i="13"/>
  <c r="E53" i="13"/>
  <c r="E49" i="13"/>
  <c r="E48" i="13"/>
  <c r="E47" i="13"/>
  <c r="E46" i="13"/>
  <c r="E45" i="13"/>
  <c r="E41" i="13"/>
  <c r="E34" i="13"/>
  <c r="E29" i="13"/>
  <c r="E27"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2" i="4"/>
  <c r="S52" i="4" s="1"/>
  <c r="E52" i="13" s="1"/>
  <c r="R51" i="4"/>
  <c r="S51" i="4" s="1"/>
  <c r="E51" i="13" s="1"/>
  <c r="R50" i="4"/>
  <c r="S50" i="4" s="1"/>
  <c r="E50" i="13" s="1"/>
  <c r="R49" i="4"/>
  <c r="R48" i="4"/>
  <c r="R47" i="4"/>
  <c r="R46" i="4"/>
  <c r="R45" i="4"/>
  <c r="R43" i="4"/>
  <c r="S43" i="4" s="1"/>
  <c r="E43" i="13" s="1"/>
  <c r="R41" i="4"/>
  <c r="R40" i="4"/>
  <c r="R37" i="4"/>
  <c r="S37" i="4" s="1"/>
  <c r="E37" i="13" s="1"/>
  <c r="R35" i="4"/>
  <c r="S35" i="4" s="1"/>
  <c r="E35" i="13" s="1"/>
  <c r="R34" i="4"/>
  <c r="R33" i="4"/>
  <c r="S33" i="4" s="1"/>
  <c r="E33" i="13" s="1"/>
  <c r="R32" i="4"/>
  <c r="S32" i="4" s="1"/>
  <c r="R31" i="4"/>
  <c r="S31" i="4" s="1"/>
  <c r="E31" i="13" s="1"/>
  <c r="R30" i="4"/>
  <c r="S30" i="4" s="1"/>
  <c r="E30" i="13" s="1"/>
  <c r="R29" i="4"/>
  <c r="R27" i="4"/>
  <c r="R25" i="4"/>
  <c r="E25" i="13" s="1"/>
  <c r="R23" i="4"/>
  <c r="E23" i="13" s="1"/>
  <c r="R22" i="4"/>
  <c r="E22" i="13" s="1"/>
  <c r="R21" i="4"/>
  <c r="E21" i="13" s="1"/>
  <c r="R20" i="4"/>
  <c r="E20" i="13" s="1"/>
  <c r="R19" i="4"/>
  <c r="E19" i="13" s="1"/>
  <c r="R17" i="4"/>
  <c r="R15" i="4"/>
  <c r="R14" i="4"/>
  <c r="R13" i="4"/>
  <c r="S13" i="4" s="1"/>
  <c r="E13" i="13" s="1"/>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38" i="4"/>
  <c r="J42" i="4"/>
  <c r="J54" i="4"/>
  <c r="J62" i="4"/>
  <c r="J70" i="4"/>
  <c r="J77" i="4"/>
  <c r="J96" i="4"/>
  <c r="J104"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I38" i="4"/>
  <c r="I42" i="4"/>
  <c r="I54" i="4"/>
  <c r="I62" i="4"/>
  <c r="K26" i="4"/>
  <c r="L26" i="4"/>
  <c r="M26" i="4"/>
  <c r="M38" i="4"/>
  <c r="M42" i="4"/>
  <c r="M62" i="4"/>
  <c r="M70" i="4"/>
  <c r="M77" i="4"/>
  <c r="M96" i="4"/>
  <c r="M104"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F26" i="4" s="1"/>
  <c r="G108" i="4"/>
  <c r="G26" i="4" s="1"/>
  <c r="H108" i="4"/>
  <c r="H26" i="4" s="1"/>
  <c r="I108" i="4"/>
  <c r="I26" i="4" s="1"/>
  <c r="J108" i="4"/>
  <c r="J26" i="4" s="1"/>
  <c r="K108" i="4"/>
  <c r="K4" i="4" s="1"/>
  <c r="R4" i="4" s="1"/>
  <c r="L108" i="4"/>
  <c r="L99" i="4" s="1"/>
  <c r="E99" i="4" s="1"/>
  <c r="R99" i="4" s="1"/>
  <c r="S99" i="4" s="1"/>
  <c r="M108" i="4"/>
  <c r="M53" i="4" s="1"/>
  <c r="R53" i="4" s="1"/>
  <c r="N108" i="4"/>
  <c r="N26" i="4" s="1"/>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38" i="4" l="1"/>
  <c r="E38" i="13" s="1"/>
  <c r="E32" i="13"/>
  <c r="D33" i="11"/>
  <c r="D32" i="11"/>
  <c r="D25" i="11"/>
  <c r="B8" i="4"/>
  <c r="N189" i="23" s="1"/>
  <c r="D103" i="11"/>
  <c r="D35" i="11"/>
  <c r="M54" i="4"/>
  <c r="M63" i="4" s="1"/>
  <c r="M97" i="4" s="1"/>
  <c r="M105" i="4" s="1"/>
  <c r="S54" i="4"/>
  <c r="E54" i="13" s="1"/>
  <c r="E104" i="4"/>
  <c r="K8" i="4"/>
  <c r="K63" i="4" s="1"/>
  <c r="K97" i="4" s="1"/>
  <c r="K105" i="4" s="1"/>
  <c r="S40" i="4"/>
  <c r="S42" i="4" s="1"/>
  <c r="E42" i="13" s="1"/>
  <c r="S96" i="4"/>
  <c r="E96" i="13" s="1"/>
  <c r="D91" i="11"/>
  <c r="D87" i="11"/>
  <c r="S104" i="4"/>
  <c r="BA1058" i="3" s="1"/>
  <c r="E99" i="13"/>
  <c r="S81" i="4"/>
  <c r="E81" i="13" s="1"/>
  <c r="D92" i="11"/>
  <c r="F5" i="8"/>
  <c r="I5" i="8" s="1"/>
  <c r="J5" i="8" s="1"/>
  <c r="F4" i="8"/>
  <c r="I4" i="8" s="1"/>
  <c r="J4" i="8" s="1"/>
  <c r="L104" i="4"/>
  <c r="D36" i="11"/>
  <c r="F6" i="8"/>
  <c r="I6" i="8" s="1"/>
  <c r="J6" i="8" s="1"/>
  <c r="B26" i="4"/>
  <c r="D94" i="11"/>
  <c r="D86" i="11"/>
  <c r="D34" i="11"/>
  <c r="C105" i="11"/>
  <c r="D6" i="11"/>
  <c r="D54" i="11"/>
  <c r="D101" i="11"/>
  <c r="D96" i="11"/>
  <c r="D90" i="11"/>
  <c r="D88" i="11"/>
  <c r="D104" i="11"/>
  <c r="C82" i="11"/>
  <c r="D70" i="11"/>
  <c r="D95" i="11"/>
  <c r="D89"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D61" i="11"/>
  <c r="D57" i="11"/>
  <c r="B9" i="11"/>
  <c r="J12" i="4"/>
  <c r="B54" i="4"/>
  <c r="D30" i="11"/>
  <c r="D22" i="11"/>
  <c r="R77" i="4"/>
  <c r="D80" i="11"/>
  <c r="D31" i="11"/>
  <c r="B62" i="4"/>
  <c r="O63" i="4"/>
  <c r="O97" i="4" s="1"/>
  <c r="O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CI753" i="3"/>
  <c r="X1048" i="3" s="1"/>
  <c r="BG243" i="3"/>
  <c r="BO245" i="3" s="1"/>
  <c r="T267" i="3" s="1"/>
  <c r="AH721" i="3"/>
  <c r="G144" i="21"/>
  <c r="G143" i="21"/>
  <c r="J7" i="8"/>
  <c r="S38" i="21"/>
  <c r="S37" i="21"/>
  <c r="S36" i="21"/>
  <c r="S43" i="21"/>
  <c r="S35" i="21"/>
  <c r="S42" i="21"/>
  <c r="S34" i="21"/>
  <c r="S41" i="21"/>
  <c r="U33" i="21"/>
  <c r="S33" i="21"/>
  <c r="S44" i="21"/>
  <c r="S40" i="21"/>
  <c r="U32" i="21"/>
  <c r="S32" i="21"/>
  <c r="U24" i="21"/>
  <c r="U28" i="21"/>
  <c r="S39" i="21"/>
  <c r="AH720" i="3"/>
  <c r="T22" i="21"/>
  <c r="U37" i="21"/>
  <c r="U29" i="21"/>
  <c r="T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B12" i="4" l="1"/>
  <c r="N195" i="23"/>
  <c r="K12" i="4"/>
  <c r="U22" i="21"/>
  <c r="O22" i="21" s="1"/>
  <c r="E104" i="13"/>
  <c r="L105" i="4"/>
  <c r="G6" i="8"/>
  <c r="J40" i="8"/>
  <c r="Z809" i="3" s="1"/>
  <c r="E6" i="7" s="1"/>
  <c r="E40" i="13"/>
  <c r="U21" i="21"/>
  <c r="R18" i="4"/>
  <c r="E26" i="4"/>
  <c r="E63" i="4" s="1"/>
  <c r="E97" i="4" s="1"/>
  <c r="E105" i="4" s="1"/>
  <c r="G5" i="8"/>
  <c r="U20" i="21"/>
  <c r="O20" i="21" s="1"/>
  <c r="G4" i="8"/>
  <c r="D82" i="11"/>
  <c r="D105" i="11"/>
  <c r="D43" i="11"/>
  <c r="D55" i="11"/>
  <c r="D71" i="11"/>
  <c r="AJ621" i="20"/>
  <c r="AK794" i="20" s="1"/>
  <c r="T819" i="20" s="1"/>
  <c r="AF819" i="20" s="1"/>
  <c r="BE82" i="3" s="1"/>
  <c r="G94" i="2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G42" i="21" l="1" a="1"/>
  <c r="G42" i="21" s="1"/>
  <c r="G43" i="21" s="1"/>
  <c r="G40" i="8"/>
  <c r="R26" i="4"/>
  <c r="R63" i="4" s="1"/>
  <c r="R97" i="4" s="1"/>
  <c r="R105" i="4" s="1"/>
  <c r="D64" i="11"/>
  <c r="B105" i="4"/>
  <c r="AB47" i="15"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E7" i="7"/>
  <c r="M15" i="7"/>
  <c r="K22" i="7"/>
  <c r="K35" i="7" s="1"/>
  <c r="F27" i="21"/>
  <c r="G61" i="21"/>
  <c r="G63" i="21" s="1"/>
  <c r="G65" i="21" s="1"/>
  <c r="E13" i="21" s="1"/>
  <c r="F28" i="21"/>
  <c r="G28" i="21" s="1"/>
  <c r="G52" i="21"/>
  <c r="G54" i="21" s="1"/>
  <c r="G56" i="21" s="1"/>
  <c r="E12" i="21" s="1"/>
  <c r="S26" i="4" l="1"/>
  <c r="E18" i="13"/>
  <c r="T805" i="20"/>
  <c r="AF805" i="20" s="1"/>
  <c r="BE72" i="3" s="1"/>
  <c r="AB266" i="20"/>
  <c r="AG268" i="20" s="1"/>
  <c r="AG270" i="20" s="1"/>
  <c r="AK273" i="20" s="1"/>
  <c r="T812" i="20" s="1"/>
  <c r="AF812" i="20" s="1"/>
  <c r="BE77" i="3" s="1"/>
  <c r="AC454" i="3"/>
  <c r="N185" i="23"/>
  <c r="BE22" i="3"/>
  <c r="AB49" i="15"/>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M22" i="7"/>
  <c r="M35" i="7" s="1"/>
  <c r="O15" i="7"/>
  <c r="M9" i="7"/>
  <c r="O8" i="7"/>
  <c r="G27" i="21"/>
  <c r="F26" i="21"/>
  <c r="E26" i="13" l="1"/>
  <c r="S63" i="4"/>
  <c r="AJ1029" i="3"/>
  <c r="AJ1032" i="3"/>
  <c r="AJ1036" i="3" s="1"/>
  <c r="I15" i="21" s="1"/>
  <c r="AJ994" i="3"/>
  <c r="BE44" i="3"/>
  <c r="F457" i="3"/>
  <c r="AD11" i="15"/>
  <c r="AD23" i="15" s="1"/>
  <c r="AD26" i="15" s="1"/>
  <c r="AD28" i="15" s="1"/>
  <c r="AI11" i="15"/>
  <c r="AI23" i="15" s="1"/>
  <c r="AI26" i="15" s="1"/>
  <c r="AI28" i="15" s="1"/>
  <c r="N196" i="23"/>
  <c r="N186" i="23"/>
  <c r="S58" i="7"/>
  <c r="U53" i="7"/>
  <c r="AJ1045" i="3"/>
  <c r="AJ1049" i="3"/>
  <c r="AP553" i="20" s="1"/>
  <c r="AP550" i="20"/>
  <c r="K4" i="7"/>
  <c r="M4" i="7" s="1"/>
  <c r="E45" i="7"/>
  <c r="E48" i="7" s="1"/>
  <c r="G26" i="21"/>
  <c r="F29" i="21"/>
  <c r="G29" i="21"/>
  <c r="O22" i="7"/>
  <c r="O35" i="7" s="1"/>
  <c r="Q15" i="7"/>
  <c r="O9" i="7"/>
  <c r="Q8" i="7"/>
  <c r="E63" i="13" l="1"/>
  <c r="S97" i="4"/>
  <c r="U58" i="7"/>
  <c r="W53" i="7"/>
  <c r="AJ1053" i="3"/>
  <c r="AP552" i="20"/>
  <c r="AP554" i="20" s="1"/>
  <c r="K5" i="7"/>
  <c r="E47" i="7"/>
  <c r="E60" i="7"/>
  <c r="E62" i="7" s="1"/>
  <c r="O4" i="7"/>
  <c r="M5" i="7"/>
  <c r="Q22" i="7"/>
  <c r="Q35" i="7" s="1"/>
  <c r="S15" i="7"/>
  <c r="G79" i="21"/>
  <c r="G80" i="21" s="1"/>
  <c r="E15" i="21" s="1"/>
  <c r="G31" i="21"/>
  <c r="G33" i="21" s="1"/>
  <c r="E9" i="21" s="1"/>
  <c r="G88" i="21"/>
  <c r="G90" i="21" s="1"/>
  <c r="E16" i="21" s="1"/>
  <c r="G111" i="21"/>
  <c r="G96" i="21"/>
  <c r="Q9" i="7"/>
  <c r="S8" i="7"/>
  <c r="AZ1046" i="3" l="1"/>
  <c r="S105" i="4"/>
  <c r="E97" i="13"/>
  <c r="W58" i="7"/>
  <c r="Y53" i="7"/>
  <c r="T24" i="15"/>
  <c r="AP557" i="20"/>
  <c r="AP556" i="20" s="1"/>
  <c r="AP559" i="20" s="1"/>
  <c r="AF552" i="20" s="1"/>
  <c r="E66" i="7"/>
  <c r="E67" i="7"/>
  <c r="O5" i="7"/>
  <c r="Q4" i="7"/>
  <c r="G101" i="21"/>
  <c r="G113" i="21"/>
  <c r="G97" i="21"/>
  <c r="S22" i="7"/>
  <c r="S35" i="7" s="1"/>
  <c r="U15" i="7"/>
  <c r="U8" i="7"/>
  <c r="S9" i="7"/>
  <c r="S107" i="4" l="1"/>
  <c r="E105" i="13"/>
  <c r="BA1056" i="3"/>
  <c r="AZ1051" i="3"/>
  <c r="BA1055" i="3" s="1"/>
  <c r="BA1059" i="3" s="1"/>
  <c r="AA53" i="7"/>
  <c r="Y58" i="7"/>
  <c r="G115" i="21"/>
  <c r="E17" i="21" s="1"/>
  <c r="E14" i="21" s="1"/>
  <c r="E18" i="21" s="1"/>
  <c r="E70" i="7"/>
  <c r="E72" i="7" s="1"/>
  <c r="S4" i="7"/>
  <c r="Q5" i="7"/>
  <c r="U22" i="7"/>
  <c r="U35" i="7" s="1"/>
  <c r="W15" i="7"/>
  <c r="U9" i="7"/>
  <c r="W8" i="7"/>
  <c r="AF551" i="20" l="1"/>
  <c r="AF553" i="20" s="1"/>
  <c r="AK559" i="20" s="1"/>
  <c r="T818" i="20" s="1"/>
  <c r="AF818" i="20" s="1"/>
  <c r="BE81" i="3" s="1"/>
  <c r="E107" i="13"/>
  <c r="AE699" i="3" s="1"/>
  <c r="AC456" i="3"/>
  <c r="AA1056" i="3"/>
  <c r="AA1057" i="3" s="1"/>
  <c r="G1058" i="3" s="1"/>
  <c r="AC53" i="7"/>
  <c r="AA58" i="7"/>
  <c r="U4" i="7"/>
  <c r="S5" i="7"/>
  <c r="W22" i="7"/>
  <c r="W35" i="7" s="1"/>
  <c r="Y15" i="7"/>
  <c r="W9" i="7"/>
  <c r="Y8" i="7"/>
  <c r="T11" i="15" l="1"/>
  <c r="T23" i="15" s="1"/>
  <c r="Y11" i="15"/>
  <c r="Y23" i="15" s="1"/>
  <c r="Y26" i="15" s="1"/>
  <c r="Y28" i="15" s="1"/>
  <c r="Y64" i="15" s="1"/>
  <c r="Y68" i="15" s="1"/>
  <c r="Y69" i="15" s="1"/>
  <c r="AE53" i="7"/>
  <c r="AC58" i="7"/>
  <c r="U5" i="7"/>
  <c r="W4" i="7"/>
  <c r="Y22" i="7"/>
  <c r="Y35" i="7" s="1"/>
  <c r="AA15" i="7"/>
  <c r="Y9" i="7"/>
  <c r="AA8" i="7"/>
  <c r="T26" i="15" l="1"/>
  <c r="T28" i="15" s="1"/>
  <c r="T29" i="15" s="1"/>
  <c r="AD38" i="15"/>
  <c r="AD40" i="15" s="1"/>
  <c r="AG53" i="7"/>
  <c r="AG58" i="7" s="1"/>
  <c r="AE58" i="7"/>
  <c r="W5" i="7"/>
  <c r="Y4" i="7"/>
  <c r="AC15" i="7"/>
  <c r="AA22" i="7"/>
  <c r="AA35" i="7" s="1"/>
  <c r="AC8" i="7"/>
  <c r="AA9" i="7"/>
  <c r="Y38" i="15" l="1"/>
  <c r="Y40" i="15" s="1"/>
  <c r="Y41" i="15" s="1"/>
  <c r="AB50" i="15" s="1"/>
  <c r="AA4" i="7"/>
  <c r="Y5" i="7"/>
  <c r="AE15" i="7"/>
  <c r="AC22" i="7"/>
  <c r="AC35" i="7" s="1"/>
  <c r="AC9" i="7"/>
  <c r="AE8" i="7"/>
  <c r="AB54" i="15" l="1"/>
  <c r="AB55" i="15" s="1"/>
  <c r="AB56" i="15" s="1"/>
  <c r="M26" i="3" s="1"/>
  <c r="BE62" i="3"/>
  <c r="AA5" i="7"/>
  <c r="AC4" i="7"/>
  <c r="AE22" i="7"/>
  <c r="AE35" i="7" s="1"/>
  <c r="AG15" i="7"/>
  <c r="AG22" i="7" s="1"/>
  <c r="AG35" i="7" s="1"/>
  <c r="AE9" i="7"/>
  <c r="AG8" i="7"/>
  <c r="AG9" i="7" s="1"/>
  <c r="AB57" i="15" l="1"/>
  <c r="AB59" i="15" s="1"/>
  <c r="AB77" i="15" s="1"/>
  <c r="AB78" i="15" s="1"/>
  <c r="AB79" i="15" s="1"/>
  <c r="AB81" i="15" s="1"/>
  <c r="J82" i="15" s="1"/>
  <c r="BE19" i="3"/>
  <c r="P204" i="3"/>
  <c r="AC5" i="7"/>
  <c r="AE4" i="7"/>
  <c r="M27" i="3" l="1"/>
  <c r="BE20" i="3" s="1"/>
  <c r="I10" i="21"/>
  <c r="I11" i="21" s="1"/>
  <c r="AE5" i="7"/>
  <c r="AG4" i="7"/>
  <c r="H4" i="21" l="1"/>
  <c r="P205" i="3"/>
  <c r="AG5" i="7"/>
  <c r="BH753" i="3" l="1"/>
  <c r="AC753" i="3" s="1"/>
  <c r="BE42" i="3" s="1"/>
  <c r="E93" i="20" l="1"/>
  <c r="E94" i="20" s="1"/>
  <c r="E95" i="20" s="1"/>
  <c r="AP95" i="20" s="1"/>
  <c r="E103" i="20"/>
  <c r="E106" i="20" s="1"/>
  <c r="AP106" i="20" s="1"/>
  <c r="AK109" i="20" l="1"/>
  <c r="T806" i="20" s="1"/>
  <c r="AF806" i="20" s="1"/>
  <c r="BE73" i="3" s="1"/>
  <c r="H3" i="21"/>
  <c r="AF821" i="20" l="1"/>
  <c r="BE70" i="3" s="1"/>
  <c r="H5" i="21"/>
  <c r="BE83" i="3" s="1"/>
  <c r="U70" i="7"/>
  <c r="U66" i="7"/>
  <c r="M49" i="7"/>
  <c r="Q70" i="7"/>
  <c r="Q66" i="7"/>
  <c r="O70" i="7"/>
  <c r="O66" i="7"/>
  <c r="I70" i="7"/>
  <c r="I66" i="7"/>
  <c r="Y70" i="7"/>
  <c r="Y66" i="7"/>
  <c r="K49" i="7"/>
  <c r="M70" i="7"/>
  <c r="M66" i="7"/>
  <c r="AC49" i="7"/>
  <c r="Q47" i="7"/>
  <c r="Q48" i="7"/>
  <c r="U49" i="7"/>
  <c r="I62" i="7"/>
  <c r="I72" i="7"/>
  <c r="I60" i="7"/>
  <c r="I67" i="7"/>
  <c r="AG70" i="7"/>
  <c r="AG66" i="7"/>
  <c r="AC70" i="7"/>
  <c r="AC66" i="7"/>
  <c r="S70" i="7"/>
  <c r="S66" i="7"/>
  <c r="U62" i="7"/>
  <c r="U72" i="7"/>
  <c r="U60" i="7"/>
  <c r="U67" i="7"/>
  <c r="M47" i="7"/>
  <c r="M48" i="7"/>
  <c r="S72" i="7"/>
  <c r="S62" i="7"/>
  <c r="S60" i="7"/>
  <c r="S67" i="7"/>
  <c r="AA49" i="7"/>
  <c r="I48" i="7"/>
  <c r="I45" i="7"/>
  <c r="I47" i="7"/>
  <c r="Y47" i="7"/>
  <c r="Y48" i="7"/>
  <c r="Q67" i="7"/>
  <c r="Q62" i="7"/>
  <c r="Q45" i="7"/>
  <c r="Q60" i="7"/>
  <c r="Q72" i="7"/>
  <c r="G49" i="7"/>
  <c r="K70" i="7"/>
  <c r="K66" i="7"/>
  <c r="AG47" i="7"/>
  <c r="AG48" i="7"/>
  <c r="AG49" i="7"/>
  <c r="Y72" i="7"/>
  <c r="Y67" i="7"/>
  <c r="Y45" i="7"/>
  <c r="Y60" i="7"/>
  <c r="Y62" i="7"/>
  <c r="AE70" i="7"/>
  <c r="AE66" i="7"/>
  <c r="W49" i="7"/>
  <c r="G70" i="7"/>
  <c r="G66" i="7"/>
  <c r="O67" i="7"/>
  <c r="O72" i="7"/>
  <c r="O60" i="7"/>
  <c r="O62" i="7"/>
  <c r="O48" i="7"/>
  <c r="O45" i="7"/>
  <c r="O47" i="7"/>
  <c r="S47" i="7"/>
  <c r="S45" i="7"/>
  <c r="S48" i="7"/>
  <c r="I7" i="7"/>
  <c r="I6" i="7"/>
  <c r="I11" i="7"/>
  <c r="I37" i="7"/>
  <c r="I49" i="7"/>
  <c r="AC67" i="7"/>
  <c r="AC62" i="7"/>
  <c r="AC60" i="7"/>
  <c r="AC72" i="7"/>
  <c r="K62" i="7"/>
  <c r="K72" i="7"/>
  <c r="K60" i="7"/>
  <c r="K67" i="7"/>
  <c r="Y7" i="7"/>
  <c r="Y6" i="7"/>
  <c r="Y11" i="7"/>
  <c r="Y37" i="7"/>
  <c r="Y49" i="7"/>
  <c r="O7" i="7"/>
  <c r="O6" i="7"/>
  <c r="O11" i="7"/>
  <c r="O37" i="7"/>
  <c r="O49" i="7"/>
  <c r="W70" i="7"/>
  <c r="W66" i="7"/>
  <c r="AA67" i="7"/>
  <c r="AA62" i="7"/>
  <c r="AA72" i="7"/>
  <c r="G48" i="7"/>
  <c r="G47" i="7"/>
  <c r="Q7" i="7"/>
  <c r="Q6" i="7"/>
  <c r="Q11" i="7"/>
  <c r="Q37" i="7"/>
  <c r="Q49" i="7"/>
  <c r="AE67" i="7"/>
  <c r="AE72" i="7"/>
  <c r="AE60" i="7"/>
  <c r="AE62" i="7"/>
  <c r="AE49" i="7"/>
  <c r="W47" i="7"/>
  <c r="W48" i="7"/>
  <c r="S7" i="7"/>
  <c r="S6" i="7"/>
  <c r="S11" i="7"/>
  <c r="S37" i="7"/>
  <c r="S49" i="7"/>
  <c r="G72" i="7"/>
  <c r="G67" i="7"/>
  <c r="G7" i="7"/>
  <c r="G6" i="7"/>
  <c r="G11" i="7"/>
  <c r="G37" i="7"/>
  <c r="G45" i="7"/>
  <c r="G60" i="7"/>
  <c r="G62" i="7"/>
  <c r="M67" i="7"/>
  <c r="M62" i="7"/>
  <c r="M7" i="7"/>
  <c r="M6" i="7"/>
  <c r="M11" i="7"/>
  <c r="M37" i="7"/>
  <c r="M45" i="7"/>
  <c r="M60" i="7"/>
  <c r="M72" i="7"/>
  <c r="AG62" i="7"/>
  <c r="AG67" i="7"/>
  <c r="AG7" i="7"/>
  <c r="AG6" i="7"/>
  <c r="AG11" i="7"/>
  <c r="AG37" i="7"/>
  <c r="AG45" i="7"/>
  <c r="AG60" i="7"/>
  <c r="AG72" i="7"/>
  <c r="AC47" i="7"/>
  <c r="AC7" i="7"/>
  <c r="AC6" i="7"/>
  <c r="AC11" i="7"/>
  <c r="AC37" i="7"/>
  <c r="AC45" i="7"/>
  <c r="AC48" i="7"/>
  <c r="K47" i="7"/>
  <c r="K7" i="7"/>
  <c r="K6" i="7"/>
  <c r="K11" i="7"/>
  <c r="K37" i="7"/>
  <c r="K45" i="7"/>
  <c r="K48" i="7"/>
  <c r="U48" i="7"/>
  <c r="U7" i="7"/>
  <c r="U6" i="7"/>
  <c r="U11" i="7"/>
  <c r="U37" i="7"/>
  <c r="U45" i="7"/>
  <c r="U47" i="7"/>
  <c r="W62" i="7"/>
  <c r="W72" i="7"/>
  <c r="W7" i="7"/>
  <c r="W6" i="7"/>
  <c r="W11" i="7"/>
  <c r="W37" i="7"/>
  <c r="W45" i="7"/>
  <c r="W60" i="7"/>
  <c r="W67" i="7"/>
  <c r="AA47" i="7"/>
  <c r="AA48" i="7"/>
  <c r="AE47" i="7"/>
  <c r="AE7" i="7"/>
  <c r="AE6" i="7"/>
  <c r="AE11" i="7"/>
  <c r="AE37" i="7"/>
  <c r="AE45" i="7"/>
  <c r="AE48" i="7"/>
  <c r="AA7" i="7"/>
  <c r="AA6" i="7"/>
  <c r="AA11" i="7"/>
  <c r="AA37" i="7"/>
  <c r="AA45" i="7"/>
  <c r="AA60" i="7"/>
  <c r="AA66" i="7"/>
  <c r="AA7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C627" authorId="0" shapeId="0" xr:uid="{B1CB5265-140B-44E7-859D-B1C9329F9059}">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<sst xmlns="http://schemas.openxmlformats.org/spreadsheetml/2006/main" count="5025" uniqueCount="2762">
  <si>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</si>
  <si>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</si>
  <si>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</si>
  <si>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</si>
  <si>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</si>
  <si>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</si>
  <si>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</si>
  <si>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</si>
  <si>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</si>
  <si>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</si>
  <si>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</si>
  <si>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</si>
  <si>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</si>
  <si>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</si>
  <si>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</si>
  <si>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</si>
  <si>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</si>
  <si>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</si>
  <si>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</si>
  <si>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</si>
  <si>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</si>
  <si>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</si>
  <si>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</si>
  <si>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</si>
  <si>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</si>
  <si>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</si>
  <si>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</si>
  <si>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</si>
  <si>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</si>
  <si>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</si>
  <si>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</si>
  <si>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</si>
  <si>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</si>
  <si>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</si>
  <si>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</si>
  <si>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</si>
  <si>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</si>
  <si>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</si>
  <si>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</si>
  <si>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</si>
  <si>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</si>
  <si>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</si>
  <si>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</si>
  <si>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</si>
  <si>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</si>
  <si>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</si>
  <si>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</si>
  <si>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</si>
  <si>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</si>
  <si>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</si>
  <si>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</si>
  <si>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</si>
  <si>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</si>
  <si>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</si>
  <si>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</si>
  <si>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</si>
  <si>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</si>
  <si>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</si>
  <si>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</si>
  <si>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</si>
  <si>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</si>
  <si>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</si>
  <si>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</si>
  <si>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</si>
  <si>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</si>
  <si>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</si>
  <si>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</si>
  <si>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</si>
  <si>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</si>
  <si>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</si>
  <si>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</si>
  <si>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</si>
  <si>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</si>
  <si>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</si>
  <si>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</si>
  <si>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</si>
  <si>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</si>
  <si>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</si>
  <si>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</si>
  <si>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</si>
  <si>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</si>
  <si>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</si>
  <si>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</si>
  <si>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</si>
  <si>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</si>
  <si>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</si>
  <si>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</si>
  <si>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</si>
  <si>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</si>
  <si>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</si>
  <si>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</si>
  <si>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</si>
  <si>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</si>
  <si>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</si>
  <si>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</si>
  <si>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</si>
  <si>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</si>
  <si>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</si>
  <si>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</si>
  <si>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</si>
  <si>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</si>
  <si>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</si>
  <si>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</si>
  <si>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</si>
  <si>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</si>
  <si>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</si>
  <si>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</si>
  <si>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</si>
  <si>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</si>
  <si>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</si>
  <si>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</si>
  <si>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</si>
  <si>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</si>
  <si>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</si>
  <si>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</si>
  <si>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</si>
  <si>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</si>
  <si>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</si>
  <si>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</si>
  <si>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</si>
  <si>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</si>
  <si>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</si>
  <si>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</si>
  <si>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</si>
  <si>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</si>
  <si>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</si>
  <si>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</si>
  <si>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</si>
  <si>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</si>
  <si>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</si>
  <si>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</si>
  <si>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</si>
  <si>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</si>
  <si>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</si>
  <si>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</si>
  <si>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</si>
  <si>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</si>
  <si>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</si>
  <si>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</si>
  <si>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</si>
  <si>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</si>
  <si>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</si>
  <si>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</si>
  <si>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</si>
  <si>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</si>
  <si>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</si>
  <si>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</si>
  <si>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</si>
  <si>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</si>
  <si>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</si>
  <si>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</si>
  <si>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</si>
  <si>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</si>
  <si>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</si>
  <si>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</si>
  <si>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</si>
  <si>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</si>
  <si>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</si>
  <si>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</si>
  <si>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</si>
  <si>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</si>
  <si>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</si>
  <si>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</si>
  <si>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</si>
  <si>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</si>
  <si>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</si>
  <si>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</si>
  <si>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</si>
  <si>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</si>
  <si>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</si>
  <si>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</si>
  <si>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</si>
  <si>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</si>
  <si>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</si>
  <si>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</si>
  <si>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</si>
  <si>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</si>
  <si>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</si>
  <si>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</si>
  <si>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</si>
  <si>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</si>
  <si>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</si>
  <si>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</si>
  <si>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</si>
  <si>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</si>
  <si>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</si>
  <si>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</si>
  <si>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</si>
  <si>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</si>
  <si>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</si>
  <si>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</si>
  <si>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</si>
  <si>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</si>
  <si>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</si>
  <si>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</si>
  <si>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</si>
  <si>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</si>
  <si>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</si>
  <si>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</si>
  <si>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</si>
  <si>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</si>
  <si>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</si>
  <si>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</si>
  <si>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</si>
  <si>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</si>
  <si>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</si>
  <si>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</si>
  <si>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</si>
  <si>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</si>
  <si>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</si>
  <si>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</si>
  <si>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</si>
  <si>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</si>
  <si>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</si>
  <si>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</si>
  <si>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</si>
  <si>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</si>
  <si>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</si>
  <si>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</si>
  <si>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</si>
  <si>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</si>
  <si>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</si>
  <si>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</si>
  <si>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</si>
  <si>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</si>
  <si>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</si>
  <si>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</si>
  <si>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</si>
  <si>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</si>
  <si>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</si>
  <si>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</si>
  <si>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</si>
  <si>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</si>
  <si>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</si>
  <si>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</si>
  <si>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</si>
  <si>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</si>
  <si>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</si>
  <si>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</si>
  <si>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</si>
  <si>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</si>
  <si>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</si>
  <si>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</si>
  <si>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</si>
  <si>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</si>
  <si>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</si>
  <si>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</si>
  <si>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</si>
  <si>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</si>
  <si>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</si>
  <si>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</si>
  <si>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</si>
  <si>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</si>
  <si>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</si>
  <si>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</si>
  <si>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</si>
  <si>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</si>
  <si>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</si>
  <si>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</si>
  <si>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</si>
  <si>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</si>
  <si>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</si>
  <si>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</si>
  <si>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</si>
  <si>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</si>
  <si>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</si>
  <si>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</si>
  <si>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</si>
  <si>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</si>
  <si>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</si>
  <si>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</si>
  <si>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</si>
  <si>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</si>
  <si>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</si>
  <si>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</si>
  <si>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</si>
  <si>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</si>
  <si>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</si>
  <si>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</si>
  <si>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</si>
  <si>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</si>
  <si>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</si>
  <si>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</si>
  <si>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</si>
  <si>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</si>
  <si>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</si>
  <si>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</si>
  <si>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</si>
  <si>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</si>
  <si>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</si>
  <si>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</si>
  <si>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</si>
  <si>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</si>
  <si>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</si>
  <si>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</si>
  <si>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</si>
  <si>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</si>
  <si>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</si>
  <si>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</si>
  <si>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</si>
  <si>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</si>
  <si>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</si>
  <si>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</si>
  <si>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</si>
  <si>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</si>
  <si>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</si>
  <si>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</si>
  <si>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</si>
  <si>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</si>
  <si>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</si>
  <si>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</si>
  <si>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</si>
  <si>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</si>
  <si>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</si>
  <si>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</si>
  <si>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</si>
  <si>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</si>
  <si>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</si>
  <si>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</si>
  <si>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</si>
  <si>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</si>
  <si>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</si>
  <si>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</si>
  <si>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</si>
  <si>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</si>
  <si>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</si>
  <si>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</si>
  <si>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</si>
  <si>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</si>
  <si>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</si>
  <si>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</si>
  <si>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</si>
  <si>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</si>
  <si>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</si>
  <si>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</si>
  <si>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</si>
  <si>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</si>
  <si>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</si>
  <si>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</si>
  <si>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</si>
  <si>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</si>
  <si>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</si>
  <si>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</si>
  <si>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</si>
  <si>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</si>
  <si>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</si>
  <si>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</si>
  <si>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</si>
  <si>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</si>
  <si>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</si>
  <si>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</si>
  <si>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</si>
  <si>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</si>
  <si>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</si>
  <si>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</si>
  <si>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</si>
  <si>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</si>
  <si>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</si>
  <si>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</si>
  <si>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</si>
  <si>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</si>
  <si>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</si>
  <si>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</si>
  <si>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</si>
  <si>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</si>
  <si>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</si>
  <si>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</si>
  <si>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</si>
  <si>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</si>
  <si>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</si>
  <si>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</si>
  <si>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</si>
  <si>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</si>
  <si>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</si>
  <si>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</si>
  <si>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</si>
  <si>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</si>
  <si>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</si>
  <si>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</si>
  <si>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</si>
  <si>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</si>
  <si>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</si>
  <si>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</si>
  <si>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</si>
  <si>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</si>
  <si>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</si>
  <si>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</si>
  <si>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</si>
  <si>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</si>
  <si>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</si>
  <si>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</si>
  <si>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</si>
  <si>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</si>
  <si>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</si>
  <si>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</si>
  <si>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</si>
  <si>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</si>
  <si>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</si>
  <si>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</si>
  <si>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</si>
  <si>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</si>
  <si>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</si>
  <si>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</si>
  <si>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</si>
  <si>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</si>
  <si>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</si>
  <si>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</si>
  <si>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</si>
  <si>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</si>
  <si>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</si>
  <si>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</si>
  <si>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</si>
  <si>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</si>
  <si>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</si>
  <si>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</si>
  <si>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</si>
  <si>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</si>
  <si>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</si>
  <si>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</si>
  <si>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</si>
  <si>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</si>
  <si>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</si>
  <si>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</si>
  <si>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</si>
  <si>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</si>
  <si>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</si>
  <si>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</si>
  <si>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</si>
  <si>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</si>
  <si>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</si>
  <si>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</si>
  <si>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</si>
  <si>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</si>
  <si>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</si>
  <si>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</si>
  <si>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</si>
  <si>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</si>
  <si>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</si>
  <si>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</si>
  <si>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</si>
  <si>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</si>
  <si>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</si>
  <si>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</si>
  <si>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</si>
  <si>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</si>
  <si>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</si>
  <si>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</si>
  <si>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</si>
  <si>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</si>
  <si>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</si>
  <si>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</si>
  <si>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</si>
  <si>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</si>
  <si>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</si>
  <si>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</si>
  <si>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</si>
  <si>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</si>
  <si>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</si>
  <si>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</si>
  <si>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</si>
  <si>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</si>
  <si>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</si>
  <si>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</si>
  <si>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</si>
  <si>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</si>
  <si>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</si>
  <si>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</si>
  <si>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</si>
  <si>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</si>
  <si>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</si>
  <si>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</si>
  <si>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</si>
  <si>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</si>
  <si>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</si>
  <si>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</si>
  <si>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</si>
  <si>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</si>
  <si>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</si>
  <si>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</si>
  <si>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</si>
  <si>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</si>
  <si>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</si>
  <si>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</si>
  <si>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</si>
  <si>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</si>
  <si>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</si>
  <si>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</si>
  <si>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</si>
  <si>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</si>
  <si>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</si>
  <si>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</si>
  <si>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</si>
  <si>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</si>
  <si>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</si>
  <si>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</si>
  <si>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</si>
  <si>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</si>
  <si>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</si>
  <si>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</si>
  <si>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</si>
  <si>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</si>
  <si>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</si>
  <si>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</si>
  <si>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</si>
  <si>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</si>
  <si>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</si>
  <si>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</si>
  <si>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</si>
  <si>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</si>
  <si>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</si>
  <si>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</si>
  <si>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</si>
  <si>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</si>
  <si>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</si>
  <si>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</si>
  <si>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</si>
  <si>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</si>
  <si>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</si>
  <si>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</si>
  <si>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</si>
  <si>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</si>
  <si>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</si>
  <si>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</si>
  <si>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</si>
  <si>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</si>
  <si>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</si>
  <si>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</si>
  <si>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</si>
  <si>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</si>
  <si>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</si>
  <si>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</si>
  <si>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</si>
  <si>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</si>
  <si>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</si>
  <si>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</si>
  <si>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</si>
  <si>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</si>
  <si>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</si>
  <si>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</si>
  <si>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</si>
  <si>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</si>
  <si>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</si>
  <si>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</si>
  <si>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</si>
  <si>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</si>
  <si>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</si>
  <si>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</si>
  <si>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</si>
  <si>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</si>
  <si>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</si>
  <si>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</si>
  <si>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</si>
  <si>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</si>
  <si>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</si>
  <si>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</si>
  <si>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</si>
  <si>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</si>
  <si>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</si>
  <si>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</si>
  <si>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</si>
  <si>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</si>
  <si>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</si>
  <si>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</si>
  <si>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</si>
  <si>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</si>
  <si>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</si>
  <si>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</si>
  <si>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</si>
  <si>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</si>
  <si>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</si>
  <si>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</si>
  <si>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</si>
  <si>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</si>
  <si>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</si>
  <si>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</si>
  <si>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</si>
  <si>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</si>
  <si>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</si>
  <si>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</si>
  <si>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</si>
  <si>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</si>
  <si>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</si>
  <si>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</si>
  <si>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</si>
  <si>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</si>
  <si>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</si>
  <si>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</si>
  <si>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</si>
  <si>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</si>
  <si>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</si>
  <si>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</si>
  <si>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</si>
  <si>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</si>
  <si>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</si>
  <si>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</si>
  <si>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</si>
  <si>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</si>
  <si>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</si>
  <si>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</si>
  <si>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</si>
  <si>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</si>
  <si>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</si>
  <si>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</si>
  <si>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</si>
  <si>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</si>
  <si>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</si>
  <si>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</si>
  <si>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</si>
  <si>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</si>
  <si>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</si>
  <si>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</si>
  <si>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</si>
  <si>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</si>
  <si>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</si>
  <si>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</si>
  <si>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</si>
  <si>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</si>
  <si>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</si>
  <si>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</si>
  <si>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</si>
  <si>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</si>
  <si>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</si>
  <si>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</si>
  <si>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</si>
  <si>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</si>
  <si>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</si>
  <si>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</si>
  <si>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</si>
  <si>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</si>
  <si>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</si>
  <si>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</si>
  <si>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</si>
  <si>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</si>
  <si>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</si>
  <si>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</si>
  <si>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</si>
  <si>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</si>
  <si>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</si>
  <si>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</si>
  <si>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</si>
  <si>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</si>
  <si>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</si>
  <si>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</si>
  <si>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</si>
  <si>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</si>
  <si>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</si>
  <si>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</si>
  <si>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</si>
  <si>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</si>
  <si>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</si>
  <si>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</si>
  <si>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</si>
  <si>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</si>
  <si>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</si>
  <si>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</si>
  <si>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</si>
  <si>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</si>
  <si>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</si>
  <si>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</si>
  <si>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</si>
  <si>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</si>
  <si>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</si>
  <si>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</si>
  <si>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</si>
  <si>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</si>
  <si>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</si>
  <si>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</si>
  <si>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</si>
  <si>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</si>
  <si>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</si>
  <si>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</si>
  <si>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</si>
  <si>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</si>
  <si>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</si>
  <si>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</si>
  <si>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</si>
  <si>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</si>
  <si>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</si>
  <si>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</si>
  <si>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</si>
  <si>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</si>
  <si>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</si>
  <si>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</si>
  <si>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</si>
  <si>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</si>
  <si>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</si>
  <si>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</si>
  <si>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</si>
  <si>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</si>
  <si>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</si>
  <si>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</si>
  <si>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</si>
  <si>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</si>
  <si>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</si>
  <si>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</si>
  <si>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</si>
  <si>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</si>
  <si>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</si>
  <si>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</si>
  <si>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</si>
  <si>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</si>
  <si>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</si>
  <si>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</si>
  <si>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</si>
  <si>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</si>
  <si>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</si>
  <si>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</si>
  <si>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</si>
  <si>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</si>
  <si>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</si>
  <si>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</si>
  <si>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</si>
  <si>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</si>
  <si>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</si>
  <si>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</si>
  <si>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</si>
  <si>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</si>
  <si>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</si>
  <si>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</si>
  <si>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</si>
  <si>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</si>
  <si>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</si>
  <si>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</si>
  <si>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</si>
  <si>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</si>
  <si>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</si>
  <si>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</si>
  <si>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</si>
  <si>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</si>
  <si>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</si>
  <si>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</si>
  <si>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</si>
  <si>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</si>
  <si>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</si>
  <si>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</si>
  <si>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</si>
  <si>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</si>
  <si>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</si>
  <si>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</si>
  <si>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</si>
  <si>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</si>
  <si>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</si>
  <si>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</si>
  <si>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</si>
  <si>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</si>
  <si>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</si>
  <si>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</si>
  <si>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</si>
  <si>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</si>
  <si>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</si>
  <si>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</si>
  <si>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</si>
  <si>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</si>
  <si>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</si>
  <si>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</si>
  <si>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</si>
  <si>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</si>
  <si>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</si>
  <si>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</si>
  <si>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</si>
  <si>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</si>
  <si>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</si>
  <si>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</si>
  <si>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</si>
  <si>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</si>
  <si>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</si>
  <si>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</si>
  <si>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</si>
  <si>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</si>
  <si>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</si>
  <si>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</si>
  <si>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</si>
  <si>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</si>
  <si>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</si>
  <si>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</si>
  <si>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</si>
  <si>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</si>
  <si>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</si>
  <si>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</si>
  <si>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</si>
  <si>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</si>
  <si>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</si>
  <si>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</si>
  <si>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</si>
  <si>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</si>
  <si>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</si>
  <si>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</si>
  <si>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</si>
  <si>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</si>
  <si>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</si>
  <si>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</si>
  <si>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</si>
  <si>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</si>
  <si>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</si>
  <si>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</si>
  <si>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</si>
  <si>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</si>
  <si>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</si>
  <si>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</si>
  <si>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</si>
  <si>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</si>
  <si>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</si>
  <si>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</si>
  <si>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</si>
  <si>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</si>
  <si>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</si>
  <si>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</si>
  <si>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</si>
  <si>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</si>
  <si>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</si>
  <si>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</si>
  <si>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</si>
  <si>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</si>
  <si>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</si>
  <si>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</si>
  <si>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</si>
  <si>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</si>
  <si>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</si>
  <si>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</si>
  <si>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</si>
  <si>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</si>
  <si>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</si>
  <si>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</si>
  <si>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</si>
  <si>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</si>
  <si>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</si>
  <si>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</si>
  <si>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</si>
  <si>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</si>
  <si>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</si>
  <si>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</si>
  <si>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</si>
  <si>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</si>
  <si>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</si>
  <si>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</si>
  <si>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</si>
  <si>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</si>
  <si>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</si>
  <si>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</si>
  <si>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</si>
  <si>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</si>
  <si>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</si>
  <si>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</si>
  <si>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</si>
  <si>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</si>
  <si>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</si>
  <si>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</si>
  <si>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</si>
  <si>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</si>
  <si>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</si>
  <si>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</si>
  <si>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</si>
  <si>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</si>
  <si>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</si>
  <si>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</si>
  <si>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</si>
  <si>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</si>
  <si>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</si>
  <si>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</si>
  <si>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</si>
  <si>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</si>
  <si>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</si>
  <si>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</si>
  <si>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</si>
  <si>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</si>
  <si>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</si>
  <si>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</si>
  <si>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</si>
  <si>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</si>
  <si>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</si>
  <si>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</si>
  <si>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</si>
  <si>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</si>
  <si>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</si>
  <si>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</si>
  <si>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</si>
  <si>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</si>
  <si>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</si>
  <si>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</si>
  <si>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</si>
  <si>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</si>
  <si>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</si>
  <si>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</si>
  <si>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</si>
  <si>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</si>
  <si>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</si>
  <si>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</si>
  <si>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</si>
  <si>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</si>
  <si>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</si>
  <si>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</si>
  <si>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</si>
  <si>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</si>
  <si>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</si>
  <si>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</si>
  <si>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</si>
  <si>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</si>
  <si>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</si>
  <si>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</si>
  <si>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</si>
  <si>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</si>
  <si>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</si>
  <si>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</si>
  <si>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</si>
  <si>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</si>
  <si>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</si>
  <si>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</si>
  <si>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</si>
  <si>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</si>
  <si>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</si>
  <si>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</si>
  <si>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</si>
  <si>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</si>
  <si>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</si>
  <si>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</si>
  <si>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</si>
  <si>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</si>
  <si>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</si>
  <si>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</si>
  <si>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</si>
  <si>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</si>
  <si>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</si>
  <si>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</si>
  <si>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</si>
  <si>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</si>
  <si>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</si>
  <si>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</si>
  <si>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</si>
  <si>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</si>
  <si>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</si>
  <si>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</si>
  <si>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</si>
  <si>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</si>
  <si>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</si>
  <si>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</si>
  <si>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</si>
  <si>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</si>
  <si>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</si>
  <si>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</si>
  <si>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</si>
  <si>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</si>
  <si>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</si>
  <si>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</si>
  <si>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</si>
  <si>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</si>
  <si>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</si>
  <si>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</si>
  <si>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</si>
  <si>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</si>
  <si>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</si>
  <si>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</si>
  <si>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</si>
  <si>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</si>
  <si>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</si>
  <si>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</si>
  <si>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</si>
  <si>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</si>
  <si>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</si>
  <si>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</si>
  <si>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</si>
  <si>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</si>
  <si>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</si>
  <si>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</si>
  <si>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</si>
  <si>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</si>
  <si>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</si>
  <si>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</si>
  <si>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</si>
  <si>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</si>
  <si>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</si>
  <si>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</si>
  <si>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</si>
  <si>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</si>
  <si>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</si>
  <si>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</si>
  <si>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</si>
  <si>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</si>
  <si>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</si>
  <si>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</si>
  <si>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</si>
  <si>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</si>
  <si>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</si>
  <si>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</si>
  <si>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</si>
  <si>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</si>
  <si>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</si>
  <si>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</si>
  <si>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</si>
  <si>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</si>
  <si>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</si>
  <si>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</si>
  <si>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</si>
  <si>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</si>
  <si>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</si>
  <si>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</si>
  <si>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</si>
  <si>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</si>
  <si>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</si>
  <si>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</si>
  <si>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</si>
  <si>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</si>
  <si>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</si>
  <si>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</si>
  <si>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</si>
  <si>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</si>
  <si>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</si>
  <si>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</si>
  <si>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</si>
  <si>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</si>
  <si>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</si>
  <si>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</si>
  <si>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</si>
  <si>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</si>
  <si>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</si>
  <si>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</si>
  <si>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</si>
  <si>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</si>
  <si>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</si>
  <si>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</si>
  <si>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</si>
  <si>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</si>
  <si>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</si>
  <si>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</si>
  <si>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</si>
  <si>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</si>
  <si>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</si>
  <si>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</si>
  <si>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</si>
  <si>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</si>
  <si>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</si>
  <si>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</si>
  <si>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</si>
  <si>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</si>
  <si>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</si>
  <si>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</si>
  <si>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</si>
  <si>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</si>
  <si>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</si>
  <si>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</si>
  <si>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</si>
  <si>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</si>
  <si>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</si>
  <si>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</si>
  <si>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</si>
  <si>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</si>
  <si>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</si>
  <si>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</si>
  <si>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</si>
  <si>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</si>
  <si>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</si>
  <si>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</si>
  <si>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</si>
  <si>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</si>
  <si>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</si>
  <si>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</si>
  <si>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</si>
  <si>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</si>
  <si>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</si>
  <si>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</si>
  <si>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</si>
  <si>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</si>
  <si>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</si>
  <si>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</si>
  <si>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</si>
  <si>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</si>
  <si>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</si>
  <si>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</si>
  <si>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</si>
  <si>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</si>
  <si>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</si>
  <si>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</si>
  <si>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</si>
  <si>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</si>
  <si>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</si>
  <si>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</si>
  <si>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</si>
  <si>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</si>
  <si>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</si>
  <si>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</si>
  <si>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</si>
  <si>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</si>
  <si>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</si>
  <si>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</si>
  <si>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</si>
  <si>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</si>
  <si>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</si>
  <si>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</si>
  <si>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</si>
  <si>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</si>
  <si>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</si>
  <si>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</si>
  <si>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</si>
  <si>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</si>
  <si>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</si>
  <si>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</si>
  <si>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</si>
  <si>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</si>
  <si>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</si>
  <si>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</si>
  <si>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</si>
  <si>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</si>
  <si>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</si>
  <si>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</si>
  <si>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</si>
  <si>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</si>
  <si>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</si>
  <si>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</si>
  <si>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</si>
  <si>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</si>
  <si>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</si>
  <si>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</si>
  <si>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</si>
  <si>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</si>
  <si>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</si>
  <si>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</si>
  <si>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</si>
  <si>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</si>
  <si>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</si>
  <si>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</si>
  <si>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</si>
  <si>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</si>
  <si>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</si>
  <si>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</si>
  <si>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</si>
  <si>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</si>
  <si>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</si>
  <si>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</si>
  <si>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</si>
  <si>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</si>
  <si>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</si>
  <si>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</si>
  <si>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</si>
  <si>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</si>
  <si>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</si>
  <si>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</si>
  <si>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</si>
  <si>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</si>
  <si>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</si>
  <si>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</si>
  <si>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</si>
  <si>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</si>
  <si>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</si>
  <si>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</si>
  <si>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</si>
  <si>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</si>
  <si>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</si>
  <si>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</si>
  <si>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</si>
  <si>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</si>
  <si>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</si>
  <si>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</si>
  <si>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</si>
  <si>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</si>
  <si>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</si>
  <si>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</si>
  <si>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</si>
  <si>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</si>
  <si>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</si>
  <si>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</si>
  <si>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</si>
  <si>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</si>
  <si>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</si>
  <si>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</si>
  <si>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</si>
  <si>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</si>
  <si>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</si>
  <si>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</si>
  <si>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</si>
  <si>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</si>
  <si>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</si>
  <si>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</si>
  <si>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</si>
  <si>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</si>
  <si>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</si>
  <si>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</si>
  <si>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</si>
  <si>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</si>
  <si>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</si>
  <si>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</si>
  <si>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</si>
  <si>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</si>
  <si>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</si>
  <si>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</si>
  <si>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</si>
  <si>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</si>
  <si>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</si>
  <si>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</si>
  <si>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</si>
  <si>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</si>
  <si>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</si>
  <si>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</si>
  <si>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</si>
  <si>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</si>
  <si>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</si>
  <si>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</si>
  <si>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</si>
  <si>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</si>
  <si>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</si>
  <si>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</si>
  <si>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</si>
  <si>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</si>
  <si>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</si>
  <si>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</si>
  <si>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</si>
  <si>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</si>
  <si>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</si>
  <si>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</si>
  <si>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</si>
  <si>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</si>
  <si>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</si>
  <si>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</si>
  <si>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</si>
  <si>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</si>
  <si>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</si>
  <si>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</si>
  <si>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</si>
  <si>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</si>
  <si>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</si>
  <si>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</si>
  <si>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</si>
  <si>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</si>
  <si>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</si>
  <si>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</si>
  <si>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</si>
  <si>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</si>
  <si>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</si>
  <si>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</si>
  <si>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</si>
  <si>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</si>
  <si>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</si>
  <si>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</si>
  <si>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</si>
  <si>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</si>
  <si>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</si>
  <si>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</si>
  <si>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</si>
  <si>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</si>
  <si>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</si>
  <si>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</si>
  <si>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</si>
  <si>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</si>
  <si>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</si>
  <si>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</si>
  <si>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</si>
  <si>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</si>
  <si>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</si>
  <si>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</si>
  <si>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</si>
  <si>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</si>
  <si>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</si>
  <si>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</si>
  <si>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</si>
  <si>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</si>
  <si>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</si>
  <si>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</si>
  <si>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</si>
  <si>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</si>
  <si>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</si>
  <si>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</si>
  <si>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</si>
  <si>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</si>
  <si>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</si>
  <si>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</si>
  <si>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</si>
  <si>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</si>
  <si>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</si>
  <si>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</si>
  <si>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</si>
  <si>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</si>
  <si>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</si>
  <si>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</si>
  <si>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</si>
  <si>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</si>
  <si>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</si>
  <si>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</si>
  <si>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</si>
  <si>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</si>
  <si>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</si>
  <si>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</si>
  <si>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</si>
  <si>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</si>
  <si>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</si>
  <si>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</si>
  <si>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</si>
  <si>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</si>
  <si>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</si>
  <si>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</si>
  <si>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</si>
  <si>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</si>
  <si>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</si>
  <si>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</si>
  <si>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</si>
  <si>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</si>
  <si>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</si>
  <si>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</si>
  <si>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</si>
  <si>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</si>
  <si>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</si>
  <si>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</si>
  <si>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</si>
  <si>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</si>
  <si>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</si>
  <si>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</si>
  <si>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</si>
  <si>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</si>
  <si>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</si>
  <si>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</si>
  <si>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</si>
  <si>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</si>
  <si>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</si>
  <si>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</si>
  <si>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</si>
  <si>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</si>
  <si>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</si>
  <si>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</si>
  <si>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</si>
  <si>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</si>
  <si>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</si>
  <si>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</si>
  <si>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</si>
  <si>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</si>
  <si>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</si>
  <si>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</si>
  <si>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</si>
  <si>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</si>
  <si>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</si>
  <si>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</si>
  <si>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</si>
  <si>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</si>
  <si>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</si>
  <si>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</si>
  <si>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</si>
  <si>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</si>
  <si>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</si>
  <si>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</si>
  <si>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</si>
  <si>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</si>
  <si>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</si>
  <si>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</si>
  <si>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</si>
  <si>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</si>
  <si>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</si>
  <si>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</si>
  <si>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</si>
  <si>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</si>
  <si>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</si>
  <si>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</si>
  <si>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</si>
  <si>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</si>
  <si>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</si>
  <si>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</si>
  <si>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</si>
  <si>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</si>
  <si>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</si>
  <si>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</si>
  <si>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</si>
  <si>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</si>
  <si>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</si>
  <si>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</si>
  <si>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</si>
  <si>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</si>
  <si>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</si>
  <si>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</si>
  <si>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</si>
  <si>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</si>
  <si>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</si>
  <si>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</si>
  <si>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</si>
  <si>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</si>
  <si>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</si>
  <si>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</si>
  <si>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</si>
  <si>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</si>
  <si>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</si>
  <si>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</si>
  <si>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</si>
  <si>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</si>
  <si>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</si>
  <si>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</si>
  <si>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</si>
  <si>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</si>
  <si>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</si>
  <si>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</si>
  <si>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</si>
  <si>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</si>
  <si>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</si>
  <si>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</si>
  <si>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</si>
  <si>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</si>
  <si>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</si>
  <si>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</si>
  <si>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</si>
  <si>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</si>
  <si>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</si>
  <si>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</si>
  <si>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</si>
  <si>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</si>
  <si>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</si>
  <si>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</si>
  <si>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</si>
  <si>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</si>
  <si>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</si>
  <si>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</si>
  <si>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</si>
  <si>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</si>
  <si>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</si>
  <si>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</si>
  <si>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</si>
  <si>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</si>
  <si>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</si>
  <si>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</si>
  <si>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</si>
  <si>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</si>
  <si>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</si>
  <si>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</si>
  <si>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</si>
  <si>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</si>
  <si>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</si>
  <si>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</si>
  <si>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</si>
  <si>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</si>
  <si>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</si>
  <si>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</si>
  <si>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</si>
  <si>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</si>
  <si>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</si>
  <si>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</si>
  <si>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</si>
  <si>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</si>
  <si>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</si>
  <si>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</si>
  <si>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</si>
  <si>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</si>
  <si>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</si>
  <si>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</si>
  <si>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</si>
  <si>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</si>
  <si>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</si>
  <si>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</si>
  <si>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</si>
  <si>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</si>
  <si>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</si>
  <si>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</si>
  <si>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</si>
  <si>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</si>
  <si>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</si>
  <si>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</si>
  <si>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</si>
  <si>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</si>
  <si>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</si>
  <si>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</si>
  <si>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</si>
  <si>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</si>
  <si>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</si>
  <si>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</si>
  <si>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</si>
  <si>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</si>
  <si>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</si>
  <si>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</si>
  <si>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</si>
  <si>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</si>
  <si>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</si>
  <si>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</si>
  <si>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</si>
  <si>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</si>
  <si>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</si>
  <si>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</si>
  <si>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</si>
  <si>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</si>
  <si>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</si>
  <si>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</si>
  <si>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</si>
  <si>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</si>
  <si>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</si>
  <si>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</si>
  <si>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</si>
  <si>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</si>
  <si>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</si>
  <si>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</si>
  <si>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</si>
  <si>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</si>
  <si>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</si>
  <si>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</si>
  <si>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</si>
  <si>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</si>
  <si>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</si>
  <si>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</si>
  <si>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</si>
  <si>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</si>
  <si>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</si>
  <si>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</si>
  <si>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</si>
  <si>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</si>
  <si>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</si>
  <si>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</si>
  <si>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</si>
  <si>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</si>
  <si>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</si>
  <si>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</si>
  <si>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</si>
  <si>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</si>
  <si>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</si>
  <si>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</si>
  <si>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</si>
  <si>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</si>
  <si>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</si>
  <si>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</si>
  <si>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</si>
  <si>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</si>
  <si>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</si>
  <si>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</si>
  <si>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</si>
  <si>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</si>
  <si>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</si>
  <si>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</si>
  <si>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</si>
  <si>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</si>
  <si>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</si>
  <si>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</si>
  <si>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</si>
  <si>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</si>
  <si>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</si>
  <si>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</si>
  <si>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</si>
  <si>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</si>
  <si>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</si>
  <si>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</si>
  <si>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</si>
  <si>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</si>
  <si>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</si>
  <si>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</si>
  <si>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</si>
  <si>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</si>
  <si>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</si>
  <si>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</si>
  <si>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</si>
  <si>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</si>
  <si>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</si>
  <si>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</si>
  <si>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</si>
  <si>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</si>
  <si>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</si>
  <si>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</si>
  <si>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</si>
  <si>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</si>
  <si>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</si>
  <si>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</si>
  <si>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</si>
  <si>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</si>
  <si>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</si>
  <si>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</si>
  <si>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</si>
  <si>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</si>
  <si>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</si>
  <si>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</si>
  <si>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</si>
  <si>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</si>
  <si>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</si>
  <si>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</si>
  <si>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</si>
  <si>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</si>
  <si>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</si>
  <si>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</si>
  <si>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</si>
  <si>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</si>
  <si>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</si>
  <si>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</si>
  <si>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</si>
  <si>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</si>
  <si>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</si>
  <si>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</si>
  <si>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</si>
  <si>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</si>
  <si>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</si>
  <si>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</si>
  <si>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</si>
  <si>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</si>
  <si>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</si>
  <si>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</si>
  <si>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</si>
  <si>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</si>
  <si>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</si>
  <si>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</si>
  <si>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</si>
  <si>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</si>
  <si>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</si>
  <si>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</si>
  <si>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</si>
  <si>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</si>
  <si>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</si>
  <si>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</si>
  <si>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</si>
  <si>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</si>
  <si>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</si>
  <si>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</si>
  <si>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</si>
  <si>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</si>
  <si>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</si>
  <si>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</si>
  <si>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</si>
  <si>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</si>
  <si>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</si>
  <si>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</si>
  <si>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</si>
  <si>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</si>
  <si>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</si>
  <si>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</si>
  <si>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</si>
  <si>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</si>
  <si>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</si>
  <si>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</si>
  <si>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</si>
  <si>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</si>
  <si>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</si>
  <si>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</si>
  <si>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</si>
  <si>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</si>
  <si>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</si>
  <si>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</si>
  <si>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</si>
  <si>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</si>
  <si>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</si>
  <si>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</si>
  <si>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</si>
  <si>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</si>
  <si>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</si>
  <si>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</si>
  <si>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</si>
  <si>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</si>
  <si>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</si>
  <si>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</si>
  <si>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</si>
  <si>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</si>
  <si>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</si>
  <si>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</si>
  <si>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</si>
  <si>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</si>
  <si>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</si>
  <si>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</si>
  <si>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</si>
  <si>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</si>
  <si>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</si>
  <si>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</si>
  <si>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</si>
  <si>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</si>
  <si>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</si>
  <si>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</si>
  <si>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</si>
  <si>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</si>
  <si>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</si>
  <si>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</si>
  <si>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</si>
  <si>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</si>
  <si>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</si>
  <si>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</si>
  <si>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</si>
  <si>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</si>
  <si>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</si>
  <si>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</si>
  <si>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</si>
  <si>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</si>
  <si>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</si>
  <si>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</si>
  <si>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</si>
  <si>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</si>
  <si>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</si>
  <si>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</si>
  <si>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</si>
  <si>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</si>
  <si>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</si>
  <si>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</si>
  <si>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</si>
  <si>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</si>
  <si>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</si>
  <si>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</si>
  <si>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</si>
  <si>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</si>
  <si>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</si>
  <si>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</si>
  <si>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</si>
  <si>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</si>
  <si>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</si>
  <si>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</si>
  <si>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</si>
  <si>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</si>
  <si>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</si>
  <si>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</si>
  <si>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</si>
  <si>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</si>
  <si>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</si>
  <si>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</si>
  <si>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</si>
  <si>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</si>
  <si>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</si>
  <si>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</si>
  <si>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</si>
  <si>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</si>
  <si>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</si>
  <si>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</si>
  <si>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</si>
  <si>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</si>
  <si>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</si>
  <si>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</si>
  <si>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</si>
  <si>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</si>
  <si>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</si>
  <si>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</si>
  <si>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</si>
  <si>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</si>
  <si>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</si>
  <si>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</si>
  <si>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</si>
  <si>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</si>
  <si>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</si>
  <si>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</si>
  <si>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</si>
  <si>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</si>
  <si>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</si>
  <si>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</si>
  <si>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</si>
  <si>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</si>
  <si>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</si>
  <si>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</si>
  <si>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</si>
  <si>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</si>
  <si>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</si>
  <si>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</si>
  <si>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</si>
  <si>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</si>
  <si>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</si>
  <si>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</si>
  <si>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</si>
  <si>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</si>
  <si>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</si>
  <si>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</si>
  <si>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</si>
  <si>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</si>
  <si>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</si>
  <si>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</si>
  <si>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</si>
  <si>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</si>
  <si>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</si>
  <si>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</si>
  <si>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</si>
  <si>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</si>
  <si>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</si>
  <si>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</si>
  <si>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</si>
  <si>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</si>
  <si>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</si>
  <si>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</si>
  <si>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</si>
  <si>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</si>
  <si>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</si>
  <si>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</si>
  <si>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</si>
  <si>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</si>
  <si>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</si>
  <si>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</si>
  <si>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</si>
  <si>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</si>
  <si>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</si>
  <si>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</si>
  <si>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</si>
  <si>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</si>
  <si>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</si>
  <si>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</si>
  <si>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</si>
  <si>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</si>
  <si>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</si>
  <si>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</si>
  <si>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</si>
  <si>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</si>
  <si>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</si>
  <si>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</si>
  <si>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</si>
  <si>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</si>
  <si>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</si>
  <si>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</si>
  <si>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</si>
  <si>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</si>
  <si>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</si>
  <si>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</si>
  <si>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</si>
  <si>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</si>
  <si>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</si>
  <si>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</si>
  <si>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</si>
  <si>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</si>
  <si>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</si>
  <si>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</si>
  <si>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</si>
  <si>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</si>
  <si>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</si>
  <si>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</si>
  <si>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</si>
  <si>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</si>
  <si>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</si>
  <si>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</si>
  <si>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</si>
  <si>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</si>
  <si>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</si>
  <si>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</si>
  <si>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</si>
  <si>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</si>
  <si>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</si>
  <si>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</si>
  <si>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</si>
  <si>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</si>
  <si>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</si>
  <si>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</si>
  <si>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</si>
  <si>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</si>
  <si>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</si>
  <si>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</si>
  <si>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</si>
  <si>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</si>
  <si>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</si>
  <si>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</si>
  <si>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</si>
  <si>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</si>
  <si>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</si>
  <si>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</si>
  <si>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</si>
  <si>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</si>
  <si>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</si>
  <si>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</si>
  <si>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</si>
  <si>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</si>
  <si>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</si>
  <si>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</si>
  <si>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</si>
  <si>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</si>
  <si>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</si>
  <si>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</si>
  <si>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</si>
  <si>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</si>
  <si>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</si>
  <si>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</si>
  <si>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</si>
  <si>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</si>
  <si>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</si>
  <si>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</si>
  <si>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</si>
  <si>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</si>
  <si>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</si>
  <si>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</si>
  <si>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</si>
  <si>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</si>
  <si>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</si>
  <si>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</si>
  <si>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</si>
  <si>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</si>
  <si>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</si>
  <si>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</si>
  <si>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</si>
  <si>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</si>
  <si>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</si>
  <si>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</si>
  <si>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</si>
  <si>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</si>
  <si>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</si>
  <si>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</si>
  <si>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</si>
  <si>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</si>
  <si>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</si>
  <si>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</si>
  <si>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</si>
  <si>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</si>
  <si>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</si>
  <si>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</si>
  <si>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</si>
  <si>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</si>
  <si>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</si>
  <si>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</si>
  <si>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</si>
  <si>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</si>
  <si>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</si>
  <si>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</si>
  <si>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</si>
  <si>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</si>
  <si>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</si>
  <si>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</si>
  <si>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</si>
  <si>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</si>
  <si>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</si>
  <si>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</si>
  <si>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</si>
  <si>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</si>
  <si>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</si>
  <si>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</si>
  <si>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</si>
  <si>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</si>
  <si>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</si>
  <si>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</si>
  <si>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</si>
  <si>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</si>
  <si>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</si>
  <si>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</si>
  <si>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</si>
  <si>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</si>
  <si>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</si>
  <si>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</si>
  <si>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</si>
  <si>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</si>
  <si>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</si>
  <si>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</si>
  <si>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</si>
  <si>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</si>
  <si>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</si>
  <si>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</si>
  <si>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</si>
  <si>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</si>
  <si>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</si>
  <si>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</si>
  <si>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</si>
  <si>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</si>
  <si>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</si>
  <si>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</si>
  <si>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</si>
  <si>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</si>
  <si>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</si>
  <si>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</si>
  <si>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</si>
  <si>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</si>
  <si>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</si>
  <si>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</si>
  <si>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</si>
  <si>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</si>
  <si>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</si>
  <si>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</si>
  <si>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</si>
  <si>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</si>
  <si>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</si>
  <si>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</si>
  <si>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</si>
  <si>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</si>
  <si>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</si>
  <si>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</si>
  <si>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</si>
  <si>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</si>
  <si>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</si>
  <si>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</si>
  <si>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</si>
  <si>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</si>
  <si>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</si>
  <si>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</si>
  <si>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</si>
  <si>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</si>
  <si>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</si>
  <si>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</si>
  <si>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</si>
  <si>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</si>
  <si>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</si>
  <si>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</si>
  <si>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</si>
  <si>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</si>
  <si>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</si>
  <si>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</si>
  <si>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</si>
  <si>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</si>
  <si>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</si>
  <si>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</si>
  <si>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</si>
  <si>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</si>
  <si>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</si>
  <si>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</si>
  <si>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</si>
  <si>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</si>
  <si>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</si>
  <si>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</si>
  <si>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</si>
  <si>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</si>
  <si>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</si>
  <si>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</si>
  <si>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</si>
  <si>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</si>
  <si>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</si>
  <si>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</si>
  <si>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</si>
  <si>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</si>
  <si>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</si>
  <si>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</si>
  <si>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</si>
  <si>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</si>
  <si>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</si>
  <si>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</si>
  <si>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</si>
  <si>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</si>
  <si>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</si>
  <si>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</si>
  <si>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</si>
  <si>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</si>
  <si>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</si>
  <si>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</si>
  <si>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</si>
  <si>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</si>
  <si>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</si>
  <si>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</si>
  <si>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</si>
  <si>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</si>
  <si>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</si>
  <si>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</si>
  <si>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</si>
  <si>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</si>
  <si>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</si>
  <si>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</si>
  <si>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</si>
  <si>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</si>
  <si>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</si>
  <si>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</si>
  <si>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</si>
  <si>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</si>
  <si>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</si>
  <si>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</si>
  <si>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</si>
  <si>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</si>
  <si>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</si>
  <si>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</si>
  <si>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</si>
  <si>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</si>
  <si>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</si>
  <si>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</si>
  <si>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</si>
  <si>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</si>
  <si>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</si>
  <si>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</si>
  <si>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</si>
  <si>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</si>
  <si>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</si>
  <si>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</si>
  <si>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</si>
  <si>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</si>
  <si>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</si>
  <si>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</si>
  <si>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</si>
  <si>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</si>
  <si>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</si>
  <si>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</si>
  <si>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</si>
  <si>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</si>
  <si>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</si>
  <si>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</si>
  <si>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</si>
  <si>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</si>
  <si>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</si>
  <si>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</si>
  <si>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</si>
  <si>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</si>
  <si>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</si>
  <si>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</si>
  <si>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</si>
  <si>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</si>
  <si>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</si>
  <si>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</si>
  <si>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</si>
  <si>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</si>
  <si>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</si>
  <si>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</si>
  <si>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</si>
  <si>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</si>
  <si>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</si>
  <si>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</si>
  <si>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</si>
  <si>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</si>
  <si>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</si>
  <si>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</si>
  <si>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</si>
  <si>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</si>
  <si>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</si>
  <si>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</si>
  <si>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</si>
  <si>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</si>
  <si>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</si>
  <si>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</si>
  <si>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</si>
  <si>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</si>
  <si>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</si>
  <si>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</si>
  <si>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</si>
  <si>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</si>
  <si>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</si>
  <si>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</si>
  <si>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</si>
  <si>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</si>
  <si>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</si>
  <si>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</si>
  <si>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</si>
  <si>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</si>
  <si>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</si>
  <si>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</si>
  <si>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</si>
  <si>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</si>
  <si>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</si>
  <si>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</si>
  <si>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</si>
  <si>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</si>
  <si>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</si>
  <si>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</si>
  <si>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</si>
  <si>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</si>
  <si>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</si>
  <si>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</si>
  <si>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</si>
  <si>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</si>
  <si>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</si>
  <si>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</si>
  <si>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</si>
  <si>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</si>
  <si>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</si>
  <si>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</si>
  <si>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</si>
  <si>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</si>
  <si>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</si>
  <si>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</si>
  <si>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</si>
  <si>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</si>
  <si>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</si>
  <si>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</si>
  <si>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</si>
  <si>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</si>
  <si>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</si>
  <si>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</si>
  <si>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</si>
  <si>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</si>
  <si>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</si>
  <si>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</si>
  <si>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</si>
  <si>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</si>
  <si>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</si>
  <si>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</si>
  <si>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</si>
  <si>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</si>
  <si>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</si>
  <si>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</si>
  <si>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</si>
  <si>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</si>
  <si>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</si>
  <si>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</si>
  <si>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</si>
  <si>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</si>
  <si>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</si>
  <si>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</si>
  <si>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</si>
  <si>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</si>
  <si>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</si>
  <si>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</si>
  <si>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</si>
  <si>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</si>
  <si>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</si>
  <si>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</si>
  <si>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</si>
  <si>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</si>
  <si>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</si>
  <si>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</si>
  <si>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</si>
  <si>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</si>
  <si>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</si>
  <si>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</si>
  <si>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</si>
  <si>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</si>
  <si>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</si>
  <si>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</si>
  <si>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</si>
  <si>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</si>
  <si>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</si>
  <si>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</si>
  <si>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</si>
  <si>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</si>
  <si>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</si>
  <si>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</si>
  <si>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</si>
  <si>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</si>
  <si>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</si>
  <si>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</si>
  <si>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</si>
  <si>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</si>
  <si>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</si>
  <si>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</si>
  <si>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</si>
  <si>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</si>
  <si>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</si>
  <si>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</si>
  <si>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</si>
  <si>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</si>
  <si>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</si>
  <si>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</si>
  <si>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</si>
  <si>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</si>
  <si>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</si>
  <si>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</si>
  <si>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</si>
  <si>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</si>
  <si>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</si>
  <si>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</si>
  <si>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</si>
  <si>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</si>
  <si>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</si>
  <si>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</si>
  <si>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</si>
  <si>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</si>
  <si>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</si>
  <si>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</si>
  <si>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</si>
  <si>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</si>
  <si>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</si>
  <si>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</si>
  <si>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</si>
  <si>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</si>
  <si>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</si>
  <si>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</si>
  <si>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</si>
  <si>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</si>
  <si>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</si>
  <si>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</si>
  <si>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</si>
  <si>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</si>
  <si>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</si>
  <si>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</si>
  <si>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</si>
  <si>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</si>
  <si>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</si>
  <si>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</si>
  <si>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</si>
  <si>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</si>
  <si>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</si>
  <si>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</si>
  <si>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</si>
  <si>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</si>
  <si>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</si>
  <si>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</si>
  <si>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</si>
  <si>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</si>
  <si>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</si>
  <si>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</si>
  <si>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</si>
  <si>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</si>
  <si>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</si>
  <si>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</si>
  <si>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</si>
  <si>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</si>
  <si>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</si>
  <si>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</si>
  <si>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</si>
  <si>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</si>
  <si>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</si>
  <si>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</si>
  <si>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</si>
  <si>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</si>
  <si>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</si>
  <si>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</si>
  <si>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</si>
  <si>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</si>
  <si>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</si>
  <si>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</si>
  <si>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</si>
  <si>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</si>
  <si>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</si>
  <si>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</si>
  <si>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</si>
  <si>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</si>
  <si>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</si>
  <si>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</si>
  <si>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</si>
  <si>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</si>
  <si>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</si>
  <si>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</si>
  <si>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</si>
  <si>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</si>
  <si>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</si>
  <si>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</si>
  <si>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</si>
  <si>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</si>
  <si>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</si>
  <si>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</si>
  <si>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</si>
  <si>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</si>
  <si>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</si>
  <si>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</si>
  <si>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</si>
  <si>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</si>
  <si>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</si>
  <si>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</si>
  <si>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</si>
  <si>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</si>
  <si>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</si>
  <si>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</si>
  <si>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</si>
  <si>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</si>
  <si>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</si>
  <si>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</si>
  <si>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</si>
  <si>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</si>
  <si>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</si>
  <si>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</si>
  <si>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</si>
  <si>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</si>
  <si>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</si>
  <si>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</si>
  <si>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</si>
  <si>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</si>
  <si>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</si>
  <si>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</si>
  <si>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</si>
  <si>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</si>
  <si>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</si>
  <si>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</si>
  <si>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</si>
  <si>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</si>
  <si>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</si>
  <si>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</si>
  <si>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</si>
  <si>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</si>
  <si>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</si>
  <si>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</si>
  <si>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</si>
  <si>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</si>
  <si>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</si>
  <si>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</si>
  <si>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</si>
  <si>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</si>
  <si>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</si>
  <si>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</si>
  <si>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</si>
  <si>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</si>
  <si>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</si>
  <si>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</si>
  <si>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</si>
  <si>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</si>
  <si>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</si>
  <si>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</si>
  <si>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</si>
  <si>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</si>
  <si>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</si>
  <si>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</si>
  <si>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</si>
  <si>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</si>
  <si>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</si>
  <si>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</si>
  <si>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</si>
  <si>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</si>
  <si>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</si>
  <si>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</si>
  <si>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</si>
  <si>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</si>
  <si>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</si>
  <si>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</si>
  <si>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</si>
  <si>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</si>
  <si>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</si>
  <si>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</si>
  <si>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</si>
  <si>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</si>
  <si>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</si>
  <si>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</si>
  <si>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</si>
  <si>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</si>
  <si>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</si>
  <si>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</si>
  <si>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</si>
  <si>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</si>
  <si>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</si>
  <si>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</si>
  <si>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</si>
  <si>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</si>
  <si>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</si>
  <si>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</si>
  <si>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</si>
  <si>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</si>
  <si>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</si>
  <si>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</si>
  <si>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</si>
  <si>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</si>
  <si>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</si>
  <si>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</si>
  <si>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</si>
  <si>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</si>
  <si>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</si>
  <si>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</si>
  <si>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</si>
  <si>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</si>
  <si>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</si>
  <si>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</si>
  <si>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</si>
  <si>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</si>
  <si>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</si>
  <si>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</si>
  <si>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</si>
  <si>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</si>
  <si>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</si>
  <si>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</si>
  <si>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</si>
  <si>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</si>
  <si>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</si>
  <si>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</si>
  <si>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</si>
  <si>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</si>
  <si>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</si>
  <si>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</si>
  <si>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</si>
  <si>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</si>
  <si>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</si>
  <si>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</si>
  <si>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</si>
  <si>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</si>
  <si>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</si>
  <si>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</si>
  <si>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</si>
  <si>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</si>
  <si>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</si>
  <si>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</si>
  <si>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</si>
  <si>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</si>
  <si>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</si>
  <si>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</si>
  <si>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</si>
  <si>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</si>
  <si>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</si>
  <si>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</si>
  <si>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</si>
  <si>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</si>
  <si>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</si>
  <si>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</si>
  <si>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</si>
  <si>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</si>
  <si>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</si>
  <si>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</si>
  <si>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</si>
  <si>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</si>
  <si>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</si>
  <si>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</si>
  <si>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</si>
  <si>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</si>
  <si>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</si>
  <si>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</si>
  <si>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</si>
  <si>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</si>
  <si>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</si>
  <si>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</si>
  <si>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</si>
  <si>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</si>
  <si>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</si>
  <si>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</si>
  <si>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</si>
  <si>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</si>
  <si>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</si>
  <si>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</si>
  <si>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</si>
  <si>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</si>
  <si>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</si>
  <si>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</si>
  <si>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</si>
  <si>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</si>
  <si>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</si>
  <si>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</si>
  <si>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</si>
  <si>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</si>
  <si>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</si>
  <si>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</si>
  <si>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</si>
  <si>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</si>
  <si>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</si>
  <si>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</si>
  <si>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</si>
  <si>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</si>
  <si>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</si>
  <si>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</si>
  <si>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</si>
  <si>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</si>
  <si>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</si>
  <si>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</si>
  <si>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</si>
  <si>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</si>
  <si>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</si>
  <si>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</si>
  <si>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</si>
  <si>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</si>
  <si>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</si>
  <si>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</si>
  <si>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</si>
  <si>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</si>
  <si>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</si>
  <si>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</si>
  <si>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</si>
  <si>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</si>
  <si>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</si>
  <si>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</si>
  <si>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</si>
  <si>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</si>
  <si>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</si>
  <si>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</si>
  <si>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</si>
  <si>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</si>
  <si>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</si>
  <si>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</si>
  <si>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</si>
  <si>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</si>
  <si>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</si>
  <si>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</si>
  <si>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</si>
  <si>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</si>
  <si>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</si>
  <si>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</si>
  <si>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</si>
  <si>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</si>
  <si>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</si>
  <si>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</si>
  <si>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</si>
  <si>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</si>
  <si>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</si>
  <si>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</si>
  <si>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</si>
  <si>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</si>
  <si>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</si>
  <si>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</si>
  <si>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</si>
  <si>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</si>
  <si>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</si>
  <si>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</si>
  <si>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</si>
  <si>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</si>
  <si>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</si>
  <si>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</si>
  <si>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</si>
  <si>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</si>
  <si>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</si>
  <si>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</si>
  <si>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</si>
  <si>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</si>
  <si>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</si>
  <si>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</si>
  <si>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</si>
  <si>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</si>
  <si>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</si>
  <si>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</si>
  <si>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</si>
  <si>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</si>
  <si>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</si>
  <si>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</si>
  <si>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</si>
  <si>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</si>
  <si>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</si>
  <si>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</si>
  <si>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</si>
  <si>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</si>
  <si>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</si>
  <si>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</si>
  <si>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</si>
  <si>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</si>
  <si>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</si>
  <si>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</si>
  <si>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</si>
  <si>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</si>
  <si>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</si>
  <si>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</si>
  <si>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</si>
  <si>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</si>
  <si>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</si>
  <si>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</si>
  <si>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</si>
  <si>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</si>
  <si>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</si>
  <si>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</si>
  <si>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</si>
  <si>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</si>
  <si>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</si>
  <si>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</si>
  <si>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</si>
  <si>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</si>
  <si>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</si>
  <si>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</si>
  <si>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</si>
  <si>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</si>
  <si>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</si>
  <si>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</si>
  <si>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</si>
  <si>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</si>
  <si>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</si>
  <si>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</si>
  <si>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</si>
  <si>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</si>
  <si>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</si>
  <si>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</si>
  <si>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</si>
  <si>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</si>
  <si>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</si>
  <si>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</si>
  <si>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</si>
  <si>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</si>
  <si>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</si>
  <si>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</si>
  <si>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</si>
  <si>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</si>
  <si>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</si>
  <si>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</si>
  <si>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</si>
  <si>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</si>
  <si>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</si>
  <si>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</si>
  <si>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</si>
  <si>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</si>
  <si>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</si>
  <si>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</si>
  <si>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</si>
  <si>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</si>
  <si>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</si>
  <si>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</si>
  <si>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</si>
  <si>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</si>
  <si>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</si>
  <si>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The Eliza</t>
  </si>
  <si>
    <t>City of Oakland</t>
  </si>
  <si>
    <t>Michele Byrd</t>
  </si>
  <si>
    <t>250 Frank Ogawa Plaza Suite 6301</t>
  </si>
  <si>
    <t>Oakland</t>
  </si>
  <si>
    <t>510-238-2087</t>
  </si>
  <si>
    <t>510-238-3714</t>
  </si>
  <si>
    <t>mbyrd@oaklandnet.com</t>
  </si>
  <si>
    <t>2125 Telegraph Avenue</t>
  </si>
  <si>
    <t>008-0647-001</t>
  </si>
  <si>
    <t>40%/60%</t>
  </si>
  <si>
    <t>1256 Market Street</t>
  </si>
  <si>
    <t>CA</t>
  </si>
  <si>
    <t>Tim Dunn</t>
  </si>
  <si>
    <t>415-355-7113</t>
  </si>
  <si>
    <t>tdunn@mercyhousing.org</t>
  </si>
  <si>
    <t>Mercy Housing California</t>
  </si>
  <si>
    <t>Mercy Housing Calwest</t>
  </si>
  <si>
    <t>Ramie Dare</t>
  </si>
  <si>
    <t>415-355-7118</t>
  </si>
  <si>
    <t>rdare@mercyhousing.org</t>
  </si>
  <si>
    <t>Ca</t>
  </si>
  <si>
    <t>Developer</t>
  </si>
  <si>
    <t xml:space="preserve">1256 Market Street </t>
  </si>
  <si>
    <t>San Francisco, CA 94102</t>
  </si>
  <si>
    <t>M. Arthur Gensler Jr. &amp; Associates</t>
  </si>
  <si>
    <t>2101 Webster Street, Suite 2000</t>
  </si>
  <si>
    <t>Oakland, CA 94612</t>
  </si>
  <si>
    <t>Marc Pembroke</t>
  </si>
  <si>
    <t>Gubb &amp; Barshay</t>
  </si>
  <si>
    <t>235 Montgomery Street, Suite 1110</t>
  </si>
  <si>
    <t>San Francisco, CA 94104</t>
  </si>
  <si>
    <t xml:space="preserve">Evan Gross </t>
  </si>
  <si>
    <t>Cahill Contractors</t>
  </si>
  <si>
    <t>425 California St Ste 2200</t>
  </si>
  <si>
    <t>Casey Kasten</t>
  </si>
  <si>
    <t>CohnReznick, LLP</t>
  </si>
  <si>
    <t>525 North Tyson Street, Suite 1</t>
  </si>
  <si>
    <t>Charlotte, NC 28202</t>
  </si>
  <si>
    <t>Nic Mathias</t>
  </si>
  <si>
    <t>California Housing Partnership</t>
  </si>
  <si>
    <t>1107 9th Street, Suite 610</t>
  </si>
  <si>
    <t>Sacramento, CA 95814</t>
  </si>
  <si>
    <t>Adrienne Gemheart</t>
  </si>
  <si>
    <t>Newport Realty Advisors</t>
  </si>
  <si>
    <t xml:space="preserve">2601 Chestnut Street </t>
  </si>
  <si>
    <t>San Francisco, CA, 94123</t>
  </si>
  <si>
    <t xml:space="preserve">Charlie Castro </t>
  </si>
  <si>
    <t>Joe Napoliello</t>
  </si>
  <si>
    <t>840 Olive Avenue #3</t>
  </si>
  <si>
    <t>South San Francisco, CA 94080</t>
  </si>
  <si>
    <t>2111 Palomar Airport Rd, Suite 320</t>
  </si>
  <si>
    <t>Carlsbad, CA 92011</t>
  </si>
  <si>
    <t>Anthony Stubbs</t>
  </si>
  <si>
    <t>Mercy Housing Management Group</t>
  </si>
  <si>
    <t>San Francisco, CA, 94102</t>
  </si>
  <si>
    <t>Jacquie Hoffman</t>
  </si>
  <si>
    <t>415.355.7124</t>
  </si>
  <si>
    <t>(760) 930-1333</t>
  </si>
  <si>
    <t>415-309-6728</t>
  </si>
  <si>
    <t>918-538-2368</t>
  </si>
  <si>
    <t>415-835-6060</t>
  </si>
  <si>
    <t>704-900-2013</t>
  </si>
  <si>
    <t>415-781-6600</t>
  </si>
  <si>
    <t>415-667-0606</t>
  </si>
  <si>
    <t>510-645-1708</t>
  </si>
  <si>
    <t>Marc_Pembroke@gensler.com</t>
  </si>
  <si>
    <t>ckasten@cahill-sf.com</t>
  </si>
  <si>
    <t>egross@gubbandbarshay.com</t>
  </si>
  <si>
    <t>nic.mathias@cohnreznick.com</t>
  </si>
  <si>
    <t>Charlie@NewportRealtyAdvisors.com</t>
  </si>
  <si>
    <t>agemheart@chpc.net</t>
  </si>
  <si>
    <t>joe@jvnal.com</t>
  </si>
  <si>
    <t>astubbs@cmfa-ca.com</t>
  </si>
  <si>
    <t>jhoffman@mercyhousing.org</t>
  </si>
  <si>
    <t>2101 Telegraph Avenue Associates, LP</t>
  </si>
  <si>
    <t>Vice President</t>
  </si>
  <si>
    <t>1256 Market Street, San Francisco CA, 94102</t>
  </si>
  <si>
    <t>Inner City Infill Site</t>
  </si>
  <si>
    <t>Communication</t>
  </si>
  <si>
    <t>Commercial Business District General Commercial Zone (CBD-C)</t>
  </si>
  <si>
    <t>CBD-C 90 SF/Unit</t>
  </si>
  <si>
    <t>CBD-C, 90 SF/Unit</t>
  </si>
  <si>
    <t>Exempt as project is a 100% affordable housing project</t>
  </si>
  <si>
    <t>Building Base 85 ft, No Height Limit</t>
  </si>
  <si>
    <t>No Requirement</t>
  </si>
  <si>
    <t xml:space="preserve">Sponsor Gap Loan </t>
  </si>
  <si>
    <t>HUD 202</t>
  </si>
  <si>
    <t>Federal Home Loan Bank AHP</t>
  </si>
  <si>
    <t>Community Development Block Grant</t>
  </si>
  <si>
    <t>Variable</t>
  </si>
  <si>
    <t>City of Oakland CDBG</t>
  </si>
  <si>
    <t>GP Loan AHP</t>
  </si>
  <si>
    <t>City of Oakland Loan</t>
  </si>
  <si>
    <t xml:space="preserve">Donated Land </t>
  </si>
  <si>
    <t>PRAC</t>
  </si>
  <si>
    <t>Mercy Housing California 91, L.P.</t>
  </si>
  <si>
    <t>Managing GP</t>
  </si>
  <si>
    <t>560 Mission St, Floor 04</t>
  </si>
  <si>
    <t>San Fancisco, CA 94105</t>
  </si>
  <si>
    <t>James Vossoughi</t>
  </si>
  <si>
    <t>510-468-6722</t>
  </si>
  <si>
    <t>City of Oakland - CDBG</t>
  </si>
  <si>
    <t>1256 Market St</t>
  </si>
  <si>
    <t>(415) 355-7113</t>
  </si>
  <si>
    <t>(415) 355-7100</t>
  </si>
  <si>
    <t>250 Frank H. Ogawa Plaza, Suite 5313</t>
  </si>
  <si>
    <t>Christia Mulvey</t>
  </si>
  <si>
    <t>(510) 238-3502</t>
  </si>
  <si>
    <t>Oakland, CA  94612</t>
  </si>
  <si>
    <t>San Francisco, CA  94102</t>
  </si>
  <si>
    <t>tbd</t>
  </si>
  <si>
    <t>1256 Market St.</t>
  </si>
  <si>
    <t>One Sansome Street, Suite 1200</t>
  </si>
  <si>
    <t>San Francisco, CA 94104-4430</t>
  </si>
  <si>
    <t>(303) 672-5153</t>
  </si>
  <si>
    <t>Matt Naish, Regional Director</t>
  </si>
  <si>
    <t>Project-based contract (PBC)</t>
  </si>
  <si>
    <t>Sponsor Loan - HUD 202</t>
  </si>
  <si>
    <t>Oakland Housing Authority</t>
  </si>
  <si>
    <t>Provided</t>
  </si>
  <si>
    <t>Not Applicable</t>
  </si>
  <si>
    <t>Need to Provide</t>
  </si>
  <si>
    <t>415-871-3211</t>
  </si>
  <si>
    <t>California Municipal Finance Authority</t>
  </si>
  <si>
    <t>one</t>
  </si>
  <si>
    <t>Accrued Deferred Interest (City of Oakland Loan, Sponsor Gap Loan)</t>
  </si>
  <si>
    <t xml:space="preserve">GP Capital </t>
  </si>
  <si>
    <t>Chase - Tax Exempt Construction Loan</t>
  </si>
  <si>
    <t>Costs Deferred Until Conversion</t>
  </si>
  <si>
    <t>Limited Partner Tax Credit Equity</t>
  </si>
  <si>
    <t>Fixed</t>
  </si>
  <si>
    <t>Misc. Admin</t>
  </si>
  <si>
    <t>Cable</t>
  </si>
  <si>
    <t>Payroll Taxes + Benefits</t>
  </si>
  <si>
    <t>Misc Tax/License</t>
  </si>
  <si>
    <t>Donated Land</t>
  </si>
  <si>
    <t>Other: Accrued Deferred Interest</t>
  </si>
  <si>
    <t>Other: HUD Reserves</t>
  </si>
  <si>
    <t>Other: City of Oakland Origination</t>
  </si>
  <si>
    <t>Other: Owner Legal - Construction + Perm</t>
  </si>
  <si>
    <t>Other: Prevailing Wage Monitor + Construction Supervision</t>
  </si>
  <si>
    <t>Other: Utility Connection Fees + BOE Waste Fees</t>
  </si>
  <si>
    <t>Other (Specify): Bond Compliance Fee</t>
  </si>
  <si>
    <t>City of Oakland - Measure U +HOME</t>
  </si>
  <si>
    <t>Secured by Fee Interest</t>
  </si>
  <si>
    <t>Ferguson Foundation Grant - Sponsor Loan</t>
  </si>
  <si>
    <t xml:space="preserve">HUD 202 Capital Advance </t>
  </si>
  <si>
    <t>Other: PG&amp;E Transformer</t>
  </si>
  <si>
    <t>Other: Specify</t>
  </si>
  <si>
    <t>GP Contribution - Donated Land</t>
  </si>
  <si>
    <t>Sponsor Loan, DDF, + Accrued Deferred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</si>
</sst>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17177">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0" fontId="26" fillId="0" borderId="11"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185" fontId="2" fillId="0" borderId="0" xfId="698" applyNumberFormat="1" applyFont="1"/>
    <xf numFmtId="0" fontId="102" fillId="45" borderId="93" xfId="8733" applyFont="1" applyFill="1" applyBorder="1"/>
    <xf numFmtId="0" fontId="102" fillId="45" borderId="6" xfId="8733" applyFont="1" applyFill="1" applyBorder="1"/>
    <xf numFmtId="0" fontId="102" fillId="45" borderId="10" xfId="8733" applyFont="1" applyFill="1" applyBorder="1"/>
    <xf numFmtId="10" fontId="2" fillId="0" borderId="0" xfId="1022" applyNumberFormat="1" applyFont="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166" fontId="26" fillId="5" borderId="6" xfId="0" applyNumberFormat="1"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6" xfId="0" applyFill="1" applyBorder="1" applyAlignment="1" applyProtection="1">
      <alignment horizontal="left" vertical="top" wrapText="1"/>
      <protection locked="0"/>
    </xf>
    <xf numFmtId="166" fontId="17" fillId="5" borderId="6" xfId="0" applyNumberFormat="1" applyFont="1"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17"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6" fillId="5" borderId="11"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7" fillId="5" borderId="11" xfId="0" applyFont="1" applyFill="1" applyBorder="1" applyAlignment="1" applyProtection="1">
      <alignmen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4" xfId="0" applyFont="1" applyBorder="1" applyAlignment="1">
      <alignment horizontal="left"/>
    </xf>
    <xf numFmtId="0" fontId="17" fillId="0" borderId="5" xfId="0" applyFont="1" applyBorder="1" applyAlignment="1">
      <alignment horizontal="left"/>
    </xf>
    <xf numFmtId="3" fontId="26" fillId="0" borderId="11" xfId="0"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0" fillId="0" borderId="3" xfId="0" applyBorder="1" applyAlignment="1">
      <alignment horizontal="left"/>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24" fillId="0" borderId="6" xfId="0" applyFont="1" applyBorder="1" applyAlignment="1">
      <alignment horizontal="center"/>
    </xf>
    <xf numFmtId="0" fontId="24" fillId="0" borderId="10" xfId="0" applyFont="1" applyBorder="1" applyAlignment="1">
      <alignment horizontal="center"/>
    </xf>
    <xf numFmtId="0" fontId="0" fillId="5" borderId="6" xfId="0" applyFill="1" applyBorder="1" applyAlignment="1" applyProtection="1">
      <alignment horizontal="left"/>
      <protection locked="0"/>
    </xf>
    <xf numFmtId="0" fontId="17" fillId="5" borderId="11" xfId="0" applyFont="1" applyFill="1" applyBorder="1" applyAlignment="1" applyProtection="1">
      <alignment horizontal="left" vertical="center" wrapText="1"/>
      <protection locked="0"/>
    </xf>
    <xf numFmtId="0" fontId="26" fillId="5" borderId="4" xfId="0" applyFont="1" applyFill="1" applyBorder="1" applyAlignment="1" applyProtection="1">
      <alignment horizontal="left"/>
      <protection locked="0"/>
    </xf>
    <xf numFmtId="0" fontId="17" fillId="5" borderId="4" xfId="0" applyFont="1" applyFill="1" applyBorder="1" applyAlignment="1" applyProtection="1">
      <alignment wrapText="1"/>
      <protection locked="0"/>
    </xf>
    <xf numFmtId="0" fontId="24" fillId="0" borderId="11" xfId="0" applyFont="1" applyBorder="1" applyAlignment="1">
      <alignment horizontal="center" vertical="center"/>
    </xf>
    <xf numFmtId="1" fontId="26" fillId="5" borderId="6" xfId="0" applyNumberFormat="1"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6" fontId="26" fillId="5" borderId="4" xfId="0" applyNumberFormat="1"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26" fillId="0" borderId="0" xfId="0" applyFont="1" applyAlignment="1">
      <alignment horizontal="left" vertical="top" wrapText="1"/>
    </xf>
    <xf numFmtId="168" fontId="26" fillId="5" borderId="4" xfId="0" applyNumberFormat="1" applyFont="1" applyFill="1" applyBorder="1" applyAlignment="1" applyProtection="1">
      <alignment horizontal="righ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0" fillId="0" borderId="6" xfId="0" applyBorder="1" applyAlignment="1">
      <alignment horizontal="left"/>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17" fillId="0" borderId="11" xfId="543"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6"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17" fillId="5" borderId="3" xfId="0" applyFont="1" applyFill="1" applyBorder="1" applyAlignment="1" applyProtection="1">
      <alignment horizontal="center"/>
      <protection locked="0"/>
    </xf>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36"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26" fillId="5" borderId="4" xfId="0" applyFont="1" applyFill="1" applyBorder="1" applyAlignment="1" applyProtection="1">
      <alignment horizontal="right"/>
      <protection locked="0"/>
    </xf>
    <xf numFmtId="3" fontId="0" fillId="0" borderId="6" xfId="0" applyNumberFormat="1" applyBorder="1" applyAlignment="1">
      <alignment horizontal="right"/>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0" fontId="1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Protection="1">
      <protection locked="0"/>
    </xf>
    <xf numFmtId="0" fontId="0" fillId="0" borderId="4" xfId="0" applyBorder="1" applyAlignment="1" applyProtection="1">
      <alignment horizontal="left"/>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173" fontId="0" fillId="5" borderId="6" xfId="0" applyNumberFormat="1" applyFill="1" applyBorder="1" applyAlignment="1" applyProtection="1">
      <alignment horizontal="center"/>
      <protection locked="0"/>
    </xf>
    <xf numFmtId="0" fontId="0" fillId="0" borderId="0" xfId="0" applyAlignment="1">
      <alignment wrapText="1"/>
    </xf>
    <xf numFmtId="0" fontId="153" fillId="0" borderId="0" xfId="0" applyFont="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0" fontId="17" fillId="0" borderId="6" xfId="0" applyFont="1" applyBorder="1" applyAlignment="1" applyProtection="1">
      <alignment horizontal="left"/>
      <protection locked="0"/>
    </xf>
    <xf numFmtId="0" fontId="17" fillId="5" borderId="6" xfId="244" applyFont="1" applyFill="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6" fillId="5" borderId="6" xfId="0" applyFont="1" applyFill="1" applyBorder="1" applyAlignment="1" applyProtection="1">
      <alignment horizontal="left" wrapText="1"/>
      <protection locked="0"/>
    </xf>
    <xf numFmtId="0" fontId="17" fillId="0" borderId="0" xfId="0" applyFont="1" applyAlignment="1" applyProtection="1">
      <alignment horizontal="left"/>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0" fontId="17" fillId="5" borderId="6" xfId="0" applyFont="1" applyFill="1" applyBorder="1" applyAlignment="1" applyProtection="1">
      <alignment horizontal="left" wrapText="1"/>
      <protection locked="0"/>
    </xf>
    <xf numFmtId="0" fontId="17" fillId="5" borderId="0" xfId="244" applyFont="1"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26" fillId="0" borderId="6" xfId="0" applyFont="1" applyBorder="1" applyAlignment="1">
      <alignment horizontal="left"/>
    </xf>
    <xf numFmtId="166" fontId="26" fillId="5" borderId="4" xfId="271" applyNumberFormat="1" applyFill="1" applyBorder="1" applyAlignment="1" applyProtection="1">
      <alignment horizontal="left"/>
      <protection locked="0"/>
    </xf>
    <xf numFmtId="0" fontId="0" fillId="5" borderId="114" xfId="0"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7" fillId="5" borderId="3" xfId="0" applyNumberFormat="1" applyFont="1" applyFill="1" applyBorder="1" applyAlignment="1" applyProtection="1">
      <alignment horizontal="center"/>
      <protection locked="0"/>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0" fillId="0" borderId="9" xfId="0" applyBorder="1" applyAlignment="1">
      <alignment horizontal="left"/>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2" fontId="17" fillId="0" borderId="0" xfId="543" applyNumberFormat="1" applyAlignment="1">
      <alignment horizontal="center"/>
    </xf>
    <xf numFmtId="0" fontId="17" fillId="0" borderId="0" xfId="543" applyAlignment="1">
      <alignment horizontal="center"/>
    </xf>
    <xf numFmtId="171" fontId="17" fillId="0" borderId="0" xfId="543" applyNumberFormat="1" applyAlignment="1">
      <alignment horizontal="center"/>
    </xf>
    <xf numFmtId="171" fontId="17" fillId="0" borderId="0" xfId="543" applyNumberFormat="1" applyAlignment="1">
      <alignment horizontal="right"/>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center"/>
      <protection locked="0"/>
    </xf>
    <xf numFmtId="0" fontId="24" fillId="0" borderId="9" xfId="0" applyFont="1" applyBorder="1" applyAlignment="1">
      <alignment horizontal="right"/>
    </xf>
    <xf numFmtId="0" fontId="24" fillId="0" borderId="10" xfId="0" applyFont="1" applyBorder="1" applyAlignment="1">
      <alignment horizontal="right"/>
    </xf>
    <xf numFmtId="0" fontId="24" fillId="0" borderId="11" xfId="0" applyFont="1" applyBorder="1" applyAlignment="1">
      <alignment horizontal="center" vertical="center" wrapText="1"/>
    </xf>
    <xf numFmtId="172" fontId="24" fillId="0" borderId="11" xfId="0" applyNumberFormat="1" applyFont="1" applyBorder="1" applyAlignment="1">
      <alignment horizontal="center" vertical="center" wrapText="1"/>
    </xf>
    <xf numFmtId="0" fontId="24" fillId="0" borderId="9" xfId="0" applyFont="1" applyBorder="1" applyAlignment="1">
      <alignment horizontal="center"/>
    </xf>
    <xf numFmtId="14" fontId="26"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68" fontId="0" fillId="0" borderId="11" xfId="0" applyNumberFormat="1" applyBorder="1" applyAlignment="1">
      <alignment horizontal="center"/>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64" fontId="36" fillId="5" borderId="3" xfId="0" applyNumberFormat="1" applyFont="1" applyFill="1" applyBorder="1" applyAlignment="1" applyProtection="1">
      <alignment horizontal="left"/>
      <protection locked="0"/>
    </xf>
    <xf numFmtId="0" fontId="26" fillId="0" borderId="3" xfId="0" applyFont="1" applyBorder="1" applyAlignment="1">
      <alignment horizontal="left"/>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24" fillId="0" borderId="0" xfId="0" applyFont="1" applyAlignment="1">
      <alignment horizontal="center" vertical="center"/>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9" fontId="17" fillId="5" borderId="3" xfId="0" applyNumberFormat="1" applyFont="1" applyFill="1" applyBorder="1" applyAlignment="1" applyProtection="1">
      <alignment horizontal="righ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69" fillId="48" borderId="3" xfId="8733" applyFont="1" applyFill="1" applyBorder="1" applyAlignment="1">
      <alignment horizontal="center"/>
    </xf>
    <xf numFmtId="0" fontId="169" fillId="48" borderId="4" xfId="8733" applyFont="1" applyFill="1" applyBorder="1" applyAlignment="1">
      <alignment horizontal="center"/>
    </xf>
    <xf numFmtId="0" fontId="169" fillId="48" borderId="8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4"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4"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137" fillId="0" borderId="3" xfId="4496" applyFont="1" applyBorder="1" applyAlignment="1">
      <alignment horizontal="center"/>
    </xf>
    <xf numFmtId="0" fontId="137" fillId="0" borderId="4" xfId="4496" applyFont="1" applyBorder="1" applyAlignment="1">
      <alignment horizontal="center"/>
    </xf>
    <xf numFmtId="0" fontId="137" fillId="0" borderId="5" xfId="4496" applyFont="1" applyBorder="1" applyAlignment="1">
      <alignment horizont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77">
    <cellStyle name="20% - Accent1" xfId="1" builtinId="30" customBuiltin="1"/>
    <cellStyle name="20% - Accent1 10" xfId="4504" xr:uid="{00000000-0005-0000-0000-000001000000}"/>
    <cellStyle name="20% - Accent1 10 2" xfId="12954" xr:uid="{956845BE-D4BF-40AF-A170-8CB36B68B6D3}"/>
    <cellStyle name="20% - Accent1 11" xfId="8736" xr:uid="{0C9EB335-7AA9-45A0-92BA-B063436F63EB}"/>
    <cellStyle name="20% - Accent1 2" xfId="2" xr:uid="{00000000-0005-0000-0000-000002000000}"/>
    <cellStyle name="20% - Accent1 2 10" xfId="8737" xr:uid="{DFD6E5FE-F10D-46D6-A4A9-ACD0C5F9D87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6E96818F-C10B-4F1B-A3E3-879B847E31E9}"/>
    <cellStyle name="20% - Accent1 2 2 2 2 2 3" xfId="11298" xr:uid="{239AA404-43E9-42F6-853B-982097B42226}"/>
    <cellStyle name="20% - Accent1 2 2 2 2 3" xfId="4921" xr:uid="{00000000-0005-0000-0000-000008000000}"/>
    <cellStyle name="20% - Accent1 2 2 2 2 3 2" xfId="13371" xr:uid="{7F8CA053-0BCF-44D3-BC93-EE6A48641CEC}"/>
    <cellStyle name="20% - Accent1 2 2 2 2 4" xfId="9153" xr:uid="{1A92AE56-6EFC-4552-A5A2-FD22AD30852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7FCAF851-937B-4B7F-9363-E6788F0069C8}"/>
    <cellStyle name="20% - Accent1 2 2 2 3 2 3" xfId="11711" xr:uid="{2DFC2491-BBB4-4792-838C-5B2CB2B46046}"/>
    <cellStyle name="20% - Accent1 2 2 2 3 3" xfId="5334" xr:uid="{00000000-0005-0000-0000-00000C000000}"/>
    <cellStyle name="20% - Accent1 2 2 2 3 3 2" xfId="13784" xr:uid="{66221053-D2EC-4223-B1CB-C6F95C400639}"/>
    <cellStyle name="20% - Accent1 2 2 2 3 4" xfId="9566" xr:uid="{96CAAC80-CDB6-4F8A-A555-CB17E9C109EA}"/>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A1A6E342-E280-4F41-8639-AA44AF753160}"/>
    <cellStyle name="20% - Accent1 2 2 2 4 2 3" xfId="12124" xr:uid="{3AB29BE0-FFD9-497B-B321-B37785842E89}"/>
    <cellStyle name="20% - Accent1 2 2 2 4 3" xfId="5747" xr:uid="{00000000-0005-0000-0000-000010000000}"/>
    <cellStyle name="20% - Accent1 2 2 2 4 3 2" xfId="14197" xr:uid="{8778F76B-C6A9-4F85-AFA8-BBE78B3EF28B}"/>
    <cellStyle name="20% - Accent1 2 2 2 4 4" xfId="9979" xr:uid="{6CEEFA53-1757-41E1-9169-BB91A4FFF8DC}"/>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FCF97F65-C693-4774-8119-C354449C0BC0}"/>
    <cellStyle name="20% - Accent1 2 2 2 5 2 3" xfId="12537" xr:uid="{6EB43305-AE28-47F4-9721-A1B89259C643}"/>
    <cellStyle name="20% - Accent1 2 2 2 5 3" xfId="6160" xr:uid="{00000000-0005-0000-0000-000014000000}"/>
    <cellStyle name="20% - Accent1 2 2 2 5 3 2" xfId="14610" xr:uid="{2EC227AC-9E2C-40FF-884B-4C65CF0DD2BB}"/>
    <cellStyle name="20% - Accent1 2 2 2 5 4" xfId="10392" xr:uid="{2E75F944-532F-4C4F-BC25-E229C1913492}"/>
    <cellStyle name="20% - Accent1 2 2 2 6" xfId="2267" xr:uid="{00000000-0005-0000-0000-000015000000}"/>
    <cellStyle name="20% - Accent1 2 2 2 6 2" xfId="6573" xr:uid="{00000000-0005-0000-0000-000016000000}"/>
    <cellStyle name="20% - Accent1 2 2 2 6 2 2" xfId="15023" xr:uid="{85B10A4E-9566-4ABF-93AF-C036DF5884A7}"/>
    <cellStyle name="20% - Accent1 2 2 2 6 3" xfId="10805" xr:uid="{A1C22B69-A9C9-423C-B458-C1E21CCC28DB}"/>
    <cellStyle name="20% - Accent1 2 2 2 7" xfId="4507" xr:uid="{00000000-0005-0000-0000-000017000000}"/>
    <cellStyle name="20% - Accent1 2 2 2 7 2" xfId="12957" xr:uid="{BB83D23E-57AF-468D-9556-E10CE9919603}"/>
    <cellStyle name="20% - Accent1 2 2 2 8" xfId="8739" xr:uid="{1BA3BE7C-D61A-4EAE-8052-D1BE88D5B29A}"/>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CCB92D14-BDCA-4309-9E43-6F121749D556}"/>
    <cellStyle name="20% - Accent1 2 2 3 2 3" xfId="11297" xr:uid="{A2448961-6555-435E-8E61-5E6E99EDE8E1}"/>
    <cellStyle name="20% - Accent1 2 2 3 3" xfId="4920" xr:uid="{00000000-0005-0000-0000-00001B000000}"/>
    <cellStyle name="20% - Accent1 2 2 3 3 2" xfId="13370" xr:uid="{49180F61-E433-4278-A607-49A6C48AFC0D}"/>
    <cellStyle name="20% - Accent1 2 2 3 4" xfId="9152" xr:uid="{4C9AE933-66A7-4B57-9E9C-B85CB0EC83F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086B9370-D9E8-4EED-84DD-7779F0F04D28}"/>
    <cellStyle name="20% - Accent1 2 2 4 2 3" xfId="11710" xr:uid="{7965CFDB-166D-4DA4-BEBF-0E206E5DBF86}"/>
    <cellStyle name="20% - Accent1 2 2 4 3" xfId="5333" xr:uid="{00000000-0005-0000-0000-00001F000000}"/>
    <cellStyle name="20% - Accent1 2 2 4 3 2" xfId="13783" xr:uid="{A8C0122B-A094-46ED-B5AB-151FE2AF6D6D}"/>
    <cellStyle name="20% - Accent1 2 2 4 4" xfId="9565" xr:uid="{EA0E6606-74B9-4478-9C95-E33EF4B7B0AB}"/>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60E068E4-DB97-40B1-BD12-C4D7C887D710}"/>
    <cellStyle name="20% - Accent1 2 2 5 2 3" xfId="12123" xr:uid="{566B58CC-B67D-4E5A-B2AB-15F57AF4AD54}"/>
    <cellStyle name="20% - Accent1 2 2 5 3" xfId="5746" xr:uid="{00000000-0005-0000-0000-000023000000}"/>
    <cellStyle name="20% - Accent1 2 2 5 3 2" xfId="14196" xr:uid="{C2D107A1-B986-4202-AA48-4EB1DB6B6BC0}"/>
    <cellStyle name="20% - Accent1 2 2 5 4" xfId="9978" xr:uid="{5FB7ABE0-FBE0-4CA4-B234-0FD24BE7875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65BB72BA-BD0E-417F-9791-705D7E0F51AB}"/>
    <cellStyle name="20% - Accent1 2 2 6 2 3" xfId="12536" xr:uid="{AC439511-88B9-44E4-9469-BB363F8AF080}"/>
    <cellStyle name="20% - Accent1 2 2 6 3" xfId="6159" xr:uid="{00000000-0005-0000-0000-000027000000}"/>
    <cellStyle name="20% - Accent1 2 2 6 3 2" xfId="14609" xr:uid="{D4A42592-6C59-48CA-AE3D-A58C0F752BAE}"/>
    <cellStyle name="20% - Accent1 2 2 6 4" xfId="10391" xr:uid="{C4535B93-97B2-4E17-AA92-0DB3B5EF457F}"/>
    <cellStyle name="20% - Accent1 2 2 7" xfId="2266" xr:uid="{00000000-0005-0000-0000-000028000000}"/>
    <cellStyle name="20% - Accent1 2 2 7 2" xfId="6572" xr:uid="{00000000-0005-0000-0000-000029000000}"/>
    <cellStyle name="20% - Accent1 2 2 7 2 2" xfId="15022" xr:uid="{97AB9DE6-567C-4194-AB8E-AFC3819E9DD8}"/>
    <cellStyle name="20% - Accent1 2 2 7 3" xfId="10804" xr:uid="{3471C12B-E348-46F8-B347-428FEBD093F1}"/>
    <cellStyle name="20% - Accent1 2 2 8" xfId="4506" xr:uid="{00000000-0005-0000-0000-00002A000000}"/>
    <cellStyle name="20% - Accent1 2 2 8 2" xfId="12956" xr:uid="{9F76276D-8AE3-41F2-96F5-798ED0AD8FA9}"/>
    <cellStyle name="20% - Accent1 2 2 9" xfId="8738" xr:uid="{C47A8546-FA89-4968-A344-09CBF3428F8C}"/>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28126311-9C6E-4703-8576-2BE7C372F3FC}"/>
    <cellStyle name="20% - Accent1 2 3 2 2 3" xfId="11299" xr:uid="{EDA72262-5113-47C7-82A8-0D54A14EFC33}"/>
    <cellStyle name="20% - Accent1 2 3 2 3" xfId="4922" xr:uid="{00000000-0005-0000-0000-00002F000000}"/>
    <cellStyle name="20% - Accent1 2 3 2 3 2" xfId="13372" xr:uid="{8A32CF7E-819B-4ADD-8D28-3AEEBB1C2C09}"/>
    <cellStyle name="20% - Accent1 2 3 2 4" xfId="9154" xr:uid="{3D42FEDD-C39E-4EF5-93D2-FEAD52AF498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1EE05A90-E02D-4E82-A649-D20049EF13C1}"/>
    <cellStyle name="20% - Accent1 2 3 3 2 3" xfId="11712" xr:uid="{D88B862B-3AC9-482B-8C06-A4EF182E9640}"/>
    <cellStyle name="20% - Accent1 2 3 3 3" xfId="5335" xr:uid="{00000000-0005-0000-0000-000033000000}"/>
    <cellStyle name="20% - Accent1 2 3 3 3 2" xfId="13785" xr:uid="{EA1391D3-C304-4D91-8C3B-9E796C784C35}"/>
    <cellStyle name="20% - Accent1 2 3 3 4" xfId="9567" xr:uid="{7777BD70-2ECC-4120-BE30-995E2AB8DC75}"/>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553EF818-9336-4594-A853-6312FCF4D971}"/>
    <cellStyle name="20% - Accent1 2 3 4 2 3" xfId="12125" xr:uid="{857A3E4F-6F84-428F-AE64-E10E9057BD0D}"/>
    <cellStyle name="20% - Accent1 2 3 4 3" xfId="5748" xr:uid="{00000000-0005-0000-0000-000037000000}"/>
    <cellStyle name="20% - Accent1 2 3 4 3 2" xfId="14198" xr:uid="{8FD3F294-4972-4ABA-8D36-E1794A0D7CC5}"/>
    <cellStyle name="20% - Accent1 2 3 4 4" xfId="9980" xr:uid="{87749E28-BF76-4423-A035-A5FD7B797E4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26050974-69D9-41FA-A86B-D356523BEF19}"/>
    <cellStyle name="20% - Accent1 2 3 5 2 3" xfId="12538" xr:uid="{660EB37A-5464-4DC7-A1CD-1885236690A2}"/>
    <cellStyle name="20% - Accent1 2 3 5 3" xfId="6161" xr:uid="{00000000-0005-0000-0000-00003B000000}"/>
    <cellStyle name="20% - Accent1 2 3 5 3 2" xfId="14611" xr:uid="{D73719CD-2894-4158-B52A-145BF950540C}"/>
    <cellStyle name="20% - Accent1 2 3 5 4" xfId="10393" xr:uid="{825D500E-FBA7-4021-9008-115FD1390A01}"/>
    <cellStyle name="20% - Accent1 2 3 6" xfId="2268" xr:uid="{00000000-0005-0000-0000-00003C000000}"/>
    <cellStyle name="20% - Accent1 2 3 6 2" xfId="6574" xr:uid="{00000000-0005-0000-0000-00003D000000}"/>
    <cellStyle name="20% - Accent1 2 3 6 2 2" xfId="15024" xr:uid="{95983DE0-D236-4BC7-BEDC-383717AFB2CF}"/>
    <cellStyle name="20% - Accent1 2 3 6 3" xfId="10806" xr:uid="{A9C96D6B-181B-4C3B-AA39-97706F26E297}"/>
    <cellStyle name="20% - Accent1 2 3 7" xfId="4508" xr:uid="{00000000-0005-0000-0000-00003E000000}"/>
    <cellStyle name="20% - Accent1 2 3 7 2" xfId="12958" xr:uid="{7D7D30A4-A5CA-44A6-AB4D-22C504B46C9A}"/>
    <cellStyle name="20% - Accent1 2 3 8" xfId="8740" xr:uid="{0764A089-74E7-42CC-B520-EC8721A51BF1}"/>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0750E508-0370-42C2-99CB-8FCD214214DA}"/>
    <cellStyle name="20% - Accent1 2 4 2 3" xfId="11296" xr:uid="{9C6E744E-7BE6-444A-9261-51974BD37F18}"/>
    <cellStyle name="20% - Accent1 2 4 3" xfId="4919" xr:uid="{00000000-0005-0000-0000-000042000000}"/>
    <cellStyle name="20% - Accent1 2 4 3 2" xfId="13369" xr:uid="{507C3B46-220F-4B19-A991-EC721F876300}"/>
    <cellStyle name="20% - Accent1 2 4 4" xfId="9151" xr:uid="{4D4F6776-0905-4DBE-9405-F5127E7F2AB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F25D893A-E3D9-4BF3-A24F-64057020F24D}"/>
    <cellStyle name="20% - Accent1 2 5 2 3" xfId="11709" xr:uid="{3276D456-8A73-4F58-A9CB-3E58C07EFCAA}"/>
    <cellStyle name="20% - Accent1 2 5 3" xfId="5332" xr:uid="{00000000-0005-0000-0000-000046000000}"/>
    <cellStyle name="20% - Accent1 2 5 3 2" xfId="13782" xr:uid="{498A189E-AC1B-40FF-92C0-248799C23021}"/>
    <cellStyle name="20% - Accent1 2 5 4" xfId="9564" xr:uid="{086BFFD2-8E4E-4510-BAB1-922D4F2E893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418763EC-A696-429D-AAD2-B85929E20F2B}"/>
    <cellStyle name="20% - Accent1 2 6 2 3" xfId="12122" xr:uid="{6C8EBBB6-B719-413B-B0F6-52247C393D2C}"/>
    <cellStyle name="20% - Accent1 2 6 3" xfId="5745" xr:uid="{00000000-0005-0000-0000-00004A000000}"/>
    <cellStyle name="20% - Accent1 2 6 3 2" xfId="14195" xr:uid="{BE099FAE-F694-43A0-90B6-E464D0EC5F1F}"/>
    <cellStyle name="20% - Accent1 2 6 4" xfId="9977" xr:uid="{E7D96D23-DAE4-46FD-B5FE-4DD1D1BE2A8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80C7A59D-C577-42B1-894A-A383DA4EF25E}"/>
    <cellStyle name="20% - Accent1 2 7 2 3" xfId="12535" xr:uid="{E5DA4B4F-85C1-4D1C-8F44-C7FBF795CD31}"/>
    <cellStyle name="20% - Accent1 2 7 3" xfId="6158" xr:uid="{00000000-0005-0000-0000-00004E000000}"/>
    <cellStyle name="20% - Accent1 2 7 3 2" xfId="14608" xr:uid="{2371228F-AC80-4032-B015-6051256208E3}"/>
    <cellStyle name="20% - Accent1 2 7 4" xfId="10390" xr:uid="{C424DABF-C34C-427F-9C34-1A9F108B5A53}"/>
    <cellStyle name="20% - Accent1 2 8" xfId="2265" xr:uid="{00000000-0005-0000-0000-00004F000000}"/>
    <cellStyle name="20% - Accent1 2 8 2" xfId="6571" xr:uid="{00000000-0005-0000-0000-000050000000}"/>
    <cellStyle name="20% - Accent1 2 8 2 2" xfId="15021" xr:uid="{DF0EFD30-F091-45C2-8AC1-D2401FB3EFD2}"/>
    <cellStyle name="20% - Accent1 2 8 3" xfId="10803" xr:uid="{261F574B-D74F-4D81-8F04-9807D9015973}"/>
    <cellStyle name="20% - Accent1 2 9" xfId="4505" xr:uid="{00000000-0005-0000-0000-000051000000}"/>
    <cellStyle name="20% - Accent1 2 9 2" xfId="12955" xr:uid="{2DCDF17E-8194-4E19-B34D-1568DAD745CD}"/>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332DD566-8ABB-4502-A1AB-1E03954A602F}"/>
    <cellStyle name="20% - Accent1 3 2 2 2 3" xfId="11301" xr:uid="{894A2A07-2FFC-4380-82B2-2A9C55F35023}"/>
    <cellStyle name="20% - Accent1 3 2 2 3" xfId="4924" xr:uid="{00000000-0005-0000-0000-000057000000}"/>
    <cellStyle name="20% - Accent1 3 2 2 3 2" xfId="13374" xr:uid="{F2B7350E-C7CB-449A-BB37-41050FAE69D9}"/>
    <cellStyle name="20% - Accent1 3 2 2 4" xfId="9156" xr:uid="{A37075C8-0DCD-40CC-9ABC-5EBB6B211239}"/>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11F45529-7F7F-44D8-9F53-F89F242BCEB4}"/>
    <cellStyle name="20% - Accent1 3 2 3 2 3" xfId="11714" xr:uid="{7628DB9A-9649-44B1-87BF-C6E0B771984B}"/>
    <cellStyle name="20% - Accent1 3 2 3 3" xfId="5337" xr:uid="{00000000-0005-0000-0000-00005B000000}"/>
    <cellStyle name="20% - Accent1 3 2 3 3 2" xfId="13787" xr:uid="{0F1FF485-79BA-4ECB-9E2A-7BFA8396C8C3}"/>
    <cellStyle name="20% - Accent1 3 2 3 4" xfId="9569" xr:uid="{97792B1B-A598-4A29-B3E7-0DBFCEFB4656}"/>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3B0AFA77-2FAD-4AE1-A5E8-86B4318EC694}"/>
    <cellStyle name="20% - Accent1 3 2 4 2 3" xfId="12127" xr:uid="{29DB2CAF-DAE1-4188-9B61-57AA3D558EE9}"/>
    <cellStyle name="20% - Accent1 3 2 4 3" xfId="5750" xr:uid="{00000000-0005-0000-0000-00005F000000}"/>
    <cellStyle name="20% - Accent1 3 2 4 3 2" xfId="14200" xr:uid="{CEACD9A5-76B1-488D-B5C7-A922C716075B}"/>
    <cellStyle name="20% - Accent1 3 2 4 4" xfId="9982" xr:uid="{92406619-CBB3-434E-91F1-57F211E0014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86A91AAC-1A1C-4379-B80D-DF4E2B49F01A}"/>
    <cellStyle name="20% - Accent1 3 2 5 2 3" xfId="12540" xr:uid="{AEEEBB38-6578-4975-ACB3-DFC8D0F73972}"/>
    <cellStyle name="20% - Accent1 3 2 5 3" xfId="6163" xr:uid="{00000000-0005-0000-0000-000063000000}"/>
    <cellStyle name="20% - Accent1 3 2 5 3 2" xfId="14613" xr:uid="{6720DA23-9E32-46EA-A6C9-469FCBB3978F}"/>
    <cellStyle name="20% - Accent1 3 2 5 4" xfId="10395" xr:uid="{4349D7FF-A16C-4BD5-94E6-782287F6BE43}"/>
    <cellStyle name="20% - Accent1 3 2 6" xfId="2270" xr:uid="{00000000-0005-0000-0000-000064000000}"/>
    <cellStyle name="20% - Accent1 3 2 6 2" xfId="6576" xr:uid="{00000000-0005-0000-0000-000065000000}"/>
    <cellStyle name="20% - Accent1 3 2 6 2 2" xfId="15026" xr:uid="{B38BCAE8-1295-475D-99C2-358D16DC1026}"/>
    <cellStyle name="20% - Accent1 3 2 6 3" xfId="10808" xr:uid="{95D2DE21-C164-43AA-9141-F080364EFB6D}"/>
    <cellStyle name="20% - Accent1 3 2 7" xfId="4510" xr:uid="{00000000-0005-0000-0000-000066000000}"/>
    <cellStyle name="20% - Accent1 3 2 7 2" xfId="12960" xr:uid="{995A6947-F4E3-4CB4-976A-B3EAD2510B1E}"/>
    <cellStyle name="20% - Accent1 3 2 8" xfId="8742" xr:uid="{E0C836AD-64E4-4485-8B23-9EA09CCE1D25}"/>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7D8CE757-B50A-483F-BB32-2A957C4AA393}"/>
    <cellStyle name="20% - Accent1 3 3 2 3" xfId="11300" xr:uid="{B9A6803E-2011-4047-A7AC-7A0ADD349CC5}"/>
    <cellStyle name="20% - Accent1 3 3 3" xfId="4923" xr:uid="{00000000-0005-0000-0000-00006A000000}"/>
    <cellStyle name="20% - Accent1 3 3 3 2" xfId="13373" xr:uid="{69B9DD89-F0CD-4175-A5B7-B3731D227F8A}"/>
    <cellStyle name="20% - Accent1 3 3 4" xfId="9155" xr:uid="{7E76A18D-48FD-43A8-ACC1-0F624603B29D}"/>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4123A0AA-FB29-4C7E-83B7-F6EF86785071}"/>
    <cellStyle name="20% - Accent1 3 4 2 3" xfId="11713" xr:uid="{C97458E8-2EEB-4333-9A37-A337BAB1CB3A}"/>
    <cellStyle name="20% - Accent1 3 4 3" xfId="5336" xr:uid="{00000000-0005-0000-0000-00006E000000}"/>
    <cellStyle name="20% - Accent1 3 4 3 2" xfId="13786" xr:uid="{602662F1-00C0-4A3D-A35F-FD69A0DF849A}"/>
    <cellStyle name="20% - Accent1 3 4 4" xfId="9568" xr:uid="{03CF84F5-115A-4A6D-92EF-0AA2B676D3D7}"/>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988B4C7F-AFF0-4DD4-9FFF-8DC45B7A9F18}"/>
    <cellStyle name="20% - Accent1 3 5 2 3" xfId="12126" xr:uid="{6E12D0E8-1DD4-42C1-9B55-C1BA05B93816}"/>
    <cellStyle name="20% - Accent1 3 5 3" xfId="5749" xr:uid="{00000000-0005-0000-0000-000072000000}"/>
    <cellStyle name="20% - Accent1 3 5 3 2" xfId="14199" xr:uid="{3F186CB4-6C5E-4C4A-8528-65816A01F5DF}"/>
    <cellStyle name="20% - Accent1 3 5 4" xfId="9981" xr:uid="{9AA0521C-EC82-421F-B2C9-DB1F30A0CF57}"/>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F55FB43A-CD13-4A78-9C07-FFD5FE424BE4}"/>
    <cellStyle name="20% - Accent1 3 6 2 3" xfId="12539" xr:uid="{66F232D9-4D98-44F2-9D45-BB28DF58DDFB}"/>
    <cellStyle name="20% - Accent1 3 6 3" xfId="6162" xr:uid="{00000000-0005-0000-0000-000076000000}"/>
    <cellStyle name="20% - Accent1 3 6 3 2" xfId="14612" xr:uid="{D060514C-E9B1-466A-91FA-38B48F09EECD}"/>
    <cellStyle name="20% - Accent1 3 6 4" xfId="10394" xr:uid="{3213B301-B6EE-4C2C-A650-F891239E8B42}"/>
    <cellStyle name="20% - Accent1 3 7" xfId="2269" xr:uid="{00000000-0005-0000-0000-000077000000}"/>
    <cellStyle name="20% - Accent1 3 7 2" xfId="6575" xr:uid="{00000000-0005-0000-0000-000078000000}"/>
    <cellStyle name="20% - Accent1 3 7 2 2" xfId="15025" xr:uid="{C84A5A1B-38B2-4282-BD66-CB5D1AF6E62A}"/>
    <cellStyle name="20% - Accent1 3 7 3" xfId="10807" xr:uid="{57B3D1AD-91DD-4D54-A9CE-8C51D005B0A0}"/>
    <cellStyle name="20% - Accent1 3 8" xfId="4509" xr:uid="{00000000-0005-0000-0000-000079000000}"/>
    <cellStyle name="20% - Accent1 3 8 2" xfId="12959" xr:uid="{E2D4D84B-6490-49E7-BF50-6CFAD4E7066E}"/>
    <cellStyle name="20% - Accent1 3 9" xfId="8741" xr:uid="{4800F500-6709-4861-A748-9D971DD4D117}"/>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746C4C59-312B-42A9-929E-6493A0497C9D}"/>
    <cellStyle name="20% - Accent1 4 2 2 3" xfId="11302" xr:uid="{0E4F2E12-EDC4-4F19-BD2E-D73C4F5A44B2}"/>
    <cellStyle name="20% - Accent1 4 2 3" xfId="4925" xr:uid="{00000000-0005-0000-0000-00007E000000}"/>
    <cellStyle name="20% - Accent1 4 2 3 2" xfId="13375" xr:uid="{417202D4-3EF5-47E0-B050-0B842FF43412}"/>
    <cellStyle name="20% - Accent1 4 2 4" xfId="9157" xr:uid="{7482D5EB-1112-4B2F-B829-55BC13CA53AA}"/>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F9458316-7AB0-4E7C-BAC5-A537153D2C04}"/>
    <cellStyle name="20% - Accent1 4 3 2 3" xfId="11715" xr:uid="{FF8E7468-D563-48A2-A2E5-728CDC21BC4C}"/>
    <cellStyle name="20% - Accent1 4 3 3" xfId="5338" xr:uid="{00000000-0005-0000-0000-000082000000}"/>
    <cellStyle name="20% - Accent1 4 3 3 2" xfId="13788" xr:uid="{73AEA0A3-AA0C-40B0-82E8-1E10D65FECA8}"/>
    <cellStyle name="20% - Accent1 4 3 4" xfId="9570" xr:uid="{C2DFEE51-B0D1-42DB-B09F-4407A50A8793}"/>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3FCE6741-69E7-4564-A9D3-CB2175ED99C2}"/>
    <cellStyle name="20% - Accent1 4 4 2 3" xfId="12128" xr:uid="{5C6E7321-7977-46BE-8E22-CBF824BF3CE4}"/>
    <cellStyle name="20% - Accent1 4 4 3" xfId="5751" xr:uid="{00000000-0005-0000-0000-000086000000}"/>
    <cellStyle name="20% - Accent1 4 4 3 2" xfId="14201" xr:uid="{EDB6C7CC-2DDD-43DC-8898-9433D3200877}"/>
    <cellStyle name="20% - Accent1 4 4 4" xfId="9983" xr:uid="{44DDA94D-1733-4747-98EB-776989A17065}"/>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561ECBA4-27F4-435B-985A-1C6891B2016B}"/>
    <cellStyle name="20% - Accent1 4 5 2 3" xfId="12541" xr:uid="{E65EED10-587D-42E3-9A33-8AD335709571}"/>
    <cellStyle name="20% - Accent1 4 5 3" xfId="6164" xr:uid="{00000000-0005-0000-0000-00008A000000}"/>
    <cellStyle name="20% - Accent1 4 5 3 2" xfId="14614" xr:uid="{380AB890-18F2-4B04-B595-FE3CCC3DA00A}"/>
    <cellStyle name="20% - Accent1 4 5 4" xfId="10396" xr:uid="{286BD35A-95D5-4A82-BB4B-1AEE0C2C2E11}"/>
    <cellStyle name="20% - Accent1 4 6" xfId="2271" xr:uid="{00000000-0005-0000-0000-00008B000000}"/>
    <cellStyle name="20% - Accent1 4 6 2" xfId="6577" xr:uid="{00000000-0005-0000-0000-00008C000000}"/>
    <cellStyle name="20% - Accent1 4 6 2 2" xfId="15027" xr:uid="{89D4DB91-01C4-4037-AD77-7B61861BB5BC}"/>
    <cellStyle name="20% - Accent1 4 6 3" xfId="10809" xr:uid="{D2BCBB10-4B91-469D-9A40-04150B84DC09}"/>
    <cellStyle name="20% - Accent1 4 7" xfId="4511" xr:uid="{00000000-0005-0000-0000-00008D000000}"/>
    <cellStyle name="20% - Accent1 4 7 2" xfId="12961" xr:uid="{E0775CF3-F532-4620-97A8-70CB3115E174}"/>
    <cellStyle name="20% - Accent1 4 8" xfId="8743" xr:uid="{68287C8E-C860-4ABB-8DA6-B23C5A1C52CE}"/>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C752A818-833E-4233-9E83-03B76CE8F03F}"/>
    <cellStyle name="20% - Accent1 5 2 3" xfId="11295" xr:uid="{2CB3D358-7B6A-4303-9CA7-19D824F262CA}"/>
    <cellStyle name="20% - Accent1 5 3" xfId="4918" xr:uid="{00000000-0005-0000-0000-000091000000}"/>
    <cellStyle name="20% - Accent1 5 3 2" xfId="13368" xr:uid="{5954FA6C-EA48-4487-B988-08C112E4BE64}"/>
    <cellStyle name="20% - Accent1 5 4" xfId="9150" xr:uid="{15196822-1D6E-48BD-929B-988622695E96}"/>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38A60E56-BCA2-42AF-B1B1-BA9544D1636F}"/>
    <cellStyle name="20% - Accent1 6 2 3" xfId="11708" xr:uid="{45005917-33CB-4E6B-BF22-6C2882194C99}"/>
    <cellStyle name="20% - Accent1 6 3" xfId="5331" xr:uid="{00000000-0005-0000-0000-000095000000}"/>
    <cellStyle name="20% - Accent1 6 3 2" xfId="13781" xr:uid="{83107F1A-C141-4867-9217-E53CA2CE005D}"/>
    <cellStyle name="20% - Accent1 6 4" xfId="9563" xr:uid="{9A0AC7B3-BA7D-4CB7-A2EA-158444B5463A}"/>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F08FB95B-6E96-4E57-B4FF-CC8438987048}"/>
    <cellStyle name="20% - Accent1 7 2 3" xfId="12121" xr:uid="{B69CC8AD-9A5D-430A-8EF8-7184778F2034}"/>
    <cellStyle name="20% - Accent1 7 3" xfId="5744" xr:uid="{00000000-0005-0000-0000-000099000000}"/>
    <cellStyle name="20% - Accent1 7 3 2" xfId="14194" xr:uid="{633A31EC-E8FD-4FEE-838C-A0DBDE5B908B}"/>
    <cellStyle name="20% - Accent1 7 4" xfId="9976" xr:uid="{82312D32-847F-42F6-9756-A2FDD2221E23}"/>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BA485438-DD92-4C94-A455-2AD851012AE9}"/>
    <cellStyle name="20% - Accent1 8 2 3" xfId="12534" xr:uid="{52271946-1A24-4210-B654-872EF6682149}"/>
    <cellStyle name="20% - Accent1 8 3" xfId="6157" xr:uid="{00000000-0005-0000-0000-00009D000000}"/>
    <cellStyle name="20% - Accent1 8 3 2" xfId="14607" xr:uid="{D5F6C225-2D3A-4278-A293-2F441642923B}"/>
    <cellStyle name="20% - Accent1 8 4" xfId="10389" xr:uid="{0A308C70-619D-4BD6-9E3D-E3458ED36090}"/>
    <cellStyle name="20% - Accent1 9" xfId="2264" xr:uid="{00000000-0005-0000-0000-00009E000000}"/>
    <cellStyle name="20% - Accent1 9 2" xfId="6570" xr:uid="{00000000-0005-0000-0000-00009F000000}"/>
    <cellStyle name="20% - Accent1 9 2 2" xfId="15020" xr:uid="{CA681FE0-4AA2-477D-B90A-40253AD79318}"/>
    <cellStyle name="20% - Accent1 9 3" xfId="10802" xr:uid="{2DB24495-F091-4870-9B12-9BCFA088519B}"/>
    <cellStyle name="20% - Accent2" xfId="9" builtinId="34" customBuiltin="1"/>
    <cellStyle name="20% - Accent2 10" xfId="4512" xr:uid="{00000000-0005-0000-0000-0000A1000000}"/>
    <cellStyle name="20% - Accent2 10 2" xfId="12962" xr:uid="{816F8207-565B-48E3-AE41-3E6C290A88C5}"/>
    <cellStyle name="20% - Accent2 11" xfId="8744" xr:uid="{960F814A-BDEC-41C3-BEC1-C5B191468AF3}"/>
    <cellStyle name="20% - Accent2 2" xfId="10" xr:uid="{00000000-0005-0000-0000-0000A2000000}"/>
    <cellStyle name="20% - Accent2 2 10" xfId="8745" xr:uid="{DB517A5C-C594-4D81-84DC-D33B9EEFB7B9}"/>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C7D89979-B0C2-467E-83EE-FE35E64010AF}"/>
    <cellStyle name="20% - Accent2 2 2 2 2 2 3" xfId="11306" xr:uid="{02CAA53F-020D-47AB-956A-B72C7E3C0EB0}"/>
    <cellStyle name="20% - Accent2 2 2 2 2 3" xfId="4929" xr:uid="{00000000-0005-0000-0000-0000A8000000}"/>
    <cellStyle name="20% - Accent2 2 2 2 2 3 2" xfId="13379" xr:uid="{0B4F341B-714B-4577-91FE-B23562D9D272}"/>
    <cellStyle name="20% - Accent2 2 2 2 2 4" xfId="9161" xr:uid="{B587F74C-0DAE-4B50-9078-1E05591C68D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E01DBBC0-2DDA-4351-9725-AA653B180077}"/>
    <cellStyle name="20% - Accent2 2 2 2 3 2 3" xfId="11719" xr:uid="{FEAF1417-E5F5-4B74-9C31-74E67CB9D8ED}"/>
    <cellStyle name="20% - Accent2 2 2 2 3 3" xfId="5342" xr:uid="{00000000-0005-0000-0000-0000AC000000}"/>
    <cellStyle name="20% - Accent2 2 2 2 3 3 2" xfId="13792" xr:uid="{EB96E1D5-0FD4-43E3-8880-E8C5EEBDDB74}"/>
    <cellStyle name="20% - Accent2 2 2 2 3 4" xfId="9574" xr:uid="{69663473-7A56-4984-B073-03F8F48071A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8680080F-B9B7-4E20-8E42-95FA690F0494}"/>
    <cellStyle name="20% - Accent2 2 2 2 4 2 3" xfId="12132" xr:uid="{06408062-9F05-44EA-930E-7EDBDC4C311D}"/>
    <cellStyle name="20% - Accent2 2 2 2 4 3" xfId="5755" xr:uid="{00000000-0005-0000-0000-0000B0000000}"/>
    <cellStyle name="20% - Accent2 2 2 2 4 3 2" xfId="14205" xr:uid="{D747FE60-1DC5-4647-9CEB-8B4CFE279299}"/>
    <cellStyle name="20% - Accent2 2 2 2 4 4" xfId="9987" xr:uid="{5CF30070-9669-4966-9AAB-3E6B8472B71D}"/>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9C1DE879-15DB-4DFD-8FB8-DDEF2AB0F75E}"/>
    <cellStyle name="20% - Accent2 2 2 2 5 2 3" xfId="12545" xr:uid="{3B552140-C5DD-494E-A5DA-63A5539159BA}"/>
    <cellStyle name="20% - Accent2 2 2 2 5 3" xfId="6168" xr:uid="{00000000-0005-0000-0000-0000B4000000}"/>
    <cellStyle name="20% - Accent2 2 2 2 5 3 2" xfId="14618" xr:uid="{9B745039-3DFC-45D6-93A9-12205E0C2C3C}"/>
    <cellStyle name="20% - Accent2 2 2 2 5 4" xfId="10400" xr:uid="{51CA40C8-3942-43DF-8E96-DBCC53DFF77E}"/>
    <cellStyle name="20% - Accent2 2 2 2 6" xfId="2275" xr:uid="{00000000-0005-0000-0000-0000B5000000}"/>
    <cellStyle name="20% - Accent2 2 2 2 6 2" xfId="6581" xr:uid="{00000000-0005-0000-0000-0000B6000000}"/>
    <cellStyle name="20% - Accent2 2 2 2 6 2 2" xfId="15031" xr:uid="{04A126F0-1873-4573-9CAD-5EEB298E3D75}"/>
    <cellStyle name="20% - Accent2 2 2 2 6 3" xfId="10813" xr:uid="{66A8FB6D-7D62-49BB-BD1D-29BACDB6DE9F}"/>
    <cellStyle name="20% - Accent2 2 2 2 7" xfId="4515" xr:uid="{00000000-0005-0000-0000-0000B7000000}"/>
    <cellStyle name="20% - Accent2 2 2 2 7 2" xfId="12965" xr:uid="{CE723128-B6E1-4145-B4EC-5EFD6D6FDED7}"/>
    <cellStyle name="20% - Accent2 2 2 2 8" xfId="8747" xr:uid="{40E73056-E1E5-486C-9A7D-A69CC81CD167}"/>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885A4E78-8DC1-4B6D-BC35-F0641C16F76D}"/>
    <cellStyle name="20% - Accent2 2 2 3 2 3" xfId="11305" xr:uid="{894685D7-8EF5-49C2-A75E-E55139B890A0}"/>
    <cellStyle name="20% - Accent2 2 2 3 3" xfId="4928" xr:uid="{00000000-0005-0000-0000-0000BB000000}"/>
    <cellStyle name="20% - Accent2 2 2 3 3 2" xfId="13378" xr:uid="{659DF233-E16F-4CCB-B84B-844AAD7E6762}"/>
    <cellStyle name="20% - Accent2 2 2 3 4" xfId="9160" xr:uid="{EA362708-2903-440B-887A-8380FDD08228}"/>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8697FA8E-BF3D-4874-AEA1-A1FE8183CB82}"/>
    <cellStyle name="20% - Accent2 2 2 4 2 3" xfId="11718" xr:uid="{01703AFC-79B2-4339-BD0B-FFC5379798D0}"/>
    <cellStyle name="20% - Accent2 2 2 4 3" xfId="5341" xr:uid="{00000000-0005-0000-0000-0000BF000000}"/>
    <cellStyle name="20% - Accent2 2 2 4 3 2" xfId="13791" xr:uid="{A25B99D2-4823-4FBC-885A-04F03BB36C7D}"/>
    <cellStyle name="20% - Accent2 2 2 4 4" xfId="9573" xr:uid="{4788DE83-7DF1-4488-A697-255D078F1F95}"/>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51D85A70-E77E-492C-94DD-0F549665EFDD}"/>
    <cellStyle name="20% - Accent2 2 2 5 2 3" xfId="12131" xr:uid="{79957536-002B-47FC-A0BB-691912CD84FF}"/>
    <cellStyle name="20% - Accent2 2 2 5 3" xfId="5754" xr:uid="{00000000-0005-0000-0000-0000C3000000}"/>
    <cellStyle name="20% - Accent2 2 2 5 3 2" xfId="14204" xr:uid="{DB8D2C82-FE34-430C-A846-E6867D686259}"/>
    <cellStyle name="20% - Accent2 2 2 5 4" xfId="9986" xr:uid="{9C5C6EC0-727F-4393-B379-C10B8C083C2F}"/>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61DAEE52-C676-4743-917E-5699A38890A8}"/>
    <cellStyle name="20% - Accent2 2 2 6 2 3" xfId="12544" xr:uid="{CB3F7972-D961-4E90-9A22-9AFA7E7E2DF6}"/>
    <cellStyle name="20% - Accent2 2 2 6 3" xfId="6167" xr:uid="{00000000-0005-0000-0000-0000C7000000}"/>
    <cellStyle name="20% - Accent2 2 2 6 3 2" xfId="14617" xr:uid="{0D5174B9-6869-4C51-90C3-2DFA973349A7}"/>
    <cellStyle name="20% - Accent2 2 2 6 4" xfId="10399" xr:uid="{536A32CB-FCCC-4CEC-BB00-5711B5538104}"/>
    <cellStyle name="20% - Accent2 2 2 7" xfId="2274" xr:uid="{00000000-0005-0000-0000-0000C8000000}"/>
    <cellStyle name="20% - Accent2 2 2 7 2" xfId="6580" xr:uid="{00000000-0005-0000-0000-0000C9000000}"/>
    <cellStyle name="20% - Accent2 2 2 7 2 2" xfId="15030" xr:uid="{4928423B-6B45-47AF-B06B-0703708E2138}"/>
    <cellStyle name="20% - Accent2 2 2 7 3" xfId="10812" xr:uid="{C1DC8B4E-E820-4C01-B00E-DC37D0CC39C8}"/>
    <cellStyle name="20% - Accent2 2 2 8" xfId="4514" xr:uid="{00000000-0005-0000-0000-0000CA000000}"/>
    <cellStyle name="20% - Accent2 2 2 8 2" xfId="12964" xr:uid="{7B1B77EC-A44D-479C-84ED-3BE26D4FC573}"/>
    <cellStyle name="20% - Accent2 2 2 9" xfId="8746" xr:uid="{9525468F-C1B3-4003-BDCD-C96C86CEADD7}"/>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0B51317F-E9A2-4C5D-936B-D1EE5239CCC8}"/>
    <cellStyle name="20% - Accent2 2 3 2 2 3" xfId="11307" xr:uid="{216324DE-A082-428A-8760-081B1A55694F}"/>
    <cellStyle name="20% - Accent2 2 3 2 3" xfId="4930" xr:uid="{00000000-0005-0000-0000-0000CF000000}"/>
    <cellStyle name="20% - Accent2 2 3 2 3 2" xfId="13380" xr:uid="{2EC04A1D-6788-4C3D-B77B-EFADC6AE0D6C}"/>
    <cellStyle name="20% - Accent2 2 3 2 4" xfId="9162" xr:uid="{0EED79BB-2F82-47F3-A1D0-A14BAB08EA1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5F61163D-60DB-48F7-A9BF-DB78AA31E482}"/>
    <cellStyle name="20% - Accent2 2 3 3 2 3" xfId="11720" xr:uid="{1494C9C5-E10C-4C58-B6EC-1A0F3876159E}"/>
    <cellStyle name="20% - Accent2 2 3 3 3" xfId="5343" xr:uid="{00000000-0005-0000-0000-0000D3000000}"/>
    <cellStyle name="20% - Accent2 2 3 3 3 2" xfId="13793" xr:uid="{38F30DE5-5079-48DD-9195-8850F45F36DB}"/>
    <cellStyle name="20% - Accent2 2 3 3 4" xfId="9575" xr:uid="{9DB5B7B5-56C3-41BD-925C-5E2D4AB20B6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9A2037DA-92E0-4431-A52E-BF3682B10027}"/>
    <cellStyle name="20% - Accent2 2 3 4 2 3" xfId="12133" xr:uid="{D9590C53-2428-49EA-9121-A77F920911D7}"/>
    <cellStyle name="20% - Accent2 2 3 4 3" xfId="5756" xr:uid="{00000000-0005-0000-0000-0000D7000000}"/>
    <cellStyle name="20% - Accent2 2 3 4 3 2" xfId="14206" xr:uid="{3507DC02-0B8B-46C6-9BCE-BCD2B3D5A958}"/>
    <cellStyle name="20% - Accent2 2 3 4 4" xfId="9988" xr:uid="{51699CFA-68FE-4E9A-A1D2-8274E120FCD4}"/>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0242265B-E5D2-418B-97FF-BBA1B66E851A}"/>
    <cellStyle name="20% - Accent2 2 3 5 2 3" xfId="12546" xr:uid="{B484AEA5-F671-460A-B063-843A7513EAB5}"/>
    <cellStyle name="20% - Accent2 2 3 5 3" xfId="6169" xr:uid="{00000000-0005-0000-0000-0000DB000000}"/>
    <cellStyle name="20% - Accent2 2 3 5 3 2" xfId="14619" xr:uid="{D072E1F6-32E4-43C0-8D1A-BF511B9DE5E5}"/>
    <cellStyle name="20% - Accent2 2 3 5 4" xfId="10401" xr:uid="{73C430A7-EFF6-4452-A433-33B1D48DAD71}"/>
    <cellStyle name="20% - Accent2 2 3 6" xfId="2276" xr:uid="{00000000-0005-0000-0000-0000DC000000}"/>
    <cellStyle name="20% - Accent2 2 3 6 2" xfId="6582" xr:uid="{00000000-0005-0000-0000-0000DD000000}"/>
    <cellStyle name="20% - Accent2 2 3 6 2 2" xfId="15032" xr:uid="{CD3A40CC-F350-4D82-84D2-DCC693A19939}"/>
    <cellStyle name="20% - Accent2 2 3 6 3" xfId="10814" xr:uid="{20CAAF2F-62C4-4E2B-9A33-F8B2A9F07F3B}"/>
    <cellStyle name="20% - Accent2 2 3 7" xfId="4516" xr:uid="{00000000-0005-0000-0000-0000DE000000}"/>
    <cellStyle name="20% - Accent2 2 3 7 2" xfId="12966" xr:uid="{D3FA8C41-ECD7-4AF5-A048-A8FF94F959FF}"/>
    <cellStyle name="20% - Accent2 2 3 8" xfId="8748" xr:uid="{A8A7BC11-3284-49E1-AA1F-F688D60449D8}"/>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1B4664AE-B4C7-4F08-90C4-49C257F146DF}"/>
    <cellStyle name="20% - Accent2 2 4 2 3" xfId="11304" xr:uid="{C13D8A3E-5E9B-4105-9F89-91F0FB205EFA}"/>
    <cellStyle name="20% - Accent2 2 4 3" xfId="4927" xr:uid="{00000000-0005-0000-0000-0000E2000000}"/>
    <cellStyle name="20% - Accent2 2 4 3 2" xfId="13377" xr:uid="{EE5E1911-2D07-44D7-9EA0-68AA036DD02B}"/>
    <cellStyle name="20% - Accent2 2 4 4" xfId="9159" xr:uid="{D6879930-24C6-4CFE-9640-0952E9A66A0E}"/>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C97B789E-8C0F-46EE-8C90-2CCF046F4049}"/>
    <cellStyle name="20% - Accent2 2 5 2 3" xfId="11717" xr:uid="{07C72CAB-173C-4305-8730-6D4BF6F01B76}"/>
    <cellStyle name="20% - Accent2 2 5 3" xfId="5340" xr:uid="{00000000-0005-0000-0000-0000E6000000}"/>
    <cellStyle name="20% - Accent2 2 5 3 2" xfId="13790" xr:uid="{A97BF4A4-FF43-4597-9499-0A7D1E007BFD}"/>
    <cellStyle name="20% - Accent2 2 5 4" xfId="9572" xr:uid="{E0D3725B-BCF6-489E-8CBB-598BC42FD7CF}"/>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88CADAA7-96E4-412E-A4A9-A9651E6EBA8F}"/>
    <cellStyle name="20% - Accent2 2 6 2 3" xfId="12130" xr:uid="{D13E4807-0BF2-49A8-B262-C2C48C660329}"/>
    <cellStyle name="20% - Accent2 2 6 3" xfId="5753" xr:uid="{00000000-0005-0000-0000-0000EA000000}"/>
    <cellStyle name="20% - Accent2 2 6 3 2" xfId="14203" xr:uid="{7C9DEED6-1A28-436A-889C-F5CB3BACBA78}"/>
    <cellStyle name="20% - Accent2 2 6 4" xfId="9985" xr:uid="{14F07EE1-FD09-495E-BF83-CEA3EFD8C5CC}"/>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2DB55E1A-EB50-4A48-BEAF-CB2A1CEB0C85}"/>
    <cellStyle name="20% - Accent2 2 7 2 3" xfId="12543" xr:uid="{BE7BA122-5CEE-4D83-B9D1-BF2F9D36DA3D}"/>
    <cellStyle name="20% - Accent2 2 7 3" xfId="6166" xr:uid="{00000000-0005-0000-0000-0000EE000000}"/>
    <cellStyle name="20% - Accent2 2 7 3 2" xfId="14616" xr:uid="{D21448CE-345F-4EA5-8AD9-CDEA03A5CB64}"/>
    <cellStyle name="20% - Accent2 2 7 4" xfId="10398" xr:uid="{B58912E2-952F-4028-854E-FB372594322B}"/>
    <cellStyle name="20% - Accent2 2 8" xfId="2273" xr:uid="{00000000-0005-0000-0000-0000EF000000}"/>
    <cellStyle name="20% - Accent2 2 8 2" xfId="6579" xr:uid="{00000000-0005-0000-0000-0000F0000000}"/>
    <cellStyle name="20% - Accent2 2 8 2 2" xfId="15029" xr:uid="{1AFD48C8-39A7-4CA1-BFE6-FB4204B780C2}"/>
    <cellStyle name="20% - Accent2 2 8 3" xfId="10811" xr:uid="{C74C8CF4-0C3B-4F86-8ABE-87EF0C071B07}"/>
    <cellStyle name="20% - Accent2 2 9" xfId="4513" xr:uid="{00000000-0005-0000-0000-0000F1000000}"/>
    <cellStyle name="20% - Accent2 2 9 2" xfId="12963" xr:uid="{137CDFF4-1814-4EA3-A16A-1B9C40F97D97}"/>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BCD61D25-6191-44DF-A69D-477FB85EB903}"/>
    <cellStyle name="20% - Accent2 3 2 2 2 3" xfId="11309" xr:uid="{17FBCC5C-2CD0-462B-8A7A-8E7F3AB3661E}"/>
    <cellStyle name="20% - Accent2 3 2 2 3" xfId="4932" xr:uid="{00000000-0005-0000-0000-0000F7000000}"/>
    <cellStyle name="20% - Accent2 3 2 2 3 2" xfId="13382" xr:uid="{2631DE7C-5478-4CAE-A09B-DCBB6CD369B6}"/>
    <cellStyle name="20% - Accent2 3 2 2 4" xfId="9164" xr:uid="{1FB36A22-C80B-4333-8F79-8391E4E5F80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975F7FF1-6F88-49E9-BF1C-52CA4B626750}"/>
    <cellStyle name="20% - Accent2 3 2 3 2 3" xfId="11722" xr:uid="{E6B42304-7B12-4D7A-85E9-1CD75B475FAA}"/>
    <cellStyle name="20% - Accent2 3 2 3 3" xfId="5345" xr:uid="{00000000-0005-0000-0000-0000FB000000}"/>
    <cellStyle name="20% - Accent2 3 2 3 3 2" xfId="13795" xr:uid="{6F81B2F3-7EDA-4C8F-BE1F-854586E6F8B7}"/>
    <cellStyle name="20% - Accent2 3 2 3 4" xfId="9577" xr:uid="{02C7C104-4469-4D9C-A71A-2E81D53DAEE8}"/>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E5C4FA31-B196-4AE8-A25B-CA236E5286A5}"/>
    <cellStyle name="20% - Accent2 3 2 4 2 3" xfId="12135" xr:uid="{E83EC385-263C-471A-9282-2787C59382F2}"/>
    <cellStyle name="20% - Accent2 3 2 4 3" xfId="5758" xr:uid="{00000000-0005-0000-0000-0000FF000000}"/>
    <cellStyle name="20% - Accent2 3 2 4 3 2" xfId="14208" xr:uid="{197B1040-69AF-4F76-8BA3-603997EE0AD9}"/>
    <cellStyle name="20% - Accent2 3 2 4 4" xfId="9990" xr:uid="{894F42C4-B71B-4454-A109-56B994A632C5}"/>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7A81CF78-392E-4556-BE01-91CF12106238}"/>
    <cellStyle name="20% - Accent2 3 2 5 2 3" xfId="12548" xr:uid="{768C37BF-D7C5-4154-82FA-3BAE4EA13E85}"/>
    <cellStyle name="20% - Accent2 3 2 5 3" xfId="6171" xr:uid="{00000000-0005-0000-0000-000003010000}"/>
    <cellStyle name="20% - Accent2 3 2 5 3 2" xfId="14621" xr:uid="{4F1A248D-0743-4418-A543-110D8FEB7281}"/>
    <cellStyle name="20% - Accent2 3 2 5 4" xfId="10403" xr:uid="{7E808FC7-E35B-4F61-BBBA-807D247D84BB}"/>
    <cellStyle name="20% - Accent2 3 2 6" xfId="2278" xr:uid="{00000000-0005-0000-0000-000004010000}"/>
    <cellStyle name="20% - Accent2 3 2 6 2" xfId="6584" xr:uid="{00000000-0005-0000-0000-000005010000}"/>
    <cellStyle name="20% - Accent2 3 2 6 2 2" xfId="15034" xr:uid="{FB20ADCB-5DA6-45AB-B7CA-35D4737ED61C}"/>
    <cellStyle name="20% - Accent2 3 2 6 3" xfId="10816" xr:uid="{B11AB4BB-9407-4790-AC10-044364C83A47}"/>
    <cellStyle name="20% - Accent2 3 2 7" xfId="4518" xr:uid="{00000000-0005-0000-0000-000006010000}"/>
    <cellStyle name="20% - Accent2 3 2 7 2" xfId="12968" xr:uid="{E0A18E90-7042-4210-B823-0A3AAE87B85B}"/>
    <cellStyle name="20% - Accent2 3 2 8" xfId="8750" xr:uid="{A73E1C9D-12B7-44F5-9668-7BCFB1ECB319}"/>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CB8FAD0C-E0EB-42AC-8D30-54D58F4E8242}"/>
    <cellStyle name="20% - Accent2 3 3 2 3" xfId="11308" xr:uid="{7E1C1D87-61D0-401C-BC98-9A8B877B88D2}"/>
    <cellStyle name="20% - Accent2 3 3 3" xfId="4931" xr:uid="{00000000-0005-0000-0000-00000A010000}"/>
    <cellStyle name="20% - Accent2 3 3 3 2" xfId="13381" xr:uid="{44A216D9-6D55-46FD-B02B-88814AE0B884}"/>
    <cellStyle name="20% - Accent2 3 3 4" xfId="9163" xr:uid="{FF62B0CA-D1E4-4130-8B27-4C6304EC525D}"/>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2A345603-D505-49C5-B685-F62D09E66447}"/>
    <cellStyle name="20% - Accent2 3 4 2 3" xfId="11721" xr:uid="{7EEE8E20-77B4-4DD4-96B6-314921F41A39}"/>
    <cellStyle name="20% - Accent2 3 4 3" xfId="5344" xr:uid="{00000000-0005-0000-0000-00000E010000}"/>
    <cellStyle name="20% - Accent2 3 4 3 2" xfId="13794" xr:uid="{4A7B28F3-7E70-4030-9A47-A3ED92A0B40C}"/>
    <cellStyle name="20% - Accent2 3 4 4" xfId="9576" xr:uid="{DEC90D6A-F0C2-4090-80A4-22EFC5E1212E}"/>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8BE382F3-771E-4CA0-B837-0B2B2B4042BB}"/>
    <cellStyle name="20% - Accent2 3 5 2 3" xfId="12134" xr:uid="{4FDDA97D-F946-481D-BD14-ABBF822869C1}"/>
    <cellStyle name="20% - Accent2 3 5 3" xfId="5757" xr:uid="{00000000-0005-0000-0000-000012010000}"/>
    <cellStyle name="20% - Accent2 3 5 3 2" xfId="14207" xr:uid="{F3C1FC12-B75F-4703-9321-7265690581E7}"/>
    <cellStyle name="20% - Accent2 3 5 4" xfId="9989" xr:uid="{6EE7EB0F-E12A-456D-9AB6-AD81965EE012}"/>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D621A6F0-3993-4F80-882E-3FE93250F2C5}"/>
    <cellStyle name="20% - Accent2 3 6 2 3" xfId="12547" xr:uid="{0ADEEB78-B340-42B2-8FD5-8ABA50A1C82B}"/>
    <cellStyle name="20% - Accent2 3 6 3" xfId="6170" xr:uid="{00000000-0005-0000-0000-000016010000}"/>
    <cellStyle name="20% - Accent2 3 6 3 2" xfId="14620" xr:uid="{1009805B-2E50-429E-979D-8E2A7973E6CD}"/>
    <cellStyle name="20% - Accent2 3 6 4" xfId="10402" xr:uid="{B310FA84-5400-48AE-93E6-F3630FCDECFB}"/>
    <cellStyle name="20% - Accent2 3 7" xfId="2277" xr:uid="{00000000-0005-0000-0000-000017010000}"/>
    <cellStyle name="20% - Accent2 3 7 2" xfId="6583" xr:uid="{00000000-0005-0000-0000-000018010000}"/>
    <cellStyle name="20% - Accent2 3 7 2 2" xfId="15033" xr:uid="{51CAB0A8-6581-405F-B8B7-0CCA3E281F81}"/>
    <cellStyle name="20% - Accent2 3 7 3" xfId="10815" xr:uid="{76303AAE-225F-4E71-9916-0EA28374F449}"/>
    <cellStyle name="20% - Accent2 3 8" xfId="4517" xr:uid="{00000000-0005-0000-0000-000019010000}"/>
    <cellStyle name="20% - Accent2 3 8 2" xfId="12967" xr:uid="{D55204FF-D09B-4383-9E05-B574DF1A6BAB}"/>
    <cellStyle name="20% - Accent2 3 9" xfId="8749" xr:uid="{47245CCA-D1CB-47C4-A40A-25FF41C1B004}"/>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229623D3-B4E3-4330-9F31-5323D7C58E55}"/>
    <cellStyle name="20% - Accent2 4 2 2 3" xfId="11310" xr:uid="{5E8EE58A-04C5-41B5-93E9-733115181579}"/>
    <cellStyle name="20% - Accent2 4 2 3" xfId="4933" xr:uid="{00000000-0005-0000-0000-00001E010000}"/>
    <cellStyle name="20% - Accent2 4 2 3 2" xfId="13383" xr:uid="{2076A0A1-2D8E-4314-A470-487029F5F14B}"/>
    <cellStyle name="20% - Accent2 4 2 4" xfId="9165" xr:uid="{92AC84AB-CD7F-46E2-9BD1-1B51BE265FDC}"/>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FA5D26C9-B918-4A30-AD69-3D1CF6201ED5}"/>
    <cellStyle name="20% - Accent2 4 3 2 3" xfId="11723" xr:uid="{19A6A5B8-1B7B-48DF-80EB-5AE5E03DD668}"/>
    <cellStyle name="20% - Accent2 4 3 3" xfId="5346" xr:uid="{00000000-0005-0000-0000-000022010000}"/>
    <cellStyle name="20% - Accent2 4 3 3 2" xfId="13796" xr:uid="{1D54ED79-69BD-43E8-8A44-66925E48D4CD}"/>
    <cellStyle name="20% - Accent2 4 3 4" xfId="9578" xr:uid="{4F95BA58-09A6-4696-8E6B-FF1519F9F1D9}"/>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0356642F-A476-4CF5-AE8C-5E07FA145190}"/>
    <cellStyle name="20% - Accent2 4 4 2 3" xfId="12136" xr:uid="{65E45D5A-6CB6-47E5-A46D-79645FE5EEAB}"/>
    <cellStyle name="20% - Accent2 4 4 3" xfId="5759" xr:uid="{00000000-0005-0000-0000-000026010000}"/>
    <cellStyle name="20% - Accent2 4 4 3 2" xfId="14209" xr:uid="{5E6C8D7B-D980-4D6D-A641-AA9045CC7B3B}"/>
    <cellStyle name="20% - Accent2 4 4 4" xfId="9991" xr:uid="{0BEFC574-4E7F-4638-9EEE-0041928092A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0FE803E1-DA0E-4DC8-9A78-D0E7267F635E}"/>
    <cellStyle name="20% - Accent2 4 5 2 3" xfId="12549" xr:uid="{E02084CE-456B-41DE-9779-423E83F48870}"/>
    <cellStyle name="20% - Accent2 4 5 3" xfId="6172" xr:uid="{00000000-0005-0000-0000-00002A010000}"/>
    <cellStyle name="20% - Accent2 4 5 3 2" xfId="14622" xr:uid="{311FE91B-15CE-4E2C-82E6-408A6DB3CCAA}"/>
    <cellStyle name="20% - Accent2 4 5 4" xfId="10404" xr:uid="{7A42CCD5-0590-4484-825B-8DC7E0C7F834}"/>
    <cellStyle name="20% - Accent2 4 6" xfId="2279" xr:uid="{00000000-0005-0000-0000-00002B010000}"/>
    <cellStyle name="20% - Accent2 4 6 2" xfId="6585" xr:uid="{00000000-0005-0000-0000-00002C010000}"/>
    <cellStyle name="20% - Accent2 4 6 2 2" xfId="15035" xr:uid="{6DA650A2-4BD8-4339-BB12-A4A910CD30F0}"/>
    <cellStyle name="20% - Accent2 4 6 3" xfId="10817" xr:uid="{A9B31C36-B926-4393-9AF3-D6E5F9D27E8A}"/>
    <cellStyle name="20% - Accent2 4 7" xfId="4519" xr:uid="{00000000-0005-0000-0000-00002D010000}"/>
    <cellStyle name="20% - Accent2 4 7 2" xfId="12969" xr:uid="{8A2D8761-B834-4ADE-98D7-EAAEC6E0CB1C}"/>
    <cellStyle name="20% - Accent2 4 8" xfId="8751" xr:uid="{B18F3953-E498-46CB-BC98-F806F6C7A04A}"/>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ED3B842E-3E41-461B-A67F-2680CE1A0F33}"/>
    <cellStyle name="20% - Accent2 5 2 3" xfId="11303" xr:uid="{B5FEB1E5-7F45-400D-87D4-6C62F2E61DE0}"/>
    <cellStyle name="20% - Accent2 5 3" xfId="4926" xr:uid="{00000000-0005-0000-0000-000031010000}"/>
    <cellStyle name="20% - Accent2 5 3 2" xfId="13376" xr:uid="{90412C19-B9D0-4CE5-80D2-A09BBC6BE24A}"/>
    <cellStyle name="20% - Accent2 5 4" xfId="9158" xr:uid="{BAD73F26-C4D4-4F80-ABD6-A7DB0292BCC6}"/>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F7079DEA-0DD6-4EA7-80F4-C31C79C83EA2}"/>
    <cellStyle name="20% - Accent2 6 2 3" xfId="11716" xr:uid="{7F3CFB12-4892-4DCB-98BC-7CAB49F809BF}"/>
    <cellStyle name="20% - Accent2 6 3" xfId="5339" xr:uid="{00000000-0005-0000-0000-000035010000}"/>
    <cellStyle name="20% - Accent2 6 3 2" xfId="13789" xr:uid="{DCCCE100-A53D-4765-B2F8-6BB0B91147CB}"/>
    <cellStyle name="20% - Accent2 6 4" xfId="9571" xr:uid="{A7B66CBC-2FDD-47C1-B5C6-36BAB1BCD853}"/>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6E381042-D8D5-47C6-9EE9-647B63B492CE}"/>
    <cellStyle name="20% - Accent2 7 2 3" xfId="12129" xr:uid="{99BF8197-336A-4249-BCA2-6E31AF774FB5}"/>
    <cellStyle name="20% - Accent2 7 3" xfId="5752" xr:uid="{00000000-0005-0000-0000-000039010000}"/>
    <cellStyle name="20% - Accent2 7 3 2" xfId="14202" xr:uid="{3648883D-EDF4-4A7D-9A3A-83F89AA2F4E3}"/>
    <cellStyle name="20% - Accent2 7 4" xfId="9984" xr:uid="{1DFB0AF2-F9F1-4707-B9D8-7BBB00C585FC}"/>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FC88BF26-5D3A-474F-958A-9F5713490784}"/>
    <cellStyle name="20% - Accent2 8 2 3" xfId="12542" xr:uid="{3488CBA0-24EE-487B-AAB1-E65BD7244F89}"/>
    <cellStyle name="20% - Accent2 8 3" xfId="6165" xr:uid="{00000000-0005-0000-0000-00003D010000}"/>
    <cellStyle name="20% - Accent2 8 3 2" xfId="14615" xr:uid="{DD5AE631-BAED-48F7-96CE-BCC967015C68}"/>
    <cellStyle name="20% - Accent2 8 4" xfId="10397" xr:uid="{008402CC-9873-4910-84C9-4CF21235356A}"/>
    <cellStyle name="20% - Accent2 9" xfId="2272" xr:uid="{00000000-0005-0000-0000-00003E010000}"/>
    <cellStyle name="20% - Accent2 9 2" xfId="6578" xr:uid="{00000000-0005-0000-0000-00003F010000}"/>
    <cellStyle name="20% - Accent2 9 2 2" xfId="15028" xr:uid="{709BC905-B529-4434-8B86-13CFFCF05382}"/>
    <cellStyle name="20% - Accent2 9 3" xfId="10810" xr:uid="{799269A2-BE11-44A9-AF64-A855D3AAF3AF}"/>
    <cellStyle name="20% - Accent3" xfId="17" builtinId="38" customBuiltin="1"/>
    <cellStyle name="20% - Accent3 10" xfId="4520" xr:uid="{00000000-0005-0000-0000-000041010000}"/>
    <cellStyle name="20% - Accent3 10 2" xfId="12970" xr:uid="{4DB4832D-EF2F-4EB0-AC00-6C9BBB0AD2E7}"/>
    <cellStyle name="20% - Accent3 11" xfId="8752" xr:uid="{49DFAE39-5FB0-4DA1-B8F9-F2DD9221DE64}"/>
    <cellStyle name="20% - Accent3 2" xfId="18" xr:uid="{00000000-0005-0000-0000-000042010000}"/>
    <cellStyle name="20% - Accent3 2 10" xfId="8753" xr:uid="{803021DA-D01A-42C6-86F0-DD3DF6DAF64C}"/>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465D02C9-14F0-4595-BDAC-E7B451376348}"/>
    <cellStyle name="20% - Accent3 2 2 2 2 2 3" xfId="11314" xr:uid="{40F9049F-9909-468E-9138-0413FF6F6396}"/>
    <cellStyle name="20% - Accent3 2 2 2 2 3" xfId="4937" xr:uid="{00000000-0005-0000-0000-000048010000}"/>
    <cellStyle name="20% - Accent3 2 2 2 2 3 2" xfId="13387" xr:uid="{64F845CC-F45F-44B3-901F-0008A1074D92}"/>
    <cellStyle name="20% - Accent3 2 2 2 2 4" xfId="9169" xr:uid="{82BD2BA0-3405-4821-BAFC-BC14326AF37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0DF7D83C-8616-4359-B057-60ECC0CB3463}"/>
    <cellStyle name="20% - Accent3 2 2 2 3 2 3" xfId="11727" xr:uid="{B3E4587E-6A7B-47B3-9193-F1A5CD31FDBF}"/>
    <cellStyle name="20% - Accent3 2 2 2 3 3" xfId="5350" xr:uid="{00000000-0005-0000-0000-00004C010000}"/>
    <cellStyle name="20% - Accent3 2 2 2 3 3 2" xfId="13800" xr:uid="{1F4A9F38-9686-4546-83EF-24586573A924}"/>
    <cellStyle name="20% - Accent3 2 2 2 3 4" xfId="9582" xr:uid="{34FAB278-9189-4F52-9205-F845B6CDA17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0D819DD6-580A-4383-907B-69D70AB97D9A}"/>
    <cellStyle name="20% - Accent3 2 2 2 4 2 3" xfId="12140" xr:uid="{0C38302E-4E34-4CE9-ACA2-9C0967D107FB}"/>
    <cellStyle name="20% - Accent3 2 2 2 4 3" xfId="5763" xr:uid="{00000000-0005-0000-0000-000050010000}"/>
    <cellStyle name="20% - Accent3 2 2 2 4 3 2" xfId="14213" xr:uid="{4A7BA6C8-422A-4895-A764-54C2FF3ED788}"/>
    <cellStyle name="20% - Accent3 2 2 2 4 4" xfId="9995" xr:uid="{6E3E9FFE-D13B-46A8-A93D-CA0DD57C752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7C4B34BA-9869-468F-8785-AAC23082EF5E}"/>
    <cellStyle name="20% - Accent3 2 2 2 5 2 3" xfId="12553" xr:uid="{31D154E1-1C7D-4058-B2E7-F2D952492D04}"/>
    <cellStyle name="20% - Accent3 2 2 2 5 3" xfId="6176" xr:uid="{00000000-0005-0000-0000-000054010000}"/>
    <cellStyle name="20% - Accent3 2 2 2 5 3 2" xfId="14626" xr:uid="{A26C5838-78B8-42A6-BA3A-E180E2594329}"/>
    <cellStyle name="20% - Accent3 2 2 2 5 4" xfId="10408" xr:uid="{6AB48734-D696-4B11-AD90-B3D23F616C73}"/>
    <cellStyle name="20% - Accent3 2 2 2 6" xfId="2283" xr:uid="{00000000-0005-0000-0000-000055010000}"/>
    <cellStyle name="20% - Accent3 2 2 2 6 2" xfId="6589" xr:uid="{00000000-0005-0000-0000-000056010000}"/>
    <cellStyle name="20% - Accent3 2 2 2 6 2 2" xfId="15039" xr:uid="{C0C83223-EAAF-41A1-8C68-FCA14618357D}"/>
    <cellStyle name="20% - Accent3 2 2 2 6 3" xfId="10821" xr:uid="{025926A7-22E0-4ED2-9428-4A46022468D0}"/>
    <cellStyle name="20% - Accent3 2 2 2 7" xfId="4523" xr:uid="{00000000-0005-0000-0000-000057010000}"/>
    <cellStyle name="20% - Accent3 2 2 2 7 2" xfId="12973" xr:uid="{EE814749-8C1C-4B81-B9E5-335C6118BB75}"/>
    <cellStyle name="20% - Accent3 2 2 2 8" xfId="8755" xr:uid="{72340D25-3BFB-4765-8472-2075612ED971}"/>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C179B3DD-3ADE-4E2D-91E9-20FBB5A77678}"/>
    <cellStyle name="20% - Accent3 2 2 3 2 3" xfId="11313" xr:uid="{92ED4CB8-E082-431A-A99F-9C552E339D29}"/>
    <cellStyle name="20% - Accent3 2 2 3 3" xfId="4936" xr:uid="{00000000-0005-0000-0000-00005B010000}"/>
    <cellStyle name="20% - Accent3 2 2 3 3 2" xfId="13386" xr:uid="{5C7167AD-98E3-4C9E-B090-4BD71C675D2B}"/>
    <cellStyle name="20% - Accent3 2 2 3 4" xfId="9168" xr:uid="{F6EF74CE-6274-47FE-91C3-105002E05E18}"/>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B70C2D32-038E-4E3C-9462-94C337BD4545}"/>
    <cellStyle name="20% - Accent3 2 2 4 2 3" xfId="11726" xr:uid="{45308825-088B-4032-82F3-9CA7BE8B1FC5}"/>
    <cellStyle name="20% - Accent3 2 2 4 3" xfId="5349" xr:uid="{00000000-0005-0000-0000-00005F010000}"/>
    <cellStyle name="20% - Accent3 2 2 4 3 2" xfId="13799" xr:uid="{8008F283-C6E3-43E7-BE8D-3579DE5A11EA}"/>
    <cellStyle name="20% - Accent3 2 2 4 4" xfId="9581" xr:uid="{E259E6DE-8583-4982-A26D-E10159288ABA}"/>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51B2A11D-0DCC-473D-8B4A-A0FFD7FD6FA2}"/>
    <cellStyle name="20% - Accent3 2 2 5 2 3" xfId="12139" xr:uid="{2BECBABE-AF4F-49A5-82A1-4A1E5F1910FC}"/>
    <cellStyle name="20% - Accent3 2 2 5 3" xfId="5762" xr:uid="{00000000-0005-0000-0000-000063010000}"/>
    <cellStyle name="20% - Accent3 2 2 5 3 2" xfId="14212" xr:uid="{1CA3D785-7446-4597-9F21-AD659E7CF563}"/>
    <cellStyle name="20% - Accent3 2 2 5 4" xfId="9994" xr:uid="{FB938EB5-CD47-40A0-861E-40999610CF5A}"/>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F1CEFD89-ABD1-4FA7-B7F2-EBC85C0CAA2E}"/>
    <cellStyle name="20% - Accent3 2 2 6 2 3" xfId="12552" xr:uid="{D06A546C-CB89-4775-9811-583ACADCC62A}"/>
    <cellStyle name="20% - Accent3 2 2 6 3" xfId="6175" xr:uid="{00000000-0005-0000-0000-000067010000}"/>
    <cellStyle name="20% - Accent3 2 2 6 3 2" xfId="14625" xr:uid="{2259C51E-EA34-4256-9D92-417649249279}"/>
    <cellStyle name="20% - Accent3 2 2 6 4" xfId="10407" xr:uid="{E10E0C52-17F7-49D2-9B6F-E87CAACCF84A}"/>
    <cellStyle name="20% - Accent3 2 2 7" xfId="2282" xr:uid="{00000000-0005-0000-0000-000068010000}"/>
    <cellStyle name="20% - Accent3 2 2 7 2" xfId="6588" xr:uid="{00000000-0005-0000-0000-000069010000}"/>
    <cellStyle name="20% - Accent3 2 2 7 2 2" xfId="15038" xr:uid="{7693AABF-84AB-45A0-A430-7C6DDD478757}"/>
    <cellStyle name="20% - Accent3 2 2 7 3" xfId="10820" xr:uid="{00387950-AAAC-4AB3-B026-AD0E9EF54FED}"/>
    <cellStyle name="20% - Accent3 2 2 8" xfId="4522" xr:uid="{00000000-0005-0000-0000-00006A010000}"/>
    <cellStyle name="20% - Accent3 2 2 8 2" xfId="12972" xr:uid="{C9CD6805-BF77-4491-A0F8-C32583B3B140}"/>
    <cellStyle name="20% - Accent3 2 2 9" xfId="8754" xr:uid="{98D44686-14C2-403F-BA49-EFDBD39632AA}"/>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C4F4D716-1CC6-4D93-8306-62D342CD2C05}"/>
    <cellStyle name="20% - Accent3 2 3 2 2 3" xfId="11315" xr:uid="{E50F6183-4014-463C-8E68-7F941F2717F9}"/>
    <cellStyle name="20% - Accent3 2 3 2 3" xfId="4938" xr:uid="{00000000-0005-0000-0000-00006F010000}"/>
    <cellStyle name="20% - Accent3 2 3 2 3 2" xfId="13388" xr:uid="{913D37F3-CE07-4059-9CF8-FF5B024F0700}"/>
    <cellStyle name="20% - Accent3 2 3 2 4" xfId="9170" xr:uid="{33F7A038-FFA5-40A6-ADAD-D1DDA6EA19E5}"/>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F1BB60F8-8F25-43CC-88AC-836546085DC6}"/>
    <cellStyle name="20% - Accent3 2 3 3 2 3" xfId="11728" xr:uid="{EAAACC12-4086-4826-8F98-5A7E61982B1A}"/>
    <cellStyle name="20% - Accent3 2 3 3 3" xfId="5351" xr:uid="{00000000-0005-0000-0000-000073010000}"/>
    <cellStyle name="20% - Accent3 2 3 3 3 2" xfId="13801" xr:uid="{917EC84F-DC50-4DA0-BB86-D69FFAB89589}"/>
    <cellStyle name="20% - Accent3 2 3 3 4" xfId="9583" xr:uid="{FD7DF73A-B21C-49E0-99CE-47811FD80B7A}"/>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9B0ABF44-E52E-45DA-8629-AE83F0EDDE63}"/>
    <cellStyle name="20% - Accent3 2 3 4 2 3" xfId="12141" xr:uid="{EA8B0D7A-B33D-435A-A97F-67A145D8B45C}"/>
    <cellStyle name="20% - Accent3 2 3 4 3" xfId="5764" xr:uid="{00000000-0005-0000-0000-000077010000}"/>
    <cellStyle name="20% - Accent3 2 3 4 3 2" xfId="14214" xr:uid="{9359B0F4-7D43-40E1-A84B-DDC7FBF867A0}"/>
    <cellStyle name="20% - Accent3 2 3 4 4" xfId="9996" xr:uid="{5C5D79BB-59BC-47A7-B3A5-3956B168208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73EF25BE-E59B-4CCD-847D-3E57F7381E3F}"/>
    <cellStyle name="20% - Accent3 2 3 5 2 3" xfId="12554" xr:uid="{687BD71C-4821-47E5-BCC6-5BB97F89A2C4}"/>
    <cellStyle name="20% - Accent3 2 3 5 3" xfId="6177" xr:uid="{00000000-0005-0000-0000-00007B010000}"/>
    <cellStyle name="20% - Accent3 2 3 5 3 2" xfId="14627" xr:uid="{FC66E6F3-E7C7-4B4C-A96B-11828E54FC9C}"/>
    <cellStyle name="20% - Accent3 2 3 5 4" xfId="10409" xr:uid="{1B29CB33-396F-4FC8-B281-DA1FFB1C653A}"/>
    <cellStyle name="20% - Accent3 2 3 6" xfId="2284" xr:uid="{00000000-0005-0000-0000-00007C010000}"/>
    <cellStyle name="20% - Accent3 2 3 6 2" xfId="6590" xr:uid="{00000000-0005-0000-0000-00007D010000}"/>
    <cellStyle name="20% - Accent3 2 3 6 2 2" xfId="15040" xr:uid="{C3679ED6-F487-4CC3-BED3-5FBE978A3D9C}"/>
    <cellStyle name="20% - Accent3 2 3 6 3" xfId="10822" xr:uid="{5F1EA96A-822C-40AF-AE28-6D4CB0147E41}"/>
    <cellStyle name="20% - Accent3 2 3 7" xfId="4524" xr:uid="{00000000-0005-0000-0000-00007E010000}"/>
    <cellStyle name="20% - Accent3 2 3 7 2" xfId="12974" xr:uid="{1416052C-FCDA-400C-AE02-FF397264EBBD}"/>
    <cellStyle name="20% - Accent3 2 3 8" xfId="8756" xr:uid="{2DFDBD8E-E00F-4EBD-83BA-85017CE84374}"/>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F1933B9E-6AD1-4C89-BBD5-395A0B57584E}"/>
    <cellStyle name="20% - Accent3 2 4 2 3" xfId="11312" xr:uid="{F714DA4A-C8FE-46CB-ABEF-BA2CE0D72522}"/>
    <cellStyle name="20% - Accent3 2 4 3" xfId="4935" xr:uid="{00000000-0005-0000-0000-000082010000}"/>
    <cellStyle name="20% - Accent3 2 4 3 2" xfId="13385" xr:uid="{CE430404-19B7-4143-A8B3-58562C0468FD}"/>
    <cellStyle name="20% - Accent3 2 4 4" xfId="9167" xr:uid="{FC72D359-A8F9-4772-B1AA-65F3A17F2F33}"/>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BAF94F6B-4288-461F-BA0F-51F678B3BFF8}"/>
    <cellStyle name="20% - Accent3 2 5 2 3" xfId="11725" xr:uid="{99ABD68F-BDB0-439C-89A2-71B8E10285D6}"/>
    <cellStyle name="20% - Accent3 2 5 3" xfId="5348" xr:uid="{00000000-0005-0000-0000-000086010000}"/>
    <cellStyle name="20% - Accent3 2 5 3 2" xfId="13798" xr:uid="{F578CCB0-D099-4240-B89D-CA733AC41F1D}"/>
    <cellStyle name="20% - Accent3 2 5 4" xfId="9580" xr:uid="{4FD471A4-2187-4391-B95B-11510A5E759A}"/>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54DFE819-B971-4A8A-9ADD-27315853DC7F}"/>
    <cellStyle name="20% - Accent3 2 6 2 3" xfId="12138" xr:uid="{1C8A4C47-0007-41C9-98BF-521569901D90}"/>
    <cellStyle name="20% - Accent3 2 6 3" xfId="5761" xr:uid="{00000000-0005-0000-0000-00008A010000}"/>
    <cellStyle name="20% - Accent3 2 6 3 2" xfId="14211" xr:uid="{55F58513-70BE-4944-9454-696206B4AFAC}"/>
    <cellStyle name="20% - Accent3 2 6 4" xfId="9993" xr:uid="{1D2863B3-D214-4056-AA38-4DE133A42187}"/>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E3108291-0F75-4720-9301-7A0DA3E5A5C9}"/>
    <cellStyle name="20% - Accent3 2 7 2 3" xfId="12551" xr:uid="{E8297873-967D-40EF-BFED-C589FC73E18E}"/>
    <cellStyle name="20% - Accent3 2 7 3" xfId="6174" xr:uid="{00000000-0005-0000-0000-00008E010000}"/>
    <cellStyle name="20% - Accent3 2 7 3 2" xfId="14624" xr:uid="{62CC2D3C-1A7E-4BB6-BD2A-F41AD8C553EE}"/>
    <cellStyle name="20% - Accent3 2 7 4" xfId="10406" xr:uid="{4A3DD3FD-9324-4F28-91D3-F0D59E7EACE8}"/>
    <cellStyle name="20% - Accent3 2 8" xfId="2281" xr:uid="{00000000-0005-0000-0000-00008F010000}"/>
    <cellStyle name="20% - Accent3 2 8 2" xfId="6587" xr:uid="{00000000-0005-0000-0000-000090010000}"/>
    <cellStyle name="20% - Accent3 2 8 2 2" xfId="15037" xr:uid="{6992F3A9-D749-44C9-9445-6E8631C48A6B}"/>
    <cellStyle name="20% - Accent3 2 8 3" xfId="10819" xr:uid="{113C2048-111C-4E03-8716-D62195452DEC}"/>
    <cellStyle name="20% - Accent3 2 9" xfId="4521" xr:uid="{00000000-0005-0000-0000-000091010000}"/>
    <cellStyle name="20% - Accent3 2 9 2" xfId="12971" xr:uid="{15837129-5E18-498F-AD63-601CD36DCEF5}"/>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D915B62C-9439-4C73-B6FF-6915EB3B17FF}"/>
    <cellStyle name="20% - Accent3 3 2 2 2 3" xfId="11317" xr:uid="{87E21232-A220-4975-9DD3-0E1CC0D7E1D0}"/>
    <cellStyle name="20% - Accent3 3 2 2 3" xfId="4940" xr:uid="{00000000-0005-0000-0000-000097010000}"/>
    <cellStyle name="20% - Accent3 3 2 2 3 2" xfId="13390" xr:uid="{836AA843-8DC5-4CE6-B9BD-0D1507A70628}"/>
    <cellStyle name="20% - Accent3 3 2 2 4" xfId="9172" xr:uid="{0F9ECB09-2357-4C0E-B334-20FA52EDBBAF}"/>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15875BCC-23C3-40A4-91C4-90C732B9C535}"/>
    <cellStyle name="20% - Accent3 3 2 3 2 3" xfId="11730" xr:uid="{DD1FFA27-B15C-4FC7-893D-296409F00406}"/>
    <cellStyle name="20% - Accent3 3 2 3 3" xfId="5353" xr:uid="{00000000-0005-0000-0000-00009B010000}"/>
    <cellStyle name="20% - Accent3 3 2 3 3 2" xfId="13803" xr:uid="{948217CD-0ADC-467A-8D1E-E3BAD628B18D}"/>
    <cellStyle name="20% - Accent3 3 2 3 4" xfId="9585" xr:uid="{DAF8255C-F8D3-45C6-9C6E-FA7A1986127B}"/>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5D29DC4E-5E96-4797-8129-5E90263BFF2D}"/>
    <cellStyle name="20% - Accent3 3 2 4 2 3" xfId="12143" xr:uid="{1397D994-FDCC-4441-BDD2-362C95D2DB94}"/>
    <cellStyle name="20% - Accent3 3 2 4 3" xfId="5766" xr:uid="{00000000-0005-0000-0000-00009F010000}"/>
    <cellStyle name="20% - Accent3 3 2 4 3 2" xfId="14216" xr:uid="{6ED16996-4D74-4F2A-8865-F885CF9CDB8B}"/>
    <cellStyle name="20% - Accent3 3 2 4 4" xfId="9998" xr:uid="{F8EE751C-2671-46B9-A5FF-C1B0C342723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D8CE524B-579F-4CE9-AF70-65BF32284EFC}"/>
    <cellStyle name="20% - Accent3 3 2 5 2 3" xfId="12556" xr:uid="{6ADC78D2-62BD-475D-A2B1-EDD56133F401}"/>
    <cellStyle name="20% - Accent3 3 2 5 3" xfId="6179" xr:uid="{00000000-0005-0000-0000-0000A3010000}"/>
    <cellStyle name="20% - Accent3 3 2 5 3 2" xfId="14629" xr:uid="{CFC91C3E-B7CE-43FA-9F63-622A611808F5}"/>
    <cellStyle name="20% - Accent3 3 2 5 4" xfId="10411" xr:uid="{01508A63-8D8F-4079-A8FD-D1CEFCA97431}"/>
    <cellStyle name="20% - Accent3 3 2 6" xfId="2286" xr:uid="{00000000-0005-0000-0000-0000A4010000}"/>
    <cellStyle name="20% - Accent3 3 2 6 2" xfId="6592" xr:uid="{00000000-0005-0000-0000-0000A5010000}"/>
    <cellStyle name="20% - Accent3 3 2 6 2 2" xfId="15042" xr:uid="{07F520AD-FF64-46EC-9BD5-345EAED201E0}"/>
    <cellStyle name="20% - Accent3 3 2 6 3" xfId="10824" xr:uid="{42F07F44-76E1-4983-A523-604B65E09C38}"/>
    <cellStyle name="20% - Accent3 3 2 7" xfId="4526" xr:uid="{00000000-0005-0000-0000-0000A6010000}"/>
    <cellStyle name="20% - Accent3 3 2 7 2" xfId="12976" xr:uid="{83A21CA9-DD2D-4229-8265-79ABA5F8287F}"/>
    <cellStyle name="20% - Accent3 3 2 8" xfId="8758" xr:uid="{60B08358-2619-48CA-8E5F-3BFA8A3DD3FD}"/>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6731E7F8-98C1-4BBA-AFAA-8F330A307E75}"/>
    <cellStyle name="20% - Accent3 3 3 2 3" xfId="11316" xr:uid="{ADD2F79D-9461-4D93-A05D-988086B63834}"/>
    <cellStyle name="20% - Accent3 3 3 3" xfId="4939" xr:uid="{00000000-0005-0000-0000-0000AA010000}"/>
    <cellStyle name="20% - Accent3 3 3 3 2" xfId="13389" xr:uid="{198791E3-61AF-4655-9457-B92D3DA36AB1}"/>
    <cellStyle name="20% - Accent3 3 3 4" xfId="9171" xr:uid="{AAE27081-F901-4BB5-8B21-F4381F3D3073}"/>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ABA15A44-9C3E-4A39-85CE-677E482C42E5}"/>
    <cellStyle name="20% - Accent3 3 4 2 3" xfId="11729" xr:uid="{1861CCA4-16CE-48F3-A7A9-31F536D5E210}"/>
    <cellStyle name="20% - Accent3 3 4 3" xfId="5352" xr:uid="{00000000-0005-0000-0000-0000AE010000}"/>
    <cellStyle name="20% - Accent3 3 4 3 2" xfId="13802" xr:uid="{5071E54A-DB5A-45A5-802C-094A26DF4356}"/>
    <cellStyle name="20% - Accent3 3 4 4" xfId="9584" xr:uid="{B1368DDC-1A8F-4A87-8A31-CC79F2019F21}"/>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D07667CA-BD20-4C94-ABA3-557707E42037}"/>
    <cellStyle name="20% - Accent3 3 5 2 3" xfId="12142" xr:uid="{BA26E25B-C5FC-4945-AEAA-F1AC8B253EF7}"/>
    <cellStyle name="20% - Accent3 3 5 3" xfId="5765" xr:uid="{00000000-0005-0000-0000-0000B2010000}"/>
    <cellStyle name="20% - Accent3 3 5 3 2" xfId="14215" xr:uid="{22B10EF6-3549-4C42-B8C4-EC6D4B8BF1C6}"/>
    <cellStyle name="20% - Accent3 3 5 4" xfId="9997" xr:uid="{4C08B72A-D7EB-4DE7-8A1F-DFE832DEEFC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4DFB9385-41C0-4E2A-8DE1-C51AF8415E44}"/>
    <cellStyle name="20% - Accent3 3 6 2 3" xfId="12555" xr:uid="{F7097F9E-AD23-4F4B-9ECA-77EE6D2C8852}"/>
    <cellStyle name="20% - Accent3 3 6 3" xfId="6178" xr:uid="{00000000-0005-0000-0000-0000B6010000}"/>
    <cellStyle name="20% - Accent3 3 6 3 2" xfId="14628" xr:uid="{D6FEF4CC-6B65-4260-A471-68CBDA245357}"/>
    <cellStyle name="20% - Accent3 3 6 4" xfId="10410" xr:uid="{643EE6F2-640C-43F0-AB98-2288695E7242}"/>
    <cellStyle name="20% - Accent3 3 7" xfId="2285" xr:uid="{00000000-0005-0000-0000-0000B7010000}"/>
    <cellStyle name="20% - Accent3 3 7 2" xfId="6591" xr:uid="{00000000-0005-0000-0000-0000B8010000}"/>
    <cellStyle name="20% - Accent3 3 7 2 2" xfId="15041" xr:uid="{0329793B-3626-46B6-BC8A-079E9F3D1EE6}"/>
    <cellStyle name="20% - Accent3 3 7 3" xfId="10823" xr:uid="{93943AF5-F519-4A3E-AB14-2186CAC02D88}"/>
    <cellStyle name="20% - Accent3 3 8" xfId="4525" xr:uid="{00000000-0005-0000-0000-0000B9010000}"/>
    <cellStyle name="20% - Accent3 3 8 2" xfId="12975" xr:uid="{EA36E8F1-DAEF-4BBD-BE1D-08D51330F7D4}"/>
    <cellStyle name="20% - Accent3 3 9" xfId="8757" xr:uid="{3346354C-D0FB-4E51-9FDB-31E9446767C7}"/>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4CBC1964-9C7D-4592-84F0-4BEF1596309A}"/>
    <cellStyle name="20% - Accent3 4 2 2 3" xfId="11318" xr:uid="{27CFB2C3-A4D5-446C-A90E-5FBA85494A52}"/>
    <cellStyle name="20% - Accent3 4 2 3" xfId="4941" xr:uid="{00000000-0005-0000-0000-0000BE010000}"/>
    <cellStyle name="20% - Accent3 4 2 3 2" xfId="13391" xr:uid="{09906042-6543-45BE-8968-2B6DA04F9722}"/>
    <cellStyle name="20% - Accent3 4 2 4" xfId="9173" xr:uid="{AC83E7EB-CE63-4845-870E-B66D72A552FE}"/>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1B2AAAF0-11E2-449E-A36B-A8C01AAA7AA2}"/>
    <cellStyle name="20% - Accent3 4 3 2 3" xfId="11731" xr:uid="{72F8220A-A22E-47B7-9DD3-E6E80D7668B7}"/>
    <cellStyle name="20% - Accent3 4 3 3" xfId="5354" xr:uid="{00000000-0005-0000-0000-0000C2010000}"/>
    <cellStyle name="20% - Accent3 4 3 3 2" xfId="13804" xr:uid="{02EE11F8-0E5F-42FF-A5B4-4E56F0B009C0}"/>
    <cellStyle name="20% - Accent3 4 3 4" xfId="9586" xr:uid="{F2DF17AF-704D-46F0-83EB-E8C0222576E6}"/>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E43DFC46-949C-47AB-A3C0-861C29E97B10}"/>
    <cellStyle name="20% - Accent3 4 4 2 3" xfId="12144" xr:uid="{0E53AF06-6BC8-4973-8399-A976CE1FFA79}"/>
    <cellStyle name="20% - Accent3 4 4 3" xfId="5767" xr:uid="{00000000-0005-0000-0000-0000C6010000}"/>
    <cellStyle name="20% - Accent3 4 4 3 2" xfId="14217" xr:uid="{DD54D624-58FC-4B80-AF05-1201FD060FC5}"/>
    <cellStyle name="20% - Accent3 4 4 4" xfId="9999" xr:uid="{B157457A-65BD-4154-B655-8E4A218E8143}"/>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16BC4A7A-FE01-4C86-AE0C-1DDA88C29D18}"/>
    <cellStyle name="20% - Accent3 4 5 2 3" xfId="12557" xr:uid="{156286FE-1BEC-40C1-9EF7-BE3969BF51EA}"/>
    <cellStyle name="20% - Accent3 4 5 3" xfId="6180" xr:uid="{00000000-0005-0000-0000-0000CA010000}"/>
    <cellStyle name="20% - Accent3 4 5 3 2" xfId="14630" xr:uid="{679EC0EA-77AD-4CF1-81D1-BE0D9A179CFB}"/>
    <cellStyle name="20% - Accent3 4 5 4" xfId="10412" xr:uid="{8D98E2DC-96F2-4D7D-8037-53ED3170F42E}"/>
    <cellStyle name="20% - Accent3 4 6" xfId="2287" xr:uid="{00000000-0005-0000-0000-0000CB010000}"/>
    <cellStyle name="20% - Accent3 4 6 2" xfId="6593" xr:uid="{00000000-0005-0000-0000-0000CC010000}"/>
    <cellStyle name="20% - Accent3 4 6 2 2" xfId="15043" xr:uid="{71A71F72-3B17-44F1-BF64-55AE8BDF0EEE}"/>
    <cellStyle name="20% - Accent3 4 6 3" xfId="10825" xr:uid="{1844F9B5-C599-402A-9948-065C9EB300C4}"/>
    <cellStyle name="20% - Accent3 4 7" xfId="4527" xr:uid="{00000000-0005-0000-0000-0000CD010000}"/>
    <cellStyle name="20% - Accent3 4 7 2" xfId="12977" xr:uid="{CF1C4B18-84AE-4B5E-9E50-CB793EB68889}"/>
    <cellStyle name="20% - Accent3 4 8" xfId="8759" xr:uid="{4538B480-3A7F-4239-962B-7D0D11A979F8}"/>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DA92020C-109B-45E9-9763-85D97168B930}"/>
    <cellStyle name="20% - Accent3 5 2 3" xfId="11311" xr:uid="{BB224F95-C2C8-49D9-B67E-FC910752FA61}"/>
    <cellStyle name="20% - Accent3 5 3" xfId="4934" xr:uid="{00000000-0005-0000-0000-0000D1010000}"/>
    <cellStyle name="20% - Accent3 5 3 2" xfId="13384" xr:uid="{A9B38686-8546-4EFC-ABC8-D82711E5C1EB}"/>
    <cellStyle name="20% - Accent3 5 4" xfId="9166" xr:uid="{5687A3BE-C77F-4086-8F2B-2623C919AEC0}"/>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AFFEE76D-F74E-4EB6-83A5-98A0BABD10AA}"/>
    <cellStyle name="20% - Accent3 6 2 3" xfId="11724" xr:uid="{7ED74063-6DC8-41D0-8972-746DB045ADD9}"/>
    <cellStyle name="20% - Accent3 6 3" xfId="5347" xr:uid="{00000000-0005-0000-0000-0000D5010000}"/>
    <cellStyle name="20% - Accent3 6 3 2" xfId="13797" xr:uid="{F2C0AB56-3304-44E8-BD38-E6CAB1CC989C}"/>
    <cellStyle name="20% - Accent3 6 4" xfId="9579" xr:uid="{13CB98B4-7809-49EB-8F16-5447F448E1AF}"/>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7CC167E5-2FE8-447F-BACC-64F6B99AB0FC}"/>
    <cellStyle name="20% - Accent3 7 2 3" xfId="12137" xr:uid="{7DE03190-A582-488D-A94B-601A85382AB7}"/>
    <cellStyle name="20% - Accent3 7 3" xfId="5760" xr:uid="{00000000-0005-0000-0000-0000D9010000}"/>
    <cellStyle name="20% - Accent3 7 3 2" xfId="14210" xr:uid="{14FDDE3F-CF9F-4B0C-A8C8-3F35854EE462}"/>
    <cellStyle name="20% - Accent3 7 4" xfId="9992" xr:uid="{4C7A1360-1D2A-4D17-8F19-38EDE653C07F}"/>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83CCC1A8-5E6E-41CE-87E2-06C1C5A59B26}"/>
    <cellStyle name="20% - Accent3 8 2 3" xfId="12550" xr:uid="{48C732E8-4909-4E8C-8A2B-27BC18FA0B30}"/>
    <cellStyle name="20% - Accent3 8 3" xfId="6173" xr:uid="{00000000-0005-0000-0000-0000DD010000}"/>
    <cellStyle name="20% - Accent3 8 3 2" xfId="14623" xr:uid="{47840BEB-689E-47B2-8EDF-3FA3FD88489F}"/>
    <cellStyle name="20% - Accent3 8 4" xfId="10405" xr:uid="{B05127AC-EB90-4AB5-80F4-9364BE632C28}"/>
    <cellStyle name="20% - Accent3 9" xfId="2280" xr:uid="{00000000-0005-0000-0000-0000DE010000}"/>
    <cellStyle name="20% - Accent3 9 2" xfId="6586" xr:uid="{00000000-0005-0000-0000-0000DF010000}"/>
    <cellStyle name="20% - Accent3 9 2 2" xfId="15036" xr:uid="{38CFDB31-FB12-4A02-8813-3AFF18A7734F}"/>
    <cellStyle name="20% - Accent3 9 3" xfId="10818" xr:uid="{87EA4765-AB5E-4866-BDD8-3F19254AC466}"/>
    <cellStyle name="20% - Accent4" xfId="25" builtinId="42" customBuiltin="1"/>
    <cellStyle name="20% - Accent4 10" xfId="4528" xr:uid="{00000000-0005-0000-0000-0000E1010000}"/>
    <cellStyle name="20% - Accent4 10 2" xfId="12978" xr:uid="{928F8591-364C-446C-B5FD-030BD08EABC8}"/>
    <cellStyle name="20% - Accent4 11" xfId="8760" xr:uid="{CDC20C3F-ECBA-4059-AEEF-8A9272F09D24}"/>
    <cellStyle name="20% - Accent4 2" xfId="26" xr:uid="{00000000-0005-0000-0000-0000E2010000}"/>
    <cellStyle name="20% - Accent4 2 10" xfId="8761" xr:uid="{A597C7DC-344D-4B3F-B37B-53B814F76B2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E67EE28D-D6FA-4FDB-B4C8-039072B5E2FB}"/>
    <cellStyle name="20% - Accent4 2 2 2 2 2 3" xfId="11322" xr:uid="{74E923A9-439D-492F-A5C4-5E33F61AF04C}"/>
    <cellStyle name="20% - Accent4 2 2 2 2 3" xfId="4945" xr:uid="{00000000-0005-0000-0000-0000E8010000}"/>
    <cellStyle name="20% - Accent4 2 2 2 2 3 2" xfId="13395" xr:uid="{8C86B279-3FDB-4F04-9FAD-6149063F2006}"/>
    <cellStyle name="20% - Accent4 2 2 2 2 4" xfId="9177" xr:uid="{2C668526-F989-485C-9BB2-45ED47CAFFBE}"/>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D444641C-606A-4860-9F35-7FF1C7C4FBE5}"/>
    <cellStyle name="20% - Accent4 2 2 2 3 2 3" xfId="11735" xr:uid="{6216E725-066E-406A-A1BC-EE4A645C3D63}"/>
    <cellStyle name="20% - Accent4 2 2 2 3 3" xfId="5358" xr:uid="{00000000-0005-0000-0000-0000EC010000}"/>
    <cellStyle name="20% - Accent4 2 2 2 3 3 2" xfId="13808" xr:uid="{81CAA556-100D-4A7F-8413-A54F6D7D00EC}"/>
    <cellStyle name="20% - Accent4 2 2 2 3 4" xfId="9590" xr:uid="{28029304-42E2-4D30-95BD-95DCD6ED1D3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B6C8792D-F30B-4310-A289-3487E943B3F1}"/>
    <cellStyle name="20% - Accent4 2 2 2 4 2 3" xfId="12148" xr:uid="{99D45C0F-20C0-4ED3-B92F-9AED20758D7C}"/>
    <cellStyle name="20% - Accent4 2 2 2 4 3" xfId="5771" xr:uid="{00000000-0005-0000-0000-0000F0010000}"/>
    <cellStyle name="20% - Accent4 2 2 2 4 3 2" xfId="14221" xr:uid="{F0DFD9FB-735D-40B1-AA0C-178456DC8CCD}"/>
    <cellStyle name="20% - Accent4 2 2 2 4 4" xfId="10003" xr:uid="{17B5D089-30CA-46CF-81B1-1EF70A2B4C4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B9444598-6CC5-4CD6-B29A-75A76231F82C}"/>
    <cellStyle name="20% - Accent4 2 2 2 5 2 3" xfId="12561" xr:uid="{29860B4D-F235-44E3-A8DF-3181070FF169}"/>
    <cellStyle name="20% - Accent4 2 2 2 5 3" xfId="6184" xr:uid="{00000000-0005-0000-0000-0000F4010000}"/>
    <cellStyle name="20% - Accent4 2 2 2 5 3 2" xfId="14634" xr:uid="{ED545B27-2754-41C0-A912-F63E490D92D9}"/>
    <cellStyle name="20% - Accent4 2 2 2 5 4" xfId="10416" xr:uid="{FDB22CBC-DCDF-49F1-9F40-E11E80F75906}"/>
    <cellStyle name="20% - Accent4 2 2 2 6" xfId="2291" xr:uid="{00000000-0005-0000-0000-0000F5010000}"/>
    <cellStyle name="20% - Accent4 2 2 2 6 2" xfId="6597" xr:uid="{00000000-0005-0000-0000-0000F6010000}"/>
    <cellStyle name="20% - Accent4 2 2 2 6 2 2" xfId="15047" xr:uid="{23ADD8DE-0CE4-4C10-B271-96818312EC10}"/>
    <cellStyle name="20% - Accent4 2 2 2 6 3" xfId="10829" xr:uid="{717AB534-E340-4E0E-A49D-2993866F2F76}"/>
    <cellStyle name="20% - Accent4 2 2 2 7" xfId="4531" xr:uid="{00000000-0005-0000-0000-0000F7010000}"/>
    <cellStyle name="20% - Accent4 2 2 2 7 2" xfId="12981" xr:uid="{1136DFC5-2CCA-4CEA-83C5-1423B645CA3F}"/>
    <cellStyle name="20% - Accent4 2 2 2 8" xfId="8763" xr:uid="{EC621EAA-C447-41F9-BFDE-8F4A6DEEC71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3FD2A800-B5E3-4AAC-8B8D-DD57B0CC5896}"/>
    <cellStyle name="20% - Accent4 2 2 3 2 3" xfId="11321" xr:uid="{51AAC2F2-D054-4B59-B0F3-CC5BE5A4FAB9}"/>
    <cellStyle name="20% - Accent4 2 2 3 3" xfId="4944" xr:uid="{00000000-0005-0000-0000-0000FB010000}"/>
    <cellStyle name="20% - Accent4 2 2 3 3 2" xfId="13394" xr:uid="{C7E12A08-6C5E-40C8-9A19-8529427FFA7F}"/>
    <cellStyle name="20% - Accent4 2 2 3 4" xfId="9176" xr:uid="{904C5E08-B25F-4E1B-8F38-83034F6A931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61AE5679-EBCD-4922-A4C7-183495EFBD42}"/>
    <cellStyle name="20% - Accent4 2 2 4 2 3" xfId="11734" xr:uid="{F471B655-D31F-49D4-BE8F-979ADE805FC7}"/>
    <cellStyle name="20% - Accent4 2 2 4 3" xfId="5357" xr:uid="{00000000-0005-0000-0000-0000FF010000}"/>
    <cellStyle name="20% - Accent4 2 2 4 3 2" xfId="13807" xr:uid="{D38B94D6-365B-4294-9D7E-D900ABBCBA0F}"/>
    <cellStyle name="20% - Accent4 2 2 4 4" xfId="9589" xr:uid="{EEF8B60B-F44E-42FF-A4AE-F88977B02ED2}"/>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F25E2FD9-B8A5-47AF-8A4D-0CBEDD21EC53}"/>
    <cellStyle name="20% - Accent4 2 2 5 2 3" xfId="12147" xr:uid="{D4BC2ACF-5F4C-4636-BE10-AE02155E9623}"/>
    <cellStyle name="20% - Accent4 2 2 5 3" xfId="5770" xr:uid="{00000000-0005-0000-0000-000003020000}"/>
    <cellStyle name="20% - Accent4 2 2 5 3 2" xfId="14220" xr:uid="{A909F8D9-9DFF-4C4D-BECB-49E2A3273C2D}"/>
    <cellStyle name="20% - Accent4 2 2 5 4" xfId="10002" xr:uid="{71CA94E5-948C-40F4-AA61-B79481CAC190}"/>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A983B948-7F7D-4547-B5D3-3E6B5E7B4154}"/>
    <cellStyle name="20% - Accent4 2 2 6 2 3" xfId="12560" xr:uid="{C1D06B0F-74D8-4765-BCC1-7BD5D584744B}"/>
    <cellStyle name="20% - Accent4 2 2 6 3" xfId="6183" xr:uid="{00000000-0005-0000-0000-000007020000}"/>
    <cellStyle name="20% - Accent4 2 2 6 3 2" xfId="14633" xr:uid="{1DE5257B-DED7-43F9-B6BB-34223FE0EE14}"/>
    <cellStyle name="20% - Accent4 2 2 6 4" xfId="10415" xr:uid="{1BCFE84E-1641-4D4D-98DE-BE3AA3CD8AEE}"/>
    <cellStyle name="20% - Accent4 2 2 7" xfId="2290" xr:uid="{00000000-0005-0000-0000-000008020000}"/>
    <cellStyle name="20% - Accent4 2 2 7 2" xfId="6596" xr:uid="{00000000-0005-0000-0000-000009020000}"/>
    <cellStyle name="20% - Accent4 2 2 7 2 2" xfId="15046" xr:uid="{8E28E08D-B1AD-4772-AF96-97D1B35A3D45}"/>
    <cellStyle name="20% - Accent4 2 2 7 3" xfId="10828" xr:uid="{24805748-A89A-42C3-80F8-B6598232D61C}"/>
    <cellStyle name="20% - Accent4 2 2 8" xfId="4530" xr:uid="{00000000-0005-0000-0000-00000A020000}"/>
    <cellStyle name="20% - Accent4 2 2 8 2" xfId="12980" xr:uid="{2E67A38E-1F60-4EEF-A118-D28BF01AB4AF}"/>
    <cellStyle name="20% - Accent4 2 2 9" xfId="8762" xr:uid="{02CBB9AE-3E1F-40DE-A4B4-89E56C609F0F}"/>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48321E88-B1C8-4EF2-9AF3-75F8C1A61898}"/>
    <cellStyle name="20% - Accent4 2 3 2 2 3" xfId="11323" xr:uid="{40082618-E0A0-4B45-BF69-CD17F04EFE90}"/>
    <cellStyle name="20% - Accent4 2 3 2 3" xfId="4946" xr:uid="{00000000-0005-0000-0000-00000F020000}"/>
    <cellStyle name="20% - Accent4 2 3 2 3 2" xfId="13396" xr:uid="{2FE77153-1B5F-443F-8222-B4FBDF0F9046}"/>
    <cellStyle name="20% - Accent4 2 3 2 4" xfId="9178" xr:uid="{893A1346-01AB-4CCF-879E-F1E87E460180}"/>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2A9F3A1F-E01C-4D55-BA9F-C3DEF49F36CC}"/>
    <cellStyle name="20% - Accent4 2 3 3 2 3" xfId="11736" xr:uid="{284761E2-1F29-4F42-A3AC-D794BBD0DBFB}"/>
    <cellStyle name="20% - Accent4 2 3 3 3" xfId="5359" xr:uid="{00000000-0005-0000-0000-000013020000}"/>
    <cellStyle name="20% - Accent4 2 3 3 3 2" xfId="13809" xr:uid="{663B67E0-B9A0-4D6D-970E-913F737948DB}"/>
    <cellStyle name="20% - Accent4 2 3 3 4" xfId="9591" xr:uid="{9E12271C-B3DF-45B3-BFCF-E6EFED3B746E}"/>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0E92A2EA-75C8-4082-AC40-53D9EF5D378C}"/>
    <cellStyle name="20% - Accent4 2 3 4 2 3" xfId="12149" xr:uid="{589E3058-E5AE-4119-BEC0-4B5ABAB8E878}"/>
    <cellStyle name="20% - Accent4 2 3 4 3" xfId="5772" xr:uid="{00000000-0005-0000-0000-000017020000}"/>
    <cellStyle name="20% - Accent4 2 3 4 3 2" xfId="14222" xr:uid="{7C9DBC3E-8234-4C67-B8AD-1DFD47C61358}"/>
    <cellStyle name="20% - Accent4 2 3 4 4" xfId="10004" xr:uid="{714309EA-586C-4321-B362-7E9BE22C44A0}"/>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21A1F1F6-A67E-4DD6-B332-315303B6C8C4}"/>
    <cellStyle name="20% - Accent4 2 3 5 2 3" xfId="12562" xr:uid="{1674209F-BD17-4751-834C-9C809555095B}"/>
    <cellStyle name="20% - Accent4 2 3 5 3" xfId="6185" xr:uid="{00000000-0005-0000-0000-00001B020000}"/>
    <cellStyle name="20% - Accent4 2 3 5 3 2" xfId="14635" xr:uid="{A6BD4EBD-0B45-4E3B-A2D2-2BC3483C7507}"/>
    <cellStyle name="20% - Accent4 2 3 5 4" xfId="10417" xr:uid="{1841743D-9F00-4300-B7A0-63C31FA625BB}"/>
    <cellStyle name="20% - Accent4 2 3 6" xfId="2292" xr:uid="{00000000-0005-0000-0000-00001C020000}"/>
    <cellStyle name="20% - Accent4 2 3 6 2" xfId="6598" xr:uid="{00000000-0005-0000-0000-00001D020000}"/>
    <cellStyle name="20% - Accent4 2 3 6 2 2" xfId="15048" xr:uid="{66B334E7-82AC-4444-9D63-2C3FC2460577}"/>
    <cellStyle name="20% - Accent4 2 3 6 3" xfId="10830" xr:uid="{97AFCEE7-BDC8-406C-9015-47C7A5BA2484}"/>
    <cellStyle name="20% - Accent4 2 3 7" xfId="4532" xr:uid="{00000000-0005-0000-0000-00001E020000}"/>
    <cellStyle name="20% - Accent4 2 3 7 2" xfId="12982" xr:uid="{463DB06B-B46F-4523-9B45-F1076D32B37C}"/>
    <cellStyle name="20% - Accent4 2 3 8" xfId="8764" xr:uid="{D5AB5968-089E-4C3B-B277-2A1F0933300B}"/>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6E817E42-900E-43B3-BD64-E5ED86930A1F}"/>
    <cellStyle name="20% - Accent4 2 4 2 3" xfId="11320" xr:uid="{66331E0E-72E7-46AC-B20D-06BB2A5FD34C}"/>
    <cellStyle name="20% - Accent4 2 4 3" xfId="4943" xr:uid="{00000000-0005-0000-0000-000022020000}"/>
    <cellStyle name="20% - Accent4 2 4 3 2" xfId="13393" xr:uid="{EDE88301-1095-48E3-B96C-EC1B0A22E270}"/>
    <cellStyle name="20% - Accent4 2 4 4" xfId="9175" xr:uid="{8BC67765-99A3-401C-B425-4E6B7B8F0438}"/>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CCD2BECA-7E5C-4DD8-8FE6-F20D6BFE108E}"/>
    <cellStyle name="20% - Accent4 2 5 2 3" xfId="11733" xr:uid="{BCE4FDAA-8446-4436-B6B5-06CA89F4CCD7}"/>
    <cellStyle name="20% - Accent4 2 5 3" xfId="5356" xr:uid="{00000000-0005-0000-0000-000026020000}"/>
    <cellStyle name="20% - Accent4 2 5 3 2" xfId="13806" xr:uid="{AF847C79-F927-41FD-8472-323B16BA95E6}"/>
    <cellStyle name="20% - Accent4 2 5 4" xfId="9588" xr:uid="{1A6AA0BF-2C51-4BFE-B17B-6138E424A207}"/>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A50DA035-5B16-436F-9E10-03765F3BC9C8}"/>
    <cellStyle name="20% - Accent4 2 6 2 3" xfId="12146" xr:uid="{0B872150-6D29-4205-9B7B-713E347090FC}"/>
    <cellStyle name="20% - Accent4 2 6 3" xfId="5769" xr:uid="{00000000-0005-0000-0000-00002A020000}"/>
    <cellStyle name="20% - Accent4 2 6 3 2" xfId="14219" xr:uid="{2A7FC34A-D114-4616-A8A3-ED7344FC573C}"/>
    <cellStyle name="20% - Accent4 2 6 4" xfId="10001" xr:uid="{24372260-F1CE-4590-8B0A-9AF0BE7BE72D}"/>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C4F76E5D-7CF5-4214-9EEC-4AB6E5497BC9}"/>
    <cellStyle name="20% - Accent4 2 7 2 3" xfId="12559" xr:uid="{78524E32-2CA1-4092-8511-1E3111A9E57F}"/>
    <cellStyle name="20% - Accent4 2 7 3" xfId="6182" xr:uid="{00000000-0005-0000-0000-00002E020000}"/>
    <cellStyle name="20% - Accent4 2 7 3 2" xfId="14632" xr:uid="{AF9FD0DD-A744-4106-A704-CF6004B56EE7}"/>
    <cellStyle name="20% - Accent4 2 7 4" xfId="10414" xr:uid="{E1A381A0-1573-4FB8-84BD-8D57F08932C2}"/>
    <cellStyle name="20% - Accent4 2 8" xfId="2289" xr:uid="{00000000-0005-0000-0000-00002F020000}"/>
    <cellStyle name="20% - Accent4 2 8 2" xfId="6595" xr:uid="{00000000-0005-0000-0000-000030020000}"/>
    <cellStyle name="20% - Accent4 2 8 2 2" xfId="15045" xr:uid="{A4E3FF6A-113D-4FA4-9395-AD57AC497D2D}"/>
    <cellStyle name="20% - Accent4 2 8 3" xfId="10827" xr:uid="{754C44B6-17AD-4EE4-A714-9456FBC4A140}"/>
    <cellStyle name="20% - Accent4 2 9" xfId="4529" xr:uid="{00000000-0005-0000-0000-000031020000}"/>
    <cellStyle name="20% - Accent4 2 9 2" xfId="12979" xr:uid="{33937E86-02A4-4372-B4A7-E1BC9E24BE65}"/>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9DB901EC-D979-45C8-9B7F-D823867BB49B}"/>
    <cellStyle name="20% - Accent4 3 2 2 2 3" xfId="11325" xr:uid="{BAE04D4F-5D8F-418A-B870-114DBB902F93}"/>
    <cellStyle name="20% - Accent4 3 2 2 3" xfId="4948" xr:uid="{00000000-0005-0000-0000-000037020000}"/>
    <cellStyle name="20% - Accent4 3 2 2 3 2" xfId="13398" xr:uid="{F684E26A-43B1-45D2-82F0-3AF2BF6FE5DE}"/>
    <cellStyle name="20% - Accent4 3 2 2 4" xfId="9180" xr:uid="{A067D0D2-5629-4C20-8013-593ED3451222}"/>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9A786BF1-238B-4E23-9B8B-F16573B67E78}"/>
    <cellStyle name="20% - Accent4 3 2 3 2 3" xfId="11738" xr:uid="{61526A72-DE02-4182-955D-44425AD5605D}"/>
    <cellStyle name="20% - Accent4 3 2 3 3" xfId="5361" xr:uid="{00000000-0005-0000-0000-00003B020000}"/>
    <cellStyle name="20% - Accent4 3 2 3 3 2" xfId="13811" xr:uid="{F3DCFF8F-4E05-4FB1-BC84-2DFF65D90661}"/>
    <cellStyle name="20% - Accent4 3 2 3 4" xfId="9593" xr:uid="{F0A2CF32-1AD6-42D3-B1E0-EA3FD3181F1B}"/>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9C0FF694-D36C-444A-97C7-5A639BA0AAD9}"/>
    <cellStyle name="20% - Accent4 3 2 4 2 3" xfId="12151" xr:uid="{381B28B5-41E3-4190-8BDF-F4BA75D1E4DB}"/>
    <cellStyle name="20% - Accent4 3 2 4 3" xfId="5774" xr:uid="{00000000-0005-0000-0000-00003F020000}"/>
    <cellStyle name="20% - Accent4 3 2 4 3 2" xfId="14224" xr:uid="{B735655F-8A63-4747-BD86-54F96B7B79DB}"/>
    <cellStyle name="20% - Accent4 3 2 4 4" xfId="10006" xr:uid="{83AA097D-838F-4AB0-90F5-CE7327B7094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A7E69121-D571-4556-93A4-D4B783F190E3}"/>
    <cellStyle name="20% - Accent4 3 2 5 2 3" xfId="12564" xr:uid="{5F15A011-4EAC-4350-B9CB-0712584D0185}"/>
    <cellStyle name="20% - Accent4 3 2 5 3" xfId="6187" xr:uid="{00000000-0005-0000-0000-000043020000}"/>
    <cellStyle name="20% - Accent4 3 2 5 3 2" xfId="14637" xr:uid="{B5853E36-3AC6-47AD-9F4E-59CCF2AC748A}"/>
    <cellStyle name="20% - Accent4 3 2 5 4" xfId="10419" xr:uid="{5F8F26BA-778A-4B4D-9AE5-0390568A5938}"/>
    <cellStyle name="20% - Accent4 3 2 6" xfId="2294" xr:uid="{00000000-0005-0000-0000-000044020000}"/>
    <cellStyle name="20% - Accent4 3 2 6 2" xfId="6600" xr:uid="{00000000-0005-0000-0000-000045020000}"/>
    <cellStyle name="20% - Accent4 3 2 6 2 2" xfId="15050" xr:uid="{E71C041E-DDC1-4A8E-982D-F5A9AA96C4FB}"/>
    <cellStyle name="20% - Accent4 3 2 6 3" xfId="10832" xr:uid="{9DF0A982-6636-4D48-9A82-02E6E02D1FD3}"/>
    <cellStyle name="20% - Accent4 3 2 7" xfId="4534" xr:uid="{00000000-0005-0000-0000-000046020000}"/>
    <cellStyle name="20% - Accent4 3 2 7 2" xfId="12984" xr:uid="{07039EFA-00AE-4FFC-A63A-423ACB9A66CF}"/>
    <cellStyle name="20% - Accent4 3 2 8" xfId="8766" xr:uid="{C3B77332-E846-4C27-B173-2B0C2B29A070}"/>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86494C56-8BF0-4000-B859-846A2F9404CA}"/>
    <cellStyle name="20% - Accent4 3 3 2 3" xfId="11324" xr:uid="{74A56DF8-6D4A-4C2E-B6FF-41097ED2F502}"/>
    <cellStyle name="20% - Accent4 3 3 3" xfId="4947" xr:uid="{00000000-0005-0000-0000-00004A020000}"/>
    <cellStyle name="20% - Accent4 3 3 3 2" xfId="13397" xr:uid="{EDEE5C47-B3E8-483E-BA85-9CE559E607D4}"/>
    <cellStyle name="20% - Accent4 3 3 4" xfId="9179" xr:uid="{783C9CA9-FE15-4521-9FF5-F8BD9D6CEDA9}"/>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57FA230B-C7D8-4D9F-AA14-B62B68F90B28}"/>
    <cellStyle name="20% - Accent4 3 4 2 3" xfId="11737" xr:uid="{96C06145-C05E-49C2-830E-CA09D3CDA72B}"/>
    <cellStyle name="20% - Accent4 3 4 3" xfId="5360" xr:uid="{00000000-0005-0000-0000-00004E020000}"/>
    <cellStyle name="20% - Accent4 3 4 3 2" xfId="13810" xr:uid="{24409568-26FB-49A6-ACE3-0AA6E3597B77}"/>
    <cellStyle name="20% - Accent4 3 4 4" xfId="9592" xr:uid="{32786A03-AECA-427D-87FD-8EDD8891C4F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C3CA1AD7-A25F-459C-8CBD-8EAA99031EAB}"/>
    <cellStyle name="20% - Accent4 3 5 2 3" xfId="12150" xr:uid="{5F0A9C48-1D62-4902-8A4F-3C783F9391F6}"/>
    <cellStyle name="20% - Accent4 3 5 3" xfId="5773" xr:uid="{00000000-0005-0000-0000-000052020000}"/>
    <cellStyle name="20% - Accent4 3 5 3 2" xfId="14223" xr:uid="{17EAB905-F7F1-406C-A351-35044769FE08}"/>
    <cellStyle name="20% - Accent4 3 5 4" xfId="10005" xr:uid="{176891D0-AF7F-4A3A-867E-C2B386E9C41C}"/>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FA69A2BF-C536-4AFC-8AF1-B0C46EC7239F}"/>
    <cellStyle name="20% - Accent4 3 6 2 3" xfId="12563" xr:uid="{AB714C40-288B-4B4A-B87B-41F595D6494E}"/>
    <cellStyle name="20% - Accent4 3 6 3" xfId="6186" xr:uid="{00000000-0005-0000-0000-000056020000}"/>
    <cellStyle name="20% - Accent4 3 6 3 2" xfId="14636" xr:uid="{AF20CDCB-14B3-417F-8DA6-30BD24CAB8BE}"/>
    <cellStyle name="20% - Accent4 3 6 4" xfId="10418" xr:uid="{E07E20F5-B20E-467E-8CA0-3A7B16A8E623}"/>
    <cellStyle name="20% - Accent4 3 7" xfId="2293" xr:uid="{00000000-0005-0000-0000-000057020000}"/>
    <cellStyle name="20% - Accent4 3 7 2" xfId="6599" xr:uid="{00000000-0005-0000-0000-000058020000}"/>
    <cellStyle name="20% - Accent4 3 7 2 2" xfId="15049" xr:uid="{609C9A2C-38F4-4360-A9E4-9593C9F6AFE9}"/>
    <cellStyle name="20% - Accent4 3 7 3" xfId="10831" xr:uid="{177F4B5C-32E0-4E33-B834-B8E80EC96635}"/>
    <cellStyle name="20% - Accent4 3 8" xfId="4533" xr:uid="{00000000-0005-0000-0000-000059020000}"/>
    <cellStyle name="20% - Accent4 3 8 2" xfId="12983" xr:uid="{CEA1C524-3F1C-42D0-B479-3347A1474680}"/>
    <cellStyle name="20% - Accent4 3 9" xfId="8765" xr:uid="{A301DD6B-480C-4D3A-95B9-A0BE483C9CE4}"/>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2D734FC4-17BD-4D61-BCF3-577992848038}"/>
    <cellStyle name="20% - Accent4 4 2 2 3" xfId="11326" xr:uid="{4D9C41C0-70B2-4256-98A3-36E6B3A63EAF}"/>
    <cellStyle name="20% - Accent4 4 2 3" xfId="4949" xr:uid="{00000000-0005-0000-0000-00005E020000}"/>
    <cellStyle name="20% - Accent4 4 2 3 2" xfId="13399" xr:uid="{D7BF359C-E3C9-44BE-B963-87E3431EB83F}"/>
    <cellStyle name="20% - Accent4 4 2 4" xfId="9181" xr:uid="{616A85DC-0FD7-48BF-ACA5-27E96050931E}"/>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433D131C-2F44-4D28-9DA3-AB65A6A2CACB}"/>
    <cellStyle name="20% - Accent4 4 3 2 3" xfId="11739" xr:uid="{C1B5F239-7181-47A2-A7EE-F62A4A935069}"/>
    <cellStyle name="20% - Accent4 4 3 3" xfId="5362" xr:uid="{00000000-0005-0000-0000-000062020000}"/>
    <cellStyle name="20% - Accent4 4 3 3 2" xfId="13812" xr:uid="{48D8F3AC-EA96-42C5-A997-4391A706F9A2}"/>
    <cellStyle name="20% - Accent4 4 3 4" xfId="9594" xr:uid="{8423EB8E-C7CB-4373-A8EA-5FFF80EA4404}"/>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65C8F21B-C771-4AE6-BAD9-D36C5D5726CB}"/>
    <cellStyle name="20% - Accent4 4 4 2 3" xfId="12152" xr:uid="{68329354-2EA6-41E0-8EE1-32822846C0C3}"/>
    <cellStyle name="20% - Accent4 4 4 3" xfId="5775" xr:uid="{00000000-0005-0000-0000-000066020000}"/>
    <cellStyle name="20% - Accent4 4 4 3 2" xfId="14225" xr:uid="{A779394D-3B8B-4D97-A524-7D0CAC296927}"/>
    <cellStyle name="20% - Accent4 4 4 4" xfId="10007" xr:uid="{BBA290BC-8BA9-4E80-B642-F31EA68E8F51}"/>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C2808AE5-BE90-4451-8E3C-1482EE990C40}"/>
    <cellStyle name="20% - Accent4 4 5 2 3" xfId="12565" xr:uid="{B4C63A5B-C95D-40AC-9D35-DF782B36E837}"/>
    <cellStyle name="20% - Accent4 4 5 3" xfId="6188" xr:uid="{00000000-0005-0000-0000-00006A020000}"/>
    <cellStyle name="20% - Accent4 4 5 3 2" xfId="14638" xr:uid="{E6DDD2EF-E6AD-457F-B7B9-B27A76E2A1D0}"/>
    <cellStyle name="20% - Accent4 4 5 4" xfId="10420" xr:uid="{87C8335E-1B5A-4681-9912-F1E133199ED9}"/>
    <cellStyle name="20% - Accent4 4 6" xfId="2295" xr:uid="{00000000-0005-0000-0000-00006B020000}"/>
    <cellStyle name="20% - Accent4 4 6 2" xfId="6601" xr:uid="{00000000-0005-0000-0000-00006C020000}"/>
    <cellStyle name="20% - Accent4 4 6 2 2" xfId="15051" xr:uid="{3F58712E-2315-4BD5-A50E-F8EB215B51E2}"/>
    <cellStyle name="20% - Accent4 4 6 3" xfId="10833" xr:uid="{E540BFB8-F452-4C81-9236-750D59B523B6}"/>
    <cellStyle name="20% - Accent4 4 7" xfId="4535" xr:uid="{00000000-0005-0000-0000-00006D020000}"/>
    <cellStyle name="20% - Accent4 4 7 2" xfId="12985" xr:uid="{924BE7D9-B412-4E17-B677-200C86183726}"/>
    <cellStyle name="20% - Accent4 4 8" xfId="8767" xr:uid="{72EF5C48-1F5D-4DCA-865B-B464224638F0}"/>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78CA4326-15EB-4289-9EB8-11148BD2EBED}"/>
    <cellStyle name="20% - Accent4 5 2 3" xfId="11319" xr:uid="{9938248C-41D7-432F-8138-857B593FFFC4}"/>
    <cellStyle name="20% - Accent4 5 3" xfId="4942" xr:uid="{00000000-0005-0000-0000-000071020000}"/>
    <cellStyle name="20% - Accent4 5 3 2" xfId="13392" xr:uid="{E2E13A59-5C9D-4715-A21B-EDBAD36B8CB5}"/>
    <cellStyle name="20% - Accent4 5 4" xfId="9174" xr:uid="{FF86BC69-01BE-46B8-A256-DDFBDBC27193}"/>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97397DB0-EB88-4F7E-9F37-9FC91C5BCAE6}"/>
    <cellStyle name="20% - Accent4 6 2 3" xfId="11732" xr:uid="{EA6EC31D-C47E-4DCB-92D0-277E283B4048}"/>
    <cellStyle name="20% - Accent4 6 3" xfId="5355" xr:uid="{00000000-0005-0000-0000-000075020000}"/>
    <cellStyle name="20% - Accent4 6 3 2" xfId="13805" xr:uid="{45C6F3D6-CDC5-4DA3-AE78-C938A1C8E294}"/>
    <cellStyle name="20% - Accent4 6 4" xfId="9587" xr:uid="{B92B63BD-4AE3-4A1F-A7C1-F4B7FADF0B51}"/>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AA8947DB-ECF0-40F2-A54F-8ED914519499}"/>
    <cellStyle name="20% - Accent4 7 2 3" xfId="12145" xr:uid="{6CADA98A-F004-4F13-98DF-9D811C458D0C}"/>
    <cellStyle name="20% - Accent4 7 3" xfId="5768" xr:uid="{00000000-0005-0000-0000-000079020000}"/>
    <cellStyle name="20% - Accent4 7 3 2" xfId="14218" xr:uid="{10658206-C620-4D58-A170-5B9B0D3917C8}"/>
    <cellStyle name="20% - Accent4 7 4" xfId="10000" xr:uid="{70241241-DBCB-47C4-8A05-7870222667C0}"/>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CD1AFC3D-FBB7-456D-93F1-7E7C7B7066B4}"/>
    <cellStyle name="20% - Accent4 8 2 3" xfId="12558" xr:uid="{84A5D00E-037B-4669-98C7-65BE8C9F80EF}"/>
    <cellStyle name="20% - Accent4 8 3" xfId="6181" xr:uid="{00000000-0005-0000-0000-00007D020000}"/>
    <cellStyle name="20% - Accent4 8 3 2" xfId="14631" xr:uid="{BEA4DA5C-7D4A-467B-BDA0-561FC1A2C267}"/>
    <cellStyle name="20% - Accent4 8 4" xfId="10413" xr:uid="{860F5DD3-DF03-4725-94F3-DEF864607438}"/>
    <cellStyle name="20% - Accent4 9" xfId="2288" xr:uid="{00000000-0005-0000-0000-00007E020000}"/>
    <cellStyle name="20% - Accent4 9 2" xfId="6594" xr:uid="{00000000-0005-0000-0000-00007F020000}"/>
    <cellStyle name="20% - Accent4 9 2 2" xfId="15044" xr:uid="{9946DE20-C616-451B-B75B-97884A781EA2}"/>
    <cellStyle name="20% - Accent4 9 3" xfId="10826" xr:uid="{1FCC9BB1-1928-489C-8F0B-FD2050D047CF}"/>
    <cellStyle name="20% - Accent5" xfId="33" builtinId="46" customBuiltin="1"/>
    <cellStyle name="20% - Accent5 10" xfId="4536" xr:uid="{00000000-0005-0000-0000-000081020000}"/>
    <cellStyle name="20% - Accent5 10 2" xfId="12986" xr:uid="{6869519B-0F7F-4E3B-B27E-4FA9BAFCCFC8}"/>
    <cellStyle name="20% - Accent5 11" xfId="8768" xr:uid="{27D6F8CE-4467-405D-AB7C-CEAA4376E509}"/>
    <cellStyle name="20% - Accent5 2" xfId="34" xr:uid="{00000000-0005-0000-0000-000082020000}"/>
    <cellStyle name="20% - Accent5 2 10" xfId="8769" xr:uid="{CE438717-D0DD-47F6-9433-5EA10BD72E41}"/>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24550025-AC94-4C0E-9052-0E423FBBE4A0}"/>
    <cellStyle name="20% - Accent5 2 2 2 2 2 3" xfId="11330" xr:uid="{48CC080B-FDD4-4546-9B50-248766B70CA9}"/>
    <cellStyle name="20% - Accent5 2 2 2 2 3" xfId="4953" xr:uid="{00000000-0005-0000-0000-000088020000}"/>
    <cellStyle name="20% - Accent5 2 2 2 2 3 2" xfId="13403" xr:uid="{C68AC51B-B920-4A3F-8F3E-46A938DCBCB2}"/>
    <cellStyle name="20% - Accent5 2 2 2 2 4" xfId="9185" xr:uid="{26433097-6FA2-450F-88AD-463CF79238C7}"/>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A4B35254-9229-4559-91C8-09B89DC42449}"/>
    <cellStyle name="20% - Accent5 2 2 2 3 2 3" xfId="11743" xr:uid="{3E446F12-411C-4668-9B8F-6955FE969D7C}"/>
    <cellStyle name="20% - Accent5 2 2 2 3 3" xfId="5366" xr:uid="{00000000-0005-0000-0000-00008C020000}"/>
    <cellStyle name="20% - Accent5 2 2 2 3 3 2" xfId="13816" xr:uid="{10C8E939-A9ED-4505-838F-B017BEFD3A29}"/>
    <cellStyle name="20% - Accent5 2 2 2 3 4" xfId="9598" xr:uid="{4DCACF8D-2A5E-4454-9D9E-4CA0F156CED5}"/>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3A8E24CA-D1B0-4E35-B446-8403871F29FC}"/>
    <cellStyle name="20% - Accent5 2 2 2 4 2 3" xfId="12156" xr:uid="{FA7E9AA2-3C03-4340-B23D-B48CBF5A6812}"/>
    <cellStyle name="20% - Accent5 2 2 2 4 3" xfId="5779" xr:uid="{00000000-0005-0000-0000-000090020000}"/>
    <cellStyle name="20% - Accent5 2 2 2 4 3 2" xfId="14229" xr:uid="{5D8B76C8-8448-4248-9DD1-320A5C1ACD92}"/>
    <cellStyle name="20% - Accent5 2 2 2 4 4" xfId="10011" xr:uid="{95142A39-4A02-4B77-9CA2-279595F53579}"/>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0A0B7925-2195-49B8-B4F2-64465C95808A}"/>
    <cellStyle name="20% - Accent5 2 2 2 5 2 3" xfId="12569" xr:uid="{0AAA560E-5ED7-4692-9D2E-8459FFA9EA8D}"/>
    <cellStyle name="20% - Accent5 2 2 2 5 3" xfId="6192" xr:uid="{00000000-0005-0000-0000-000094020000}"/>
    <cellStyle name="20% - Accent5 2 2 2 5 3 2" xfId="14642" xr:uid="{665EA9FE-051F-451A-BEBD-68AEF41805DD}"/>
    <cellStyle name="20% - Accent5 2 2 2 5 4" xfId="10424" xr:uid="{5843ECCF-C00B-4EE9-BAD7-D4E226AD3988}"/>
    <cellStyle name="20% - Accent5 2 2 2 6" xfId="2299" xr:uid="{00000000-0005-0000-0000-000095020000}"/>
    <cellStyle name="20% - Accent5 2 2 2 6 2" xfId="6605" xr:uid="{00000000-0005-0000-0000-000096020000}"/>
    <cellStyle name="20% - Accent5 2 2 2 6 2 2" xfId="15055" xr:uid="{4340FD08-E36A-4709-9D85-5DEEBA130F39}"/>
    <cellStyle name="20% - Accent5 2 2 2 6 3" xfId="10837" xr:uid="{9DD45F77-E902-4943-BD65-16CC627B6C5A}"/>
    <cellStyle name="20% - Accent5 2 2 2 7" xfId="4539" xr:uid="{00000000-0005-0000-0000-000097020000}"/>
    <cellStyle name="20% - Accent5 2 2 2 7 2" xfId="12989" xr:uid="{1CBE2645-6C6A-4856-8A43-097CFF4B7493}"/>
    <cellStyle name="20% - Accent5 2 2 2 8" xfId="8771" xr:uid="{1B0D8070-B05F-4B56-80F7-5EF263BC919D}"/>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161F0E77-67E8-414F-B0B8-B59F9396E5E8}"/>
    <cellStyle name="20% - Accent5 2 2 3 2 3" xfId="11329" xr:uid="{92200421-9BB1-4DF7-98DB-844467F78090}"/>
    <cellStyle name="20% - Accent5 2 2 3 3" xfId="4952" xr:uid="{00000000-0005-0000-0000-00009B020000}"/>
    <cellStyle name="20% - Accent5 2 2 3 3 2" xfId="13402" xr:uid="{455BB84F-5403-4252-A572-070BE07D0EC2}"/>
    <cellStyle name="20% - Accent5 2 2 3 4" xfId="9184" xr:uid="{EB11574A-E9D1-4E31-9DA2-CE86FDD95CF7}"/>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C6DC80D7-BB56-4F88-9047-EDC426394016}"/>
    <cellStyle name="20% - Accent5 2 2 4 2 3" xfId="11742" xr:uid="{9C452FFD-2BD9-4947-ACD2-224D40A77427}"/>
    <cellStyle name="20% - Accent5 2 2 4 3" xfId="5365" xr:uid="{00000000-0005-0000-0000-00009F020000}"/>
    <cellStyle name="20% - Accent5 2 2 4 3 2" xfId="13815" xr:uid="{6C1FE079-95CF-4451-A699-4535D122C0B6}"/>
    <cellStyle name="20% - Accent5 2 2 4 4" xfId="9597" xr:uid="{C8F2EE89-A8B3-4047-8DD4-024594E1D0C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572CCA97-D779-49D9-86DB-EA1CDD3546A7}"/>
    <cellStyle name="20% - Accent5 2 2 5 2 3" xfId="12155" xr:uid="{17CE3E96-EED7-4B2F-8293-3B9EF7B4B360}"/>
    <cellStyle name="20% - Accent5 2 2 5 3" xfId="5778" xr:uid="{00000000-0005-0000-0000-0000A3020000}"/>
    <cellStyle name="20% - Accent5 2 2 5 3 2" xfId="14228" xr:uid="{F1CD0500-5A73-499A-8F39-64872768C04F}"/>
    <cellStyle name="20% - Accent5 2 2 5 4" xfId="10010" xr:uid="{BD442943-2FA8-4704-8FED-FA45D9AAEA3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6BA9A879-71C5-494E-9E1F-10163A0476B1}"/>
    <cellStyle name="20% - Accent5 2 2 6 2 3" xfId="12568" xr:uid="{10858F11-E62D-4BE8-A86E-DC30A67E135E}"/>
    <cellStyle name="20% - Accent5 2 2 6 3" xfId="6191" xr:uid="{00000000-0005-0000-0000-0000A7020000}"/>
    <cellStyle name="20% - Accent5 2 2 6 3 2" xfId="14641" xr:uid="{E74F8157-89F6-460F-BE6F-42A0C0A332D0}"/>
    <cellStyle name="20% - Accent5 2 2 6 4" xfId="10423" xr:uid="{C4064E8E-478A-44A4-9CF8-0810E0EC5431}"/>
    <cellStyle name="20% - Accent5 2 2 7" xfId="2298" xr:uid="{00000000-0005-0000-0000-0000A8020000}"/>
    <cellStyle name="20% - Accent5 2 2 7 2" xfId="6604" xr:uid="{00000000-0005-0000-0000-0000A9020000}"/>
    <cellStyle name="20% - Accent5 2 2 7 2 2" xfId="15054" xr:uid="{FCFB47BC-1714-49EE-AC1A-D8EA8804116C}"/>
    <cellStyle name="20% - Accent5 2 2 7 3" xfId="10836" xr:uid="{A2804C83-EE0C-41FF-9359-14E4AA6CFDCE}"/>
    <cellStyle name="20% - Accent5 2 2 8" xfId="4538" xr:uid="{00000000-0005-0000-0000-0000AA020000}"/>
    <cellStyle name="20% - Accent5 2 2 8 2" xfId="12988" xr:uid="{959C2423-08C9-4E45-BE37-42A7E9E51867}"/>
    <cellStyle name="20% - Accent5 2 2 9" xfId="8770" xr:uid="{E37B15F8-B3D5-4B8F-8395-36EDD42C531A}"/>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5B1312CC-21E6-47A1-9E72-7627DAA64BEF}"/>
    <cellStyle name="20% - Accent5 2 3 2 2 3" xfId="11331" xr:uid="{0B986B82-4BF5-47E1-86D3-8567FC77F48C}"/>
    <cellStyle name="20% - Accent5 2 3 2 3" xfId="4954" xr:uid="{00000000-0005-0000-0000-0000AF020000}"/>
    <cellStyle name="20% - Accent5 2 3 2 3 2" xfId="13404" xr:uid="{793B3917-A8C9-4B1F-A4CB-C94CA8443CF2}"/>
    <cellStyle name="20% - Accent5 2 3 2 4" xfId="9186" xr:uid="{92EC0ED5-BC9C-4F07-A2FB-04BE7A2A5B92}"/>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94318C14-45D7-4730-A18A-79EE587F2619}"/>
    <cellStyle name="20% - Accent5 2 3 3 2 3" xfId="11744" xr:uid="{1CAC60E2-E167-4DDA-864B-B904DB8AFCC6}"/>
    <cellStyle name="20% - Accent5 2 3 3 3" xfId="5367" xr:uid="{00000000-0005-0000-0000-0000B3020000}"/>
    <cellStyle name="20% - Accent5 2 3 3 3 2" xfId="13817" xr:uid="{C8F36ADA-7330-4391-A6A4-1CF4133893B3}"/>
    <cellStyle name="20% - Accent5 2 3 3 4" xfId="9599" xr:uid="{CA51AB76-E8E3-4B73-8802-5795A535108F}"/>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5A339F95-C691-4A4C-BC90-31679A3AC27A}"/>
    <cellStyle name="20% - Accent5 2 3 4 2 3" xfId="12157" xr:uid="{6775170B-F13A-44A0-B881-9B41A516E0E8}"/>
    <cellStyle name="20% - Accent5 2 3 4 3" xfId="5780" xr:uid="{00000000-0005-0000-0000-0000B7020000}"/>
    <cellStyle name="20% - Accent5 2 3 4 3 2" xfId="14230" xr:uid="{613C8CE1-930D-439D-9A83-D807E3A96FC3}"/>
    <cellStyle name="20% - Accent5 2 3 4 4" xfId="10012" xr:uid="{D27ED638-348D-4B01-92D6-50EAE84AA68E}"/>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6E3E1C27-E5B0-425B-84DE-7BAA3D1F2E84}"/>
    <cellStyle name="20% - Accent5 2 3 5 2 3" xfId="12570" xr:uid="{6B9B3B24-30A7-4735-B6E5-BAFF55BB700D}"/>
    <cellStyle name="20% - Accent5 2 3 5 3" xfId="6193" xr:uid="{00000000-0005-0000-0000-0000BB020000}"/>
    <cellStyle name="20% - Accent5 2 3 5 3 2" xfId="14643" xr:uid="{B2E65866-ADAD-41C9-92F1-ADAE3534D6CA}"/>
    <cellStyle name="20% - Accent5 2 3 5 4" xfId="10425" xr:uid="{6DA9D2B7-14AE-4DEB-8C7E-7021679B1190}"/>
    <cellStyle name="20% - Accent5 2 3 6" xfId="2300" xr:uid="{00000000-0005-0000-0000-0000BC020000}"/>
    <cellStyle name="20% - Accent5 2 3 6 2" xfId="6606" xr:uid="{00000000-0005-0000-0000-0000BD020000}"/>
    <cellStyle name="20% - Accent5 2 3 6 2 2" xfId="15056" xr:uid="{C81201A2-2620-40F1-A47C-08E67AFBD28C}"/>
    <cellStyle name="20% - Accent5 2 3 6 3" xfId="10838" xr:uid="{49FFE987-5F52-4866-A4DB-39F68DF8DBEA}"/>
    <cellStyle name="20% - Accent5 2 3 7" xfId="4540" xr:uid="{00000000-0005-0000-0000-0000BE020000}"/>
    <cellStyle name="20% - Accent5 2 3 7 2" xfId="12990" xr:uid="{1C2F30AE-AAFA-4000-AE7A-80A4B7C7D162}"/>
    <cellStyle name="20% - Accent5 2 3 8" xfId="8772" xr:uid="{AF36C22E-11A0-47B0-84E2-BAAEBB9E32EA}"/>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AC1B144A-8907-42EA-A548-1572938BB28B}"/>
    <cellStyle name="20% - Accent5 2 4 2 3" xfId="11328" xr:uid="{2EC38518-F930-4C78-8822-34512EFA50D8}"/>
    <cellStyle name="20% - Accent5 2 4 3" xfId="4951" xr:uid="{00000000-0005-0000-0000-0000C2020000}"/>
    <cellStyle name="20% - Accent5 2 4 3 2" xfId="13401" xr:uid="{896EA2B7-1F96-4424-AE12-A1299D8C801D}"/>
    <cellStyle name="20% - Accent5 2 4 4" xfId="9183" xr:uid="{B65B41C3-6615-441A-8176-EDAE9424A4A0}"/>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F607D0AB-4507-4181-8172-2C6D915F6890}"/>
    <cellStyle name="20% - Accent5 2 5 2 3" xfId="11741" xr:uid="{25AA58D6-60D0-47DB-A354-A591C9B0D990}"/>
    <cellStyle name="20% - Accent5 2 5 3" xfId="5364" xr:uid="{00000000-0005-0000-0000-0000C6020000}"/>
    <cellStyle name="20% - Accent5 2 5 3 2" xfId="13814" xr:uid="{7B97D2CB-B7C7-41C4-88B3-B90DAF340495}"/>
    <cellStyle name="20% - Accent5 2 5 4" xfId="9596" xr:uid="{0623CA67-A2B6-47C9-BF5F-5150B486623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76AE19D9-4F4B-41F7-93AD-2C5FC9461D0C}"/>
    <cellStyle name="20% - Accent5 2 6 2 3" xfId="12154" xr:uid="{C6A4757A-271A-40FE-BC18-14AAF12A40BF}"/>
    <cellStyle name="20% - Accent5 2 6 3" xfId="5777" xr:uid="{00000000-0005-0000-0000-0000CA020000}"/>
    <cellStyle name="20% - Accent5 2 6 3 2" xfId="14227" xr:uid="{1A2CA4EF-3CCC-4669-BC51-C54EE1A54960}"/>
    <cellStyle name="20% - Accent5 2 6 4" xfId="10009" xr:uid="{E559DC19-EFF7-48CE-AEA2-DE7A4F43AD3C}"/>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3886B964-07F0-41C3-8EAA-EF99EB378026}"/>
    <cellStyle name="20% - Accent5 2 7 2 3" xfId="12567" xr:uid="{7DCC25A9-9092-4500-B8DC-34D43EE956F0}"/>
    <cellStyle name="20% - Accent5 2 7 3" xfId="6190" xr:uid="{00000000-0005-0000-0000-0000CE020000}"/>
    <cellStyle name="20% - Accent5 2 7 3 2" xfId="14640" xr:uid="{1DA15A73-C948-438D-8E11-1EB918341A89}"/>
    <cellStyle name="20% - Accent5 2 7 4" xfId="10422" xr:uid="{53B96215-9574-4D0F-8FD5-5C502FE429DF}"/>
    <cellStyle name="20% - Accent5 2 8" xfId="2297" xr:uid="{00000000-0005-0000-0000-0000CF020000}"/>
    <cellStyle name="20% - Accent5 2 8 2" xfId="6603" xr:uid="{00000000-0005-0000-0000-0000D0020000}"/>
    <cellStyle name="20% - Accent5 2 8 2 2" xfId="15053" xr:uid="{8D0581E9-A1F0-4AF8-9326-E9F6D935E0DD}"/>
    <cellStyle name="20% - Accent5 2 8 3" xfId="10835" xr:uid="{68798AF1-E67C-4327-9C93-11C2A6995317}"/>
    <cellStyle name="20% - Accent5 2 9" xfId="4537" xr:uid="{00000000-0005-0000-0000-0000D1020000}"/>
    <cellStyle name="20% - Accent5 2 9 2" xfId="12987" xr:uid="{7EF50AC4-656E-41C2-B0BF-5E55AE596544}"/>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AE03DBD6-3107-4C1D-AF55-74893990DB67}"/>
    <cellStyle name="20% - Accent5 3 2 2 2 3" xfId="11333" xr:uid="{1A76B367-5511-47B2-82C2-59543A89D850}"/>
    <cellStyle name="20% - Accent5 3 2 2 3" xfId="4956" xr:uid="{00000000-0005-0000-0000-0000D7020000}"/>
    <cellStyle name="20% - Accent5 3 2 2 3 2" xfId="13406" xr:uid="{CAF27697-ECD2-4D03-BA46-E7AFEB8F42A0}"/>
    <cellStyle name="20% - Accent5 3 2 2 4" xfId="9188" xr:uid="{450587DC-7676-4AF1-871B-BE451BC5DD43}"/>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B24C06B9-3F61-400B-8023-7BFA3BAEFBBD}"/>
    <cellStyle name="20% - Accent5 3 2 3 2 3" xfId="11746" xr:uid="{4EF2C941-5765-4B02-8BB6-1A1BC74C2EE6}"/>
    <cellStyle name="20% - Accent5 3 2 3 3" xfId="5369" xr:uid="{00000000-0005-0000-0000-0000DB020000}"/>
    <cellStyle name="20% - Accent5 3 2 3 3 2" xfId="13819" xr:uid="{23FBB0E9-6763-4E2F-877B-8DBF69FFBBF3}"/>
    <cellStyle name="20% - Accent5 3 2 3 4" xfId="9601" xr:uid="{C19EA843-8602-4ADD-AA22-F2677EFB92FD}"/>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7BF41A91-44B1-41BF-AE22-0CE68DECF279}"/>
    <cellStyle name="20% - Accent5 3 2 4 2 3" xfId="12159" xr:uid="{E86761F0-6854-4F1E-ABF8-D07F2FB0218B}"/>
    <cellStyle name="20% - Accent5 3 2 4 3" xfId="5782" xr:uid="{00000000-0005-0000-0000-0000DF020000}"/>
    <cellStyle name="20% - Accent5 3 2 4 3 2" xfId="14232" xr:uid="{F8D2B725-9198-4D95-BE1C-049514FF2B32}"/>
    <cellStyle name="20% - Accent5 3 2 4 4" xfId="10014" xr:uid="{0C720B24-46FD-4551-BBF9-001A7DCFF28F}"/>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8837BE53-27C6-492C-9C19-FBEEBE2764FE}"/>
    <cellStyle name="20% - Accent5 3 2 5 2 3" xfId="12572" xr:uid="{07895D8C-43DA-44A9-B86D-102C5FF6F649}"/>
    <cellStyle name="20% - Accent5 3 2 5 3" xfId="6195" xr:uid="{00000000-0005-0000-0000-0000E3020000}"/>
    <cellStyle name="20% - Accent5 3 2 5 3 2" xfId="14645" xr:uid="{57852726-D6DA-4FBB-A7A1-16F035DDB10F}"/>
    <cellStyle name="20% - Accent5 3 2 5 4" xfId="10427" xr:uid="{605E7379-C52A-458F-A80A-B5035469ADBC}"/>
    <cellStyle name="20% - Accent5 3 2 6" xfId="2302" xr:uid="{00000000-0005-0000-0000-0000E4020000}"/>
    <cellStyle name="20% - Accent5 3 2 6 2" xfId="6608" xr:uid="{00000000-0005-0000-0000-0000E5020000}"/>
    <cellStyle name="20% - Accent5 3 2 6 2 2" xfId="15058" xr:uid="{547C47E4-E594-44B6-AC7A-EAC6B2693B05}"/>
    <cellStyle name="20% - Accent5 3 2 6 3" xfId="10840" xr:uid="{5F519AF3-FA48-4158-93A8-5C837C5B6C1A}"/>
    <cellStyle name="20% - Accent5 3 2 7" xfId="4542" xr:uid="{00000000-0005-0000-0000-0000E6020000}"/>
    <cellStyle name="20% - Accent5 3 2 7 2" xfId="12992" xr:uid="{F1F60D24-E77D-417F-A449-BAFBFAA626EB}"/>
    <cellStyle name="20% - Accent5 3 2 8" xfId="8774" xr:uid="{14C1C4A8-148F-4BB8-AA1C-B22DADACD83A}"/>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21B01977-E068-4762-B538-5D9335AB530D}"/>
    <cellStyle name="20% - Accent5 3 3 2 3" xfId="11332" xr:uid="{D8592DFA-BD0E-44F3-BEB8-08E5C0672535}"/>
    <cellStyle name="20% - Accent5 3 3 3" xfId="4955" xr:uid="{00000000-0005-0000-0000-0000EA020000}"/>
    <cellStyle name="20% - Accent5 3 3 3 2" xfId="13405" xr:uid="{C385BED9-A17A-4D3D-8144-EE859CA3ECC8}"/>
    <cellStyle name="20% - Accent5 3 3 4" xfId="9187" xr:uid="{57CDC1FE-EAC2-4E25-8F4A-CD5353429EBE}"/>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A6D6CE92-9B09-46B1-A10D-CFE295648D67}"/>
    <cellStyle name="20% - Accent5 3 4 2 3" xfId="11745" xr:uid="{34AB6312-1823-4BC2-B53A-BB4A67A104E2}"/>
    <cellStyle name="20% - Accent5 3 4 3" xfId="5368" xr:uid="{00000000-0005-0000-0000-0000EE020000}"/>
    <cellStyle name="20% - Accent5 3 4 3 2" xfId="13818" xr:uid="{12DAB3C8-EEEB-4EC0-B645-323C41B9C0EB}"/>
    <cellStyle name="20% - Accent5 3 4 4" xfId="9600" xr:uid="{C9F7BBBB-B955-4AEE-B6F3-1D63F71C0E6A}"/>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48A760AD-D1A5-4E07-B308-F4ACEB1FC3D8}"/>
    <cellStyle name="20% - Accent5 3 5 2 3" xfId="12158" xr:uid="{387816C0-D763-44D5-BF66-BDC71848E20D}"/>
    <cellStyle name="20% - Accent5 3 5 3" xfId="5781" xr:uid="{00000000-0005-0000-0000-0000F2020000}"/>
    <cellStyle name="20% - Accent5 3 5 3 2" xfId="14231" xr:uid="{591F0C99-7F97-4B63-8454-8C321BE3AA72}"/>
    <cellStyle name="20% - Accent5 3 5 4" xfId="10013" xr:uid="{43BBB532-A663-4846-8BFD-D24C339E7A4E}"/>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AB5ACD77-02B2-4CD5-99D3-7224968C639E}"/>
    <cellStyle name="20% - Accent5 3 6 2 3" xfId="12571" xr:uid="{B73119D9-6F02-4D12-B4B2-F7C632364510}"/>
    <cellStyle name="20% - Accent5 3 6 3" xfId="6194" xr:uid="{00000000-0005-0000-0000-0000F6020000}"/>
    <cellStyle name="20% - Accent5 3 6 3 2" xfId="14644" xr:uid="{DB53D113-5868-404B-83D8-BE4D951DDFE6}"/>
    <cellStyle name="20% - Accent5 3 6 4" xfId="10426" xr:uid="{019DD972-00B3-4CFE-B6E0-0726559373A9}"/>
    <cellStyle name="20% - Accent5 3 7" xfId="2301" xr:uid="{00000000-0005-0000-0000-0000F7020000}"/>
    <cellStyle name="20% - Accent5 3 7 2" xfId="6607" xr:uid="{00000000-0005-0000-0000-0000F8020000}"/>
    <cellStyle name="20% - Accent5 3 7 2 2" xfId="15057" xr:uid="{E666792E-E000-480D-9B3C-7F55CA165D57}"/>
    <cellStyle name="20% - Accent5 3 7 3" xfId="10839" xr:uid="{F57C3EB9-D710-4F66-ADCF-AFA274AEAA77}"/>
    <cellStyle name="20% - Accent5 3 8" xfId="4541" xr:uid="{00000000-0005-0000-0000-0000F9020000}"/>
    <cellStyle name="20% - Accent5 3 8 2" xfId="12991" xr:uid="{733D0CA2-9910-4366-8604-93F61B00F8D1}"/>
    <cellStyle name="20% - Accent5 3 9" xfId="8773" xr:uid="{DCE20E7A-BF66-4B0B-B8E8-4A2EAAE7C4E8}"/>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283547FA-0BB6-465A-A163-F15FD8F1E5F4}"/>
    <cellStyle name="20% - Accent5 4 2 2 3" xfId="11334" xr:uid="{D0A275FD-6EB0-4418-9E37-9241ED34AA7F}"/>
    <cellStyle name="20% - Accent5 4 2 3" xfId="4957" xr:uid="{00000000-0005-0000-0000-0000FE020000}"/>
    <cellStyle name="20% - Accent5 4 2 3 2" xfId="13407" xr:uid="{3FA39425-34DC-4D3E-A109-C05B0DFFABDD}"/>
    <cellStyle name="20% - Accent5 4 2 4" xfId="9189" xr:uid="{EB6DB8D9-AD17-4408-8D4A-2DF63DE6DB92}"/>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D6A0CAC1-D62A-4DD0-AAE7-F7C86C7E777E}"/>
    <cellStyle name="20% - Accent5 4 3 2 3" xfId="11747" xr:uid="{3180464E-948A-4786-A8FA-0300F9848509}"/>
    <cellStyle name="20% - Accent5 4 3 3" xfId="5370" xr:uid="{00000000-0005-0000-0000-000002030000}"/>
    <cellStyle name="20% - Accent5 4 3 3 2" xfId="13820" xr:uid="{D71BC3B4-150C-45AC-9A30-A553F3FE14FC}"/>
    <cellStyle name="20% - Accent5 4 3 4" xfId="9602" xr:uid="{BA57432D-15D3-4960-8D5B-6CF6269ED996}"/>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6F4B20C6-36D1-48A7-861B-C70072BE95F3}"/>
    <cellStyle name="20% - Accent5 4 4 2 3" xfId="12160" xr:uid="{2464A22A-D11F-454B-8A36-3D891638E6E5}"/>
    <cellStyle name="20% - Accent5 4 4 3" xfId="5783" xr:uid="{00000000-0005-0000-0000-000006030000}"/>
    <cellStyle name="20% - Accent5 4 4 3 2" xfId="14233" xr:uid="{417C72EF-6763-4B9C-B0B8-99E41CDFAC3B}"/>
    <cellStyle name="20% - Accent5 4 4 4" xfId="10015" xr:uid="{3C14BA85-BEFC-478A-8F8C-C364197921AB}"/>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222DDE6A-86E5-474B-8358-AE8F6B6B8AA8}"/>
    <cellStyle name="20% - Accent5 4 5 2 3" xfId="12573" xr:uid="{ED1A8561-BC86-4207-B07F-6DC82415E157}"/>
    <cellStyle name="20% - Accent5 4 5 3" xfId="6196" xr:uid="{00000000-0005-0000-0000-00000A030000}"/>
    <cellStyle name="20% - Accent5 4 5 3 2" xfId="14646" xr:uid="{290A1389-3E90-4E17-8C03-C72F46B2357E}"/>
    <cellStyle name="20% - Accent5 4 5 4" xfId="10428" xr:uid="{2F7A08B7-1763-4789-99EF-60AB44E4EB26}"/>
    <cellStyle name="20% - Accent5 4 6" xfId="2303" xr:uid="{00000000-0005-0000-0000-00000B030000}"/>
    <cellStyle name="20% - Accent5 4 6 2" xfId="6609" xr:uid="{00000000-0005-0000-0000-00000C030000}"/>
    <cellStyle name="20% - Accent5 4 6 2 2" xfId="15059" xr:uid="{62DD7716-E1F0-4B31-912C-F8AA6147B8DB}"/>
    <cellStyle name="20% - Accent5 4 6 3" xfId="10841" xr:uid="{135857FB-390C-4E58-A8B1-E650BDAD3BAE}"/>
    <cellStyle name="20% - Accent5 4 7" xfId="4543" xr:uid="{00000000-0005-0000-0000-00000D030000}"/>
    <cellStyle name="20% - Accent5 4 7 2" xfId="12993" xr:uid="{78E15CA1-B632-4C33-A9C2-D85E1FB551E5}"/>
    <cellStyle name="20% - Accent5 4 8" xfId="8775" xr:uid="{891C2899-06C0-4B7F-AE44-1C592306D04E}"/>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7AACF2D0-194E-4615-A7BF-FB3999CFBD27}"/>
    <cellStyle name="20% - Accent5 5 2 3" xfId="11327" xr:uid="{0AA03940-23FB-4EBD-B7D2-7E5D7AD0E9CF}"/>
    <cellStyle name="20% - Accent5 5 3" xfId="4950" xr:uid="{00000000-0005-0000-0000-000011030000}"/>
    <cellStyle name="20% - Accent5 5 3 2" xfId="13400" xr:uid="{540D08C9-0AF9-4A20-941A-4EA4B5449688}"/>
    <cellStyle name="20% - Accent5 5 4" xfId="9182" xr:uid="{16693941-491F-47E2-AD5B-81A69C8FB0B2}"/>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A7A32800-1A07-4D89-BA3F-F49B292135FE}"/>
    <cellStyle name="20% - Accent5 6 2 3" xfId="11740" xr:uid="{3C6A00BE-54A1-4AE1-9F9B-4F8C691CC274}"/>
    <cellStyle name="20% - Accent5 6 3" xfId="5363" xr:uid="{00000000-0005-0000-0000-000015030000}"/>
    <cellStyle name="20% - Accent5 6 3 2" xfId="13813" xr:uid="{7C73365A-7682-45D1-9361-12ACBFD9B65B}"/>
    <cellStyle name="20% - Accent5 6 4" xfId="9595" xr:uid="{446C997F-3DD7-44A2-9AE9-CAF799872F8C}"/>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34B9C979-40FF-4C51-B83F-67DB2D6EA31A}"/>
    <cellStyle name="20% - Accent5 7 2 3" xfId="12153" xr:uid="{E9C0060A-03B6-49AA-AE01-A2083EBC05DB}"/>
    <cellStyle name="20% - Accent5 7 3" xfId="5776" xr:uid="{00000000-0005-0000-0000-000019030000}"/>
    <cellStyle name="20% - Accent5 7 3 2" xfId="14226" xr:uid="{FE3903DA-B9EA-40C9-ACF7-3DE5051100A1}"/>
    <cellStyle name="20% - Accent5 7 4" xfId="10008" xr:uid="{7FFECB6A-EB80-4E85-A88F-11D30B4280B0}"/>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03425F89-81CF-48DC-8AF6-60666098FB70}"/>
    <cellStyle name="20% - Accent5 8 2 3" xfId="12566" xr:uid="{8D8CB142-E604-4CD3-B1B9-E86B6110A9A3}"/>
    <cellStyle name="20% - Accent5 8 3" xfId="6189" xr:uid="{00000000-0005-0000-0000-00001D030000}"/>
    <cellStyle name="20% - Accent5 8 3 2" xfId="14639" xr:uid="{C6157324-77E2-4B15-B8DB-00E66C47B8AC}"/>
    <cellStyle name="20% - Accent5 8 4" xfId="10421" xr:uid="{9F515CED-0B8E-43D7-8F54-FDF608060545}"/>
    <cellStyle name="20% - Accent5 9" xfId="2296" xr:uid="{00000000-0005-0000-0000-00001E030000}"/>
    <cellStyle name="20% - Accent5 9 2" xfId="6602" xr:uid="{00000000-0005-0000-0000-00001F030000}"/>
    <cellStyle name="20% - Accent5 9 2 2" xfId="15052" xr:uid="{948D5DDE-5BC6-4F95-9309-B57EEDF08954}"/>
    <cellStyle name="20% - Accent5 9 3" xfId="10834" xr:uid="{BC1A374F-B903-48AE-9056-22F84C84C40E}"/>
    <cellStyle name="20% - Accent6" xfId="41" builtinId="50" customBuiltin="1"/>
    <cellStyle name="20% - Accent6 10" xfId="4544" xr:uid="{00000000-0005-0000-0000-000021030000}"/>
    <cellStyle name="20% - Accent6 10 2" xfId="12994" xr:uid="{FBF6CDDC-BCD0-4E8D-9E55-00ADA7FFFC91}"/>
    <cellStyle name="20% - Accent6 11" xfId="8776" xr:uid="{DA2732A8-F62E-4C83-9FC8-8501AAA594E4}"/>
    <cellStyle name="20% - Accent6 2" xfId="42" xr:uid="{00000000-0005-0000-0000-000022030000}"/>
    <cellStyle name="20% - Accent6 2 10" xfId="8777" xr:uid="{CA65D510-41AC-4235-97E1-95419FF3C891}"/>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3E7E5770-9FB7-48B9-A9A0-85B0F29BAC18}"/>
    <cellStyle name="20% - Accent6 2 2 2 2 2 3" xfId="11338" xr:uid="{7AF5F0CF-9115-4AF2-ACDA-C13355F29C5B}"/>
    <cellStyle name="20% - Accent6 2 2 2 2 3" xfId="4961" xr:uid="{00000000-0005-0000-0000-000028030000}"/>
    <cellStyle name="20% - Accent6 2 2 2 2 3 2" xfId="13411" xr:uid="{442EC508-316F-486B-8210-5E47A166C5BC}"/>
    <cellStyle name="20% - Accent6 2 2 2 2 4" xfId="9193" xr:uid="{9C5CBB5D-DC5B-4DFF-BC98-BD2E38337B21}"/>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4A574873-5208-4260-A036-18CC37902A47}"/>
    <cellStyle name="20% - Accent6 2 2 2 3 2 3" xfId="11751" xr:uid="{29DD4D53-29C6-427F-A25A-C9A678D9FB24}"/>
    <cellStyle name="20% - Accent6 2 2 2 3 3" xfId="5374" xr:uid="{00000000-0005-0000-0000-00002C030000}"/>
    <cellStyle name="20% - Accent6 2 2 2 3 3 2" xfId="13824" xr:uid="{1FB31999-5B09-49FD-A6F0-61D507E8EFBE}"/>
    <cellStyle name="20% - Accent6 2 2 2 3 4" xfId="9606" xr:uid="{8CB3F254-E938-4E0B-9C61-B4CE95DE6155}"/>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45AD3D75-8322-42C4-84E0-B5B63E9AEB6C}"/>
    <cellStyle name="20% - Accent6 2 2 2 4 2 3" xfId="12164" xr:uid="{AE9955A6-814E-41A6-958A-1B4A8033D639}"/>
    <cellStyle name="20% - Accent6 2 2 2 4 3" xfId="5787" xr:uid="{00000000-0005-0000-0000-000030030000}"/>
    <cellStyle name="20% - Accent6 2 2 2 4 3 2" xfId="14237" xr:uid="{30CBF515-B254-494D-85A7-6ACA7EBB7554}"/>
    <cellStyle name="20% - Accent6 2 2 2 4 4" xfId="10019" xr:uid="{E0E4F907-1756-496F-9FA3-8AEE2935D337}"/>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64E50671-9B45-42A6-BFDE-D9A2B85318D2}"/>
    <cellStyle name="20% - Accent6 2 2 2 5 2 3" xfId="12577" xr:uid="{2734E93E-2437-4CC1-9847-9CA699B1B03C}"/>
    <cellStyle name="20% - Accent6 2 2 2 5 3" xfId="6200" xr:uid="{00000000-0005-0000-0000-000034030000}"/>
    <cellStyle name="20% - Accent6 2 2 2 5 3 2" xfId="14650" xr:uid="{A295264F-B536-4BFE-9A0B-7CB17ABEE1DA}"/>
    <cellStyle name="20% - Accent6 2 2 2 5 4" xfId="10432" xr:uid="{14DB0139-315A-44FD-B292-CFC103CF330C}"/>
    <cellStyle name="20% - Accent6 2 2 2 6" xfId="2307" xr:uid="{00000000-0005-0000-0000-000035030000}"/>
    <cellStyle name="20% - Accent6 2 2 2 6 2" xfId="6613" xr:uid="{00000000-0005-0000-0000-000036030000}"/>
    <cellStyle name="20% - Accent6 2 2 2 6 2 2" xfId="15063" xr:uid="{C1598AFC-1224-4C14-90F0-F7D7E590CF7D}"/>
    <cellStyle name="20% - Accent6 2 2 2 6 3" xfId="10845" xr:uid="{1B26F597-D9DE-438B-9538-6E1501E4416F}"/>
    <cellStyle name="20% - Accent6 2 2 2 7" xfId="4547" xr:uid="{00000000-0005-0000-0000-000037030000}"/>
    <cellStyle name="20% - Accent6 2 2 2 7 2" xfId="12997" xr:uid="{4D6D81B7-069E-4DD1-ADCC-008E242F4CC2}"/>
    <cellStyle name="20% - Accent6 2 2 2 8" xfId="8779" xr:uid="{8BC99395-D329-40C1-A2B7-F9F83B0F96DD}"/>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7428ACF2-C0EC-4031-9B5C-9E36DFED7A72}"/>
    <cellStyle name="20% - Accent6 2 2 3 2 3" xfId="11337" xr:uid="{A84A0623-C9D6-4CAF-A046-46E20E36B6B2}"/>
    <cellStyle name="20% - Accent6 2 2 3 3" xfId="4960" xr:uid="{00000000-0005-0000-0000-00003B030000}"/>
    <cellStyle name="20% - Accent6 2 2 3 3 2" xfId="13410" xr:uid="{8CCF2EDC-63E1-4817-A82E-96722C4AD500}"/>
    <cellStyle name="20% - Accent6 2 2 3 4" xfId="9192" xr:uid="{0DD62F38-6132-42E1-8C64-E77909D63B3B}"/>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0096CB1C-8846-47CA-97C1-C013FD97AE61}"/>
    <cellStyle name="20% - Accent6 2 2 4 2 3" xfId="11750" xr:uid="{01787C31-BFAA-483F-84CA-386800D61CE3}"/>
    <cellStyle name="20% - Accent6 2 2 4 3" xfId="5373" xr:uid="{00000000-0005-0000-0000-00003F030000}"/>
    <cellStyle name="20% - Accent6 2 2 4 3 2" xfId="13823" xr:uid="{B38C4A7D-E7A4-4562-8F0C-1A4D31921635}"/>
    <cellStyle name="20% - Accent6 2 2 4 4" xfId="9605" xr:uid="{037EB080-29D2-4E47-A6B7-1126DE5FB32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9DD4E5E6-7961-4ADA-BA86-49BF54D96018}"/>
    <cellStyle name="20% - Accent6 2 2 5 2 3" xfId="12163" xr:uid="{9E485114-461E-4BA2-8186-16E160AC0630}"/>
    <cellStyle name="20% - Accent6 2 2 5 3" xfId="5786" xr:uid="{00000000-0005-0000-0000-000043030000}"/>
    <cellStyle name="20% - Accent6 2 2 5 3 2" xfId="14236" xr:uid="{2FE1A920-B8FB-4A7F-ADC9-AFDB645880D2}"/>
    <cellStyle name="20% - Accent6 2 2 5 4" xfId="10018" xr:uid="{BFCF88C3-9F64-47F5-B8C3-4DA3538EEED1}"/>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B940745A-72BF-49FE-9A2D-767766410892}"/>
    <cellStyle name="20% - Accent6 2 2 6 2 3" xfId="12576" xr:uid="{B3AE8BCA-9766-43F6-A104-1EAE23541BDF}"/>
    <cellStyle name="20% - Accent6 2 2 6 3" xfId="6199" xr:uid="{00000000-0005-0000-0000-000047030000}"/>
    <cellStyle name="20% - Accent6 2 2 6 3 2" xfId="14649" xr:uid="{8ED17E73-12E5-4EAD-B10B-50B45F9D7C20}"/>
    <cellStyle name="20% - Accent6 2 2 6 4" xfId="10431" xr:uid="{3DDDFEB0-A973-4B4C-AF0D-8A42F965B853}"/>
    <cellStyle name="20% - Accent6 2 2 7" xfId="2306" xr:uid="{00000000-0005-0000-0000-000048030000}"/>
    <cellStyle name="20% - Accent6 2 2 7 2" xfId="6612" xr:uid="{00000000-0005-0000-0000-000049030000}"/>
    <cellStyle name="20% - Accent6 2 2 7 2 2" xfId="15062" xr:uid="{11B09905-4550-4FA2-9C9A-535EA32A7BEC}"/>
    <cellStyle name="20% - Accent6 2 2 7 3" xfId="10844" xr:uid="{75E5F259-95CB-419E-863F-3C85C83FF4D4}"/>
    <cellStyle name="20% - Accent6 2 2 8" xfId="4546" xr:uid="{00000000-0005-0000-0000-00004A030000}"/>
    <cellStyle name="20% - Accent6 2 2 8 2" xfId="12996" xr:uid="{F6EF75AD-A2AD-4360-B0B2-CB421E91B1A4}"/>
    <cellStyle name="20% - Accent6 2 2 9" xfId="8778" xr:uid="{B6DDA854-6645-4329-803E-C34C6E92D3DD}"/>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EA37EC47-6428-47FA-BFDF-680B55DDA620}"/>
    <cellStyle name="20% - Accent6 2 3 2 2 3" xfId="11339" xr:uid="{FB6CD6FB-34EC-4333-B159-2EBC1956834E}"/>
    <cellStyle name="20% - Accent6 2 3 2 3" xfId="4962" xr:uid="{00000000-0005-0000-0000-00004F030000}"/>
    <cellStyle name="20% - Accent6 2 3 2 3 2" xfId="13412" xr:uid="{6E213B12-42AD-400E-B8DC-9FD32E211F1C}"/>
    <cellStyle name="20% - Accent6 2 3 2 4" xfId="9194" xr:uid="{047B54C6-DC9F-433F-A0A4-C81CF56BCE25}"/>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B862AF5B-9C62-4CC5-889D-07D828F6B9E5}"/>
    <cellStyle name="20% - Accent6 2 3 3 2 3" xfId="11752" xr:uid="{DD7A942E-5714-4C7C-A1AD-48FAEE152320}"/>
    <cellStyle name="20% - Accent6 2 3 3 3" xfId="5375" xr:uid="{00000000-0005-0000-0000-000053030000}"/>
    <cellStyle name="20% - Accent6 2 3 3 3 2" xfId="13825" xr:uid="{9F56550F-19FC-4CE5-9BA5-CF10812EEC93}"/>
    <cellStyle name="20% - Accent6 2 3 3 4" xfId="9607" xr:uid="{10B8A500-8F85-4C83-AB83-A49DFED4D5FF}"/>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2E02632F-974E-4FF0-85B6-71074F6FE5DE}"/>
    <cellStyle name="20% - Accent6 2 3 4 2 3" xfId="12165" xr:uid="{54FC200C-7CFD-4B0E-815B-5F3522368440}"/>
    <cellStyle name="20% - Accent6 2 3 4 3" xfId="5788" xr:uid="{00000000-0005-0000-0000-000057030000}"/>
    <cellStyle name="20% - Accent6 2 3 4 3 2" xfId="14238" xr:uid="{A74F9D3E-8191-4ED5-B586-A52DB801AA68}"/>
    <cellStyle name="20% - Accent6 2 3 4 4" xfId="10020" xr:uid="{1C870F1E-9351-4C67-AB54-7A893A52BDAD}"/>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F2CF25EA-D08D-47AF-B74E-1F2A2E715F97}"/>
    <cellStyle name="20% - Accent6 2 3 5 2 3" xfId="12578" xr:uid="{2A1904BD-49B0-473F-B5B0-784F39346E3B}"/>
    <cellStyle name="20% - Accent6 2 3 5 3" xfId="6201" xr:uid="{00000000-0005-0000-0000-00005B030000}"/>
    <cellStyle name="20% - Accent6 2 3 5 3 2" xfId="14651" xr:uid="{77A21CD6-1370-403F-9FFC-80BACBA4D3BF}"/>
    <cellStyle name="20% - Accent6 2 3 5 4" xfId="10433" xr:uid="{4349EE48-FB45-4473-B9C6-333AE215A682}"/>
    <cellStyle name="20% - Accent6 2 3 6" xfId="2308" xr:uid="{00000000-0005-0000-0000-00005C030000}"/>
    <cellStyle name="20% - Accent6 2 3 6 2" xfId="6614" xr:uid="{00000000-0005-0000-0000-00005D030000}"/>
    <cellStyle name="20% - Accent6 2 3 6 2 2" xfId="15064" xr:uid="{B150F80E-E204-4C9A-94B1-53B28486EFB9}"/>
    <cellStyle name="20% - Accent6 2 3 6 3" xfId="10846" xr:uid="{2C97409E-E1EA-4DC8-AB9E-4C755C525C50}"/>
    <cellStyle name="20% - Accent6 2 3 7" xfId="4548" xr:uid="{00000000-0005-0000-0000-00005E030000}"/>
    <cellStyle name="20% - Accent6 2 3 7 2" xfId="12998" xr:uid="{417EFC4B-39A7-4030-A2DE-503616D98739}"/>
    <cellStyle name="20% - Accent6 2 3 8" xfId="8780" xr:uid="{B4A4D966-4BED-4004-96D0-A18A75ED44AC}"/>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24C36729-C25D-4EA2-9B99-56E2C52A00E9}"/>
    <cellStyle name="20% - Accent6 2 4 2 3" xfId="11336" xr:uid="{5575C2AA-9DB5-4B3E-A2A3-307DBDF8F5B1}"/>
    <cellStyle name="20% - Accent6 2 4 3" xfId="4959" xr:uid="{00000000-0005-0000-0000-000062030000}"/>
    <cellStyle name="20% - Accent6 2 4 3 2" xfId="13409" xr:uid="{37FAF5A6-5770-44C0-AACF-424D0AD25CCF}"/>
    <cellStyle name="20% - Accent6 2 4 4" xfId="9191" xr:uid="{8BB8689A-B50F-4B18-8A4E-C1FC14FA98C7}"/>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455CA59D-17AB-4BD9-8964-DC50247E177A}"/>
    <cellStyle name="20% - Accent6 2 5 2 3" xfId="11749" xr:uid="{34577B9B-1DDC-4376-AAE8-5212813FA5B9}"/>
    <cellStyle name="20% - Accent6 2 5 3" xfId="5372" xr:uid="{00000000-0005-0000-0000-000066030000}"/>
    <cellStyle name="20% - Accent6 2 5 3 2" xfId="13822" xr:uid="{09FCA320-D9D7-4C36-9D31-B1A7BC816562}"/>
    <cellStyle name="20% - Accent6 2 5 4" xfId="9604" xr:uid="{485A2065-ED74-43A9-B8CE-F2A07DFCBA12}"/>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5A03BF29-856D-4CA3-930E-2ECEADA3DD51}"/>
    <cellStyle name="20% - Accent6 2 6 2 3" xfId="12162" xr:uid="{F691CC69-EC0F-424A-A297-69E0771E14F9}"/>
    <cellStyle name="20% - Accent6 2 6 3" xfId="5785" xr:uid="{00000000-0005-0000-0000-00006A030000}"/>
    <cellStyle name="20% - Accent6 2 6 3 2" xfId="14235" xr:uid="{43FCFE83-BAA2-4239-9C35-FD70293DF5D4}"/>
    <cellStyle name="20% - Accent6 2 6 4" xfId="10017" xr:uid="{D5DD46ED-F86D-4837-A9F5-C1E988F917AA}"/>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82741D54-11DB-4AA2-AD61-13D5126893AD}"/>
    <cellStyle name="20% - Accent6 2 7 2 3" xfId="12575" xr:uid="{D7918019-7010-4052-8A2F-A4ACC1992234}"/>
    <cellStyle name="20% - Accent6 2 7 3" xfId="6198" xr:uid="{00000000-0005-0000-0000-00006E030000}"/>
    <cellStyle name="20% - Accent6 2 7 3 2" xfId="14648" xr:uid="{444FB6C8-07ED-4FDD-8951-66328918E1C9}"/>
    <cellStyle name="20% - Accent6 2 7 4" xfId="10430" xr:uid="{72EA3BA5-B501-4804-BE46-F25AD07C4144}"/>
    <cellStyle name="20% - Accent6 2 8" xfId="2305" xr:uid="{00000000-0005-0000-0000-00006F030000}"/>
    <cellStyle name="20% - Accent6 2 8 2" xfId="6611" xr:uid="{00000000-0005-0000-0000-000070030000}"/>
    <cellStyle name="20% - Accent6 2 8 2 2" xfId="15061" xr:uid="{56D5BFBB-1221-4DA1-8F35-493B68D80441}"/>
    <cellStyle name="20% - Accent6 2 8 3" xfId="10843" xr:uid="{D3AC9154-650D-4A25-8132-B4ACBE0D5861}"/>
    <cellStyle name="20% - Accent6 2 9" xfId="4545" xr:uid="{00000000-0005-0000-0000-000071030000}"/>
    <cellStyle name="20% - Accent6 2 9 2" xfId="12995" xr:uid="{FFAEEC7E-E8A0-440A-ACFE-EB73343D4C05}"/>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A8194C5E-74AD-4EC7-A6E2-061EB6FB6EC7}"/>
    <cellStyle name="20% - Accent6 3 2 2 2 3" xfId="11341" xr:uid="{FF68AF2F-21F7-40D6-8A52-E9D3E87B5AF5}"/>
    <cellStyle name="20% - Accent6 3 2 2 3" xfId="4964" xr:uid="{00000000-0005-0000-0000-000077030000}"/>
    <cellStyle name="20% - Accent6 3 2 2 3 2" xfId="13414" xr:uid="{DA17C943-6600-41FB-8EE7-84315607A83D}"/>
    <cellStyle name="20% - Accent6 3 2 2 4" xfId="9196" xr:uid="{506A34E4-34AD-4CA9-A2A4-F207E596275F}"/>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5E1C6AD7-2E39-495D-B6C7-0A7FE61DF7D3}"/>
    <cellStyle name="20% - Accent6 3 2 3 2 3" xfId="11754" xr:uid="{62C6AA1F-0D22-4216-8EFA-5110F1D46A4D}"/>
    <cellStyle name="20% - Accent6 3 2 3 3" xfId="5377" xr:uid="{00000000-0005-0000-0000-00007B030000}"/>
    <cellStyle name="20% - Accent6 3 2 3 3 2" xfId="13827" xr:uid="{D00D5178-685B-4B80-B2D0-F4B69F31B2A5}"/>
    <cellStyle name="20% - Accent6 3 2 3 4" xfId="9609" xr:uid="{5D133108-132B-46BF-8BCF-460163199895}"/>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E12F977A-A84C-4E69-9E40-5834AB923324}"/>
    <cellStyle name="20% - Accent6 3 2 4 2 3" xfId="12167" xr:uid="{1A615513-F346-43BB-868A-694EDD07265A}"/>
    <cellStyle name="20% - Accent6 3 2 4 3" xfId="5790" xr:uid="{00000000-0005-0000-0000-00007F030000}"/>
    <cellStyle name="20% - Accent6 3 2 4 3 2" xfId="14240" xr:uid="{E44F50CD-A683-4E52-96C5-BA475B3C9627}"/>
    <cellStyle name="20% - Accent6 3 2 4 4" xfId="10022" xr:uid="{CB21F684-A339-4EB7-A53C-44E2DF5AF3D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1166BCD5-6B68-4B4E-A31C-41B8BC7C5F86}"/>
    <cellStyle name="20% - Accent6 3 2 5 2 3" xfId="12580" xr:uid="{478CFCBF-3714-4294-B964-D774CB9DD0B7}"/>
    <cellStyle name="20% - Accent6 3 2 5 3" xfId="6203" xr:uid="{00000000-0005-0000-0000-000083030000}"/>
    <cellStyle name="20% - Accent6 3 2 5 3 2" xfId="14653" xr:uid="{36A1C631-F4E5-4303-B69A-3746E8DE9CEE}"/>
    <cellStyle name="20% - Accent6 3 2 5 4" xfId="10435" xr:uid="{C6BD3E6B-B62F-4A56-9997-B6507EE3300E}"/>
    <cellStyle name="20% - Accent6 3 2 6" xfId="2310" xr:uid="{00000000-0005-0000-0000-000084030000}"/>
    <cellStyle name="20% - Accent6 3 2 6 2" xfId="6616" xr:uid="{00000000-0005-0000-0000-000085030000}"/>
    <cellStyle name="20% - Accent6 3 2 6 2 2" xfId="15066" xr:uid="{93E28CF9-A5FE-45B9-82C9-5243D6BEEAC6}"/>
    <cellStyle name="20% - Accent6 3 2 6 3" xfId="10848" xr:uid="{A995D2D9-0ACF-417E-BD6C-3CEF70B78234}"/>
    <cellStyle name="20% - Accent6 3 2 7" xfId="4550" xr:uid="{00000000-0005-0000-0000-000086030000}"/>
    <cellStyle name="20% - Accent6 3 2 7 2" xfId="13000" xr:uid="{E52F59C0-4954-4EB5-829F-61835DAC9755}"/>
    <cellStyle name="20% - Accent6 3 2 8" xfId="8782" xr:uid="{56E292C2-BE1C-4D52-BD69-9C456CE67861}"/>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DA4DE584-A397-4789-9BB5-A592CC464F0F}"/>
    <cellStyle name="20% - Accent6 3 3 2 3" xfId="11340" xr:uid="{A19A3C18-EFCF-487F-B344-D3CEBA600436}"/>
    <cellStyle name="20% - Accent6 3 3 3" xfId="4963" xr:uid="{00000000-0005-0000-0000-00008A030000}"/>
    <cellStyle name="20% - Accent6 3 3 3 2" xfId="13413" xr:uid="{C1EB242B-9DCB-4AE5-BCB4-705085E2F147}"/>
    <cellStyle name="20% - Accent6 3 3 4" xfId="9195" xr:uid="{72CFC98B-6123-4D3F-A471-40FDAAC8EE80}"/>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0D95F538-8627-4695-8064-E50D6911EA95}"/>
    <cellStyle name="20% - Accent6 3 4 2 3" xfId="11753" xr:uid="{E0FA991B-1FBA-48F3-BDC1-85B3D2F22372}"/>
    <cellStyle name="20% - Accent6 3 4 3" xfId="5376" xr:uid="{00000000-0005-0000-0000-00008E030000}"/>
    <cellStyle name="20% - Accent6 3 4 3 2" xfId="13826" xr:uid="{DFB9F77E-ED9E-488E-AA4D-958B396E8FEE}"/>
    <cellStyle name="20% - Accent6 3 4 4" xfId="9608" xr:uid="{8A7B62F6-781E-4636-B169-D3AF3F3946E4}"/>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1FA339D9-E3E0-43C1-8AF1-6E925941C44D}"/>
    <cellStyle name="20% - Accent6 3 5 2 3" xfId="12166" xr:uid="{5786964A-664E-44EC-8C04-D21A4CFAE264}"/>
    <cellStyle name="20% - Accent6 3 5 3" xfId="5789" xr:uid="{00000000-0005-0000-0000-000092030000}"/>
    <cellStyle name="20% - Accent6 3 5 3 2" xfId="14239" xr:uid="{2D050E0E-5A8F-4CDD-8B23-433BDA335D5E}"/>
    <cellStyle name="20% - Accent6 3 5 4" xfId="10021" xr:uid="{9721F66F-1119-44AE-9831-293E0833DF26}"/>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525B4B49-577D-4E08-95ED-01F9A990E9FD}"/>
    <cellStyle name="20% - Accent6 3 6 2 3" xfId="12579" xr:uid="{2E2CDABE-18FE-49E3-A44E-758735D7303E}"/>
    <cellStyle name="20% - Accent6 3 6 3" xfId="6202" xr:uid="{00000000-0005-0000-0000-000096030000}"/>
    <cellStyle name="20% - Accent6 3 6 3 2" xfId="14652" xr:uid="{B004D0B2-3428-46D4-93E2-565C24E811F6}"/>
    <cellStyle name="20% - Accent6 3 6 4" xfId="10434" xr:uid="{B9BE3FA4-96F4-41F2-B012-3B1FFB03997D}"/>
    <cellStyle name="20% - Accent6 3 7" xfId="2309" xr:uid="{00000000-0005-0000-0000-000097030000}"/>
    <cellStyle name="20% - Accent6 3 7 2" xfId="6615" xr:uid="{00000000-0005-0000-0000-000098030000}"/>
    <cellStyle name="20% - Accent6 3 7 2 2" xfId="15065" xr:uid="{862FF0C2-D6F3-419A-9DC4-619D0BA6619F}"/>
    <cellStyle name="20% - Accent6 3 7 3" xfId="10847" xr:uid="{1FF427FC-B169-49F3-9151-6DDCDFBBF10F}"/>
    <cellStyle name="20% - Accent6 3 8" xfId="4549" xr:uid="{00000000-0005-0000-0000-000099030000}"/>
    <cellStyle name="20% - Accent6 3 8 2" xfId="12999" xr:uid="{6C34BBFD-F6FA-4EDA-9B10-C8C50E2EAC9E}"/>
    <cellStyle name="20% - Accent6 3 9" xfId="8781" xr:uid="{371530BE-FCFD-40A2-9049-F83560881B34}"/>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22FB56AC-A4F4-4189-BC9F-C4BE5E77E4CE}"/>
    <cellStyle name="20% - Accent6 4 2 2 3" xfId="11342" xr:uid="{D3F44083-65C0-4BBF-B3CB-211450952A4A}"/>
    <cellStyle name="20% - Accent6 4 2 3" xfId="4965" xr:uid="{00000000-0005-0000-0000-00009E030000}"/>
    <cellStyle name="20% - Accent6 4 2 3 2" xfId="13415" xr:uid="{22A465C0-54D4-44A1-9456-08904A8D2D08}"/>
    <cellStyle name="20% - Accent6 4 2 4" xfId="9197" xr:uid="{4EA31444-2E42-41AF-A6CC-5E405B6F5C8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4306487E-121B-45E7-A2B9-A8B4F3B9E301}"/>
    <cellStyle name="20% - Accent6 4 3 2 3" xfId="11755" xr:uid="{E1A3E97D-870D-4ADA-B5F2-1878A9C17270}"/>
    <cellStyle name="20% - Accent6 4 3 3" xfId="5378" xr:uid="{00000000-0005-0000-0000-0000A2030000}"/>
    <cellStyle name="20% - Accent6 4 3 3 2" xfId="13828" xr:uid="{AA25FCC8-F35A-4B67-9D09-81D1A84D690A}"/>
    <cellStyle name="20% - Accent6 4 3 4" xfId="9610" xr:uid="{FED37B54-2E3D-42C2-B6BB-EA55FF6A1B9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4723CD44-2875-4D40-BA69-DA60EF455982}"/>
    <cellStyle name="20% - Accent6 4 4 2 3" xfId="12168" xr:uid="{166BC77A-44AC-4139-83B1-D65A01A74EE3}"/>
    <cellStyle name="20% - Accent6 4 4 3" xfId="5791" xr:uid="{00000000-0005-0000-0000-0000A6030000}"/>
    <cellStyle name="20% - Accent6 4 4 3 2" xfId="14241" xr:uid="{844A3FC6-DBEB-4A43-84E6-1E4EE9AFBC1D}"/>
    <cellStyle name="20% - Accent6 4 4 4" xfId="10023" xr:uid="{D8EFB18B-298E-41BB-A919-D79E5A0B86A2}"/>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0FD1F997-7554-465C-8FD7-7629FA7263E9}"/>
    <cellStyle name="20% - Accent6 4 5 2 3" xfId="12581" xr:uid="{5C8AAFD0-1BE3-40BD-86FF-71A009E1D28D}"/>
    <cellStyle name="20% - Accent6 4 5 3" xfId="6204" xr:uid="{00000000-0005-0000-0000-0000AA030000}"/>
    <cellStyle name="20% - Accent6 4 5 3 2" xfId="14654" xr:uid="{EFE58172-8524-4DD7-86C3-97ACC0EE36B8}"/>
    <cellStyle name="20% - Accent6 4 5 4" xfId="10436" xr:uid="{C9193F74-14F5-4277-9D20-0C33403A0BEC}"/>
    <cellStyle name="20% - Accent6 4 6" xfId="2311" xr:uid="{00000000-0005-0000-0000-0000AB030000}"/>
    <cellStyle name="20% - Accent6 4 6 2" xfId="6617" xr:uid="{00000000-0005-0000-0000-0000AC030000}"/>
    <cellStyle name="20% - Accent6 4 6 2 2" xfId="15067" xr:uid="{CFB1A0C7-7D9C-4A36-84ED-83542003EB6D}"/>
    <cellStyle name="20% - Accent6 4 6 3" xfId="10849" xr:uid="{D3AE82E1-0F57-4C47-88DB-FA70F9051C07}"/>
    <cellStyle name="20% - Accent6 4 7" xfId="4551" xr:uid="{00000000-0005-0000-0000-0000AD030000}"/>
    <cellStyle name="20% - Accent6 4 7 2" xfId="13001" xr:uid="{DF4E93E2-F5EE-418D-B95E-DDA04C501F00}"/>
    <cellStyle name="20% - Accent6 4 8" xfId="8783" xr:uid="{D851E332-FB75-4B84-AD87-E33F6C3AE5B1}"/>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15CB8E3D-96A2-48F1-A17F-CFBB0B48563F}"/>
    <cellStyle name="20% - Accent6 5 2 3" xfId="11335" xr:uid="{DEA0B362-057D-4838-870C-7D3E2B39AD51}"/>
    <cellStyle name="20% - Accent6 5 3" xfId="4958" xr:uid="{00000000-0005-0000-0000-0000B1030000}"/>
    <cellStyle name="20% - Accent6 5 3 2" xfId="13408" xr:uid="{E9EC1C20-D62B-48CC-811E-8A702FFAD011}"/>
    <cellStyle name="20% - Accent6 5 4" xfId="9190" xr:uid="{99447689-776C-4B3C-8F6C-C73C985E69F3}"/>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7F230369-3100-4741-822D-288546B49ECB}"/>
    <cellStyle name="20% - Accent6 6 2 3" xfId="11748" xr:uid="{BC3D0407-4F0B-4B13-A524-8C855A83B6A7}"/>
    <cellStyle name="20% - Accent6 6 3" xfId="5371" xr:uid="{00000000-0005-0000-0000-0000B5030000}"/>
    <cellStyle name="20% - Accent6 6 3 2" xfId="13821" xr:uid="{88328D41-324D-498B-8670-CB83BCB3F183}"/>
    <cellStyle name="20% - Accent6 6 4" xfId="9603" xr:uid="{D4BB5D93-8621-4686-80D8-97E46A24D4E2}"/>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87314F4A-72A2-4821-8889-D091F06B56FF}"/>
    <cellStyle name="20% - Accent6 7 2 3" xfId="12161" xr:uid="{2B856CF3-DA17-4C20-8614-76675B8BF08A}"/>
    <cellStyle name="20% - Accent6 7 3" xfId="5784" xr:uid="{00000000-0005-0000-0000-0000B9030000}"/>
    <cellStyle name="20% - Accent6 7 3 2" xfId="14234" xr:uid="{351C315D-172E-4D5A-9CD9-AD295D2FBF35}"/>
    <cellStyle name="20% - Accent6 7 4" xfId="10016" xr:uid="{B7128F05-6E8F-4116-9E9B-C3F9EA15A14A}"/>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8FA8452F-0AA7-406D-8A06-45EB2AA1CC3B}"/>
    <cellStyle name="20% - Accent6 8 2 3" xfId="12574" xr:uid="{2A0801D6-7E7B-4042-AD9D-39730487C7DD}"/>
    <cellStyle name="20% - Accent6 8 3" xfId="6197" xr:uid="{00000000-0005-0000-0000-0000BD030000}"/>
    <cellStyle name="20% - Accent6 8 3 2" xfId="14647" xr:uid="{D1483875-7C5E-4ED4-B65C-D6E13F45207F}"/>
    <cellStyle name="20% - Accent6 8 4" xfId="10429" xr:uid="{BA3F57A7-51D7-4A95-AE2F-56F4976023F3}"/>
    <cellStyle name="20% - Accent6 9" xfId="2304" xr:uid="{00000000-0005-0000-0000-0000BE030000}"/>
    <cellStyle name="20% - Accent6 9 2" xfId="6610" xr:uid="{00000000-0005-0000-0000-0000BF030000}"/>
    <cellStyle name="20% - Accent6 9 2 2" xfId="15060" xr:uid="{755E3236-C9B5-4E12-A20D-3C3B6F773D1F}"/>
    <cellStyle name="20% - Accent6 9 3" xfId="10842" xr:uid="{B8E9176D-CF61-418C-A8AE-007F0AF2AC96}"/>
    <cellStyle name="40% - Accent1" xfId="49" builtinId="31" customBuiltin="1"/>
    <cellStyle name="40% - Accent1 10" xfId="4552" xr:uid="{00000000-0005-0000-0000-0000C1030000}"/>
    <cellStyle name="40% - Accent1 10 2" xfId="13002" xr:uid="{26F8F4F1-C3B7-4B18-9362-7C7427190350}"/>
    <cellStyle name="40% - Accent1 11" xfId="8784" xr:uid="{DC3D9666-0466-4E45-80FB-E551C7BD8DD6}"/>
    <cellStyle name="40% - Accent1 2" xfId="50" xr:uid="{00000000-0005-0000-0000-0000C2030000}"/>
    <cellStyle name="40% - Accent1 2 10" xfId="8785" xr:uid="{F6BBC3D8-2EA0-459D-A0E7-1E813531DEDC}"/>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25FAD3F5-D309-41BF-B7B4-62734432892E}"/>
    <cellStyle name="40% - Accent1 2 2 2 2 2 3" xfId="11346" xr:uid="{C84C92DC-35EA-48DE-AB6A-C9BC4C4A9F12}"/>
    <cellStyle name="40% - Accent1 2 2 2 2 3" xfId="4969" xr:uid="{00000000-0005-0000-0000-0000C8030000}"/>
    <cellStyle name="40% - Accent1 2 2 2 2 3 2" xfId="13419" xr:uid="{7DDB6D46-FD79-4C6E-AE08-18BFEA12DE7C}"/>
    <cellStyle name="40% - Accent1 2 2 2 2 4" xfId="9201" xr:uid="{D1D9700B-99BB-4C9E-881F-195232EFC053}"/>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62BF50AE-13EC-4C46-8FE0-5FA7C29D44FB}"/>
    <cellStyle name="40% - Accent1 2 2 2 3 2 3" xfId="11759" xr:uid="{001326A7-A1D3-4010-A42F-94A7909B9C64}"/>
    <cellStyle name="40% - Accent1 2 2 2 3 3" xfId="5382" xr:uid="{00000000-0005-0000-0000-0000CC030000}"/>
    <cellStyle name="40% - Accent1 2 2 2 3 3 2" xfId="13832" xr:uid="{F4611E2C-1537-4406-BB9C-88312B964B69}"/>
    <cellStyle name="40% - Accent1 2 2 2 3 4" xfId="9614" xr:uid="{96790EF6-C1D0-4070-A2E3-F4DFB4FFFBD9}"/>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2302641A-E4BA-4AEC-816F-6502D6D49E75}"/>
    <cellStyle name="40% - Accent1 2 2 2 4 2 3" xfId="12172" xr:uid="{6068DEA5-E949-4636-AA0E-1211510D3E26}"/>
    <cellStyle name="40% - Accent1 2 2 2 4 3" xfId="5795" xr:uid="{00000000-0005-0000-0000-0000D0030000}"/>
    <cellStyle name="40% - Accent1 2 2 2 4 3 2" xfId="14245" xr:uid="{E63C6725-014A-4CD9-A649-3048D78522F2}"/>
    <cellStyle name="40% - Accent1 2 2 2 4 4" xfId="10027" xr:uid="{D75A6D62-8B64-497B-9BFB-F6DF1DEEE4B8}"/>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C5C60DB3-A270-4BBA-83CA-B4CDBD105D9E}"/>
    <cellStyle name="40% - Accent1 2 2 2 5 2 3" xfId="12585" xr:uid="{75426DA1-46A7-4E05-BCBB-4B069A19ED5B}"/>
    <cellStyle name="40% - Accent1 2 2 2 5 3" xfId="6208" xr:uid="{00000000-0005-0000-0000-0000D4030000}"/>
    <cellStyle name="40% - Accent1 2 2 2 5 3 2" xfId="14658" xr:uid="{776D9145-1409-4194-9476-02CD4E2357F6}"/>
    <cellStyle name="40% - Accent1 2 2 2 5 4" xfId="10440" xr:uid="{80B13B41-5405-45E3-8893-13D2839FE892}"/>
    <cellStyle name="40% - Accent1 2 2 2 6" xfId="2315" xr:uid="{00000000-0005-0000-0000-0000D5030000}"/>
    <cellStyle name="40% - Accent1 2 2 2 6 2" xfId="6621" xr:uid="{00000000-0005-0000-0000-0000D6030000}"/>
    <cellStyle name="40% - Accent1 2 2 2 6 2 2" xfId="15071" xr:uid="{9EEA07F0-E8A2-4510-AF38-3A102E65A220}"/>
    <cellStyle name="40% - Accent1 2 2 2 6 3" xfId="10853" xr:uid="{4705A4A0-711E-42BD-98E4-4990FE914B6F}"/>
    <cellStyle name="40% - Accent1 2 2 2 7" xfId="4555" xr:uid="{00000000-0005-0000-0000-0000D7030000}"/>
    <cellStyle name="40% - Accent1 2 2 2 7 2" xfId="13005" xr:uid="{EC8FC503-67A1-4CAB-8836-CBE512E96737}"/>
    <cellStyle name="40% - Accent1 2 2 2 8" xfId="8787" xr:uid="{56403EC0-4F03-4BE0-911C-3731A9392DFF}"/>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EF57621E-7EB3-4DE9-87A7-B16B08C67DF4}"/>
    <cellStyle name="40% - Accent1 2 2 3 2 3" xfId="11345" xr:uid="{FDC79E17-9CFC-4DEA-8BAF-F62177F97470}"/>
    <cellStyle name="40% - Accent1 2 2 3 3" xfId="4968" xr:uid="{00000000-0005-0000-0000-0000DB030000}"/>
    <cellStyle name="40% - Accent1 2 2 3 3 2" xfId="13418" xr:uid="{5F62AB3A-74AA-4C08-BA4C-165F4CBB3686}"/>
    <cellStyle name="40% - Accent1 2 2 3 4" xfId="9200" xr:uid="{462D1425-1A05-4FB3-9893-1A954C3D689D}"/>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9A68AFCF-A2EA-44AD-A083-4588DD101442}"/>
    <cellStyle name="40% - Accent1 2 2 4 2 3" xfId="11758" xr:uid="{B0954C0F-CA7D-4C7A-8C02-3C31CE368A9E}"/>
    <cellStyle name="40% - Accent1 2 2 4 3" xfId="5381" xr:uid="{00000000-0005-0000-0000-0000DF030000}"/>
    <cellStyle name="40% - Accent1 2 2 4 3 2" xfId="13831" xr:uid="{12A4E2FE-2491-4C16-9BD3-D2F5E94C7143}"/>
    <cellStyle name="40% - Accent1 2 2 4 4" xfId="9613" xr:uid="{17C91713-EA6A-4D8E-BF21-ADBDB04A163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134A6C0D-2EFF-451B-9AF8-6352654922D1}"/>
    <cellStyle name="40% - Accent1 2 2 5 2 3" xfId="12171" xr:uid="{557DB385-C0A5-4B2D-8C20-2CEB82026CF3}"/>
    <cellStyle name="40% - Accent1 2 2 5 3" xfId="5794" xr:uid="{00000000-0005-0000-0000-0000E3030000}"/>
    <cellStyle name="40% - Accent1 2 2 5 3 2" xfId="14244" xr:uid="{ED8A0869-CE0E-4300-BA56-834883EA2C4C}"/>
    <cellStyle name="40% - Accent1 2 2 5 4" xfId="10026" xr:uid="{7ECB1218-A9A9-4442-A6D2-7DE30773736D}"/>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6CF85A29-8F1B-4401-85CE-A3F3F65E5254}"/>
    <cellStyle name="40% - Accent1 2 2 6 2 3" xfId="12584" xr:uid="{4617E656-A4F3-4144-BBB4-4F3D7F9D2DFE}"/>
    <cellStyle name="40% - Accent1 2 2 6 3" xfId="6207" xr:uid="{00000000-0005-0000-0000-0000E7030000}"/>
    <cellStyle name="40% - Accent1 2 2 6 3 2" xfId="14657" xr:uid="{B0F6FF21-0B33-4135-98E4-6DB46F3570F7}"/>
    <cellStyle name="40% - Accent1 2 2 6 4" xfId="10439" xr:uid="{BE2E5324-E8D7-422E-ADD2-51727D91A13B}"/>
    <cellStyle name="40% - Accent1 2 2 7" xfId="2314" xr:uid="{00000000-0005-0000-0000-0000E8030000}"/>
    <cellStyle name="40% - Accent1 2 2 7 2" xfId="6620" xr:uid="{00000000-0005-0000-0000-0000E9030000}"/>
    <cellStyle name="40% - Accent1 2 2 7 2 2" xfId="15070" xr:uid="{1074B6F1-A93D-4D85-87C7-AECEF6D15E27}"/>
    <cellStyle name="40% - Accent1 2 2 7 3" xfId="10852" xr:uid="{E14B2D00-D47E-491B-96C4-1550DECEE08E}"/>
    <cellStyle name="40% - Accent1 2 2 8" xfId="4554" xr:uid="{00000000-0005-0000-0000-0000EA030000}"/>
    <cellStyle name="40% - Accent1 2 2 8 2" xfId="13004" xr:uid="{D82995EA-6E13-4A82-8AEF-BE17C241FF43}"/>
    <cellStyle name="40% - Accent1 2 2 9" xfId="8786" xr:uid="{3EE34116-4C7A-4658-9F8D-D7798A6065F2}"/>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F8B86B63-26C7-4F62-978F-74B2A0DD1359}"/>
    <cellStyle name="40% - Accent1 2 3 2 2 3" xfId="11347" xr:uid="{FFABE82A-D6D9-4BC2-8CA3-A55948EC69EE}"/>
    <cellStyle name="40% - Accent1 2 3 2 3" xfId="4970" xr:uid="{00000000-0005-0000-0000-0000EF030000}"/>
    <cellStyle name="40% - Accent1 2 3 2 3 2" xfId="13420" xr:uid="{C2735351-B599-4E8E-8C8C-A1BF8C0F4F91}"/>
    <cellStyle name="40% - Accent1 2 3 2 4" xfId="9202" xr:uid="{3F1D3C8D-6B20-4307-B8FA-57B295EC3B5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AFE59C4D-82B8-478A-A94E-6A4F942C6823}"/>
    <cellStyle name="40% - Accent1 2 3 3 2 3" xfId="11760" xr:uid="{2AA93027-5962-48B7-A54E-887AE8E5371E}"/>
    <cellStyle name="40% - Accent1 2 3 3 3" xfId="5383" xr:uid="{00000000-0005-0000-0000-0000F3030000}"/>
    <cellStyle name="40% - Accent1 2 3 3 3 2" xfId="13833" xr:uid="{700116C8-F16D-4FA2-A4D8-6A70F208762B}"/>
    <cellStyle name="40% - Accent1 2 3 3 4" xfId="9615" xr:uid="{FAF96A28-38BF-41C5-A37C-7486976C3CB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B6057485-7852-4A05-86C7-4F3AE4583F69}"/>
    <cellStyle name="40% - Accent1 2 3 4 2 3" xfId="12173" xr:uid="{D4C146F7-0CAD-4EE5-A5C8-C62C7992E368}"/>
    <cellStyle name="40% - Accent1 2 3 4 3" xfId="5796" xr:uid="{00000000-0005-0000-0000-0000F7030000}"/>
    <cellStyle name="40% - Accent1 2 3 4 3 2" xfId="14246" xr:uid="{1150B178-5C95-40C0-B198-623360A9B15F}"/>
    <cellStyle name="40% - Accent1 2 3 4 4" xfId="10028" xr:uid="{5B3F6656-D913-4EEC-9ECA-DB17976546E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11CEB1BE-23B4-4290-B007-412450A87585}"/>
    <cellStyle name="40% - Accent1 2 3 5 2 3" xfId="12586" xr:uid="{3D11F74D-09E2-48C8-896E-35CAF1F299C6}"/>
    <cellStyle name="40% - Accent1 2 3 5 3" xfId="6209" xr:uid="{00000000-0005-0000-0000-0000FB030000}"/>
    <cellStyle name="40% - Accent1 2 3 5 3 2" xfId="14659" xr:uid="{A8C3DE03-D158-477F-8E86-F1779EDB0A78}"/>
    <cellStyle name="40% - Accent1 2 3 5 4" xfId="10441" xr:uid="{4F2B60F2-37C1-4DEA-8707-E1BE135B4806}"/>
    <cellStyle name="40% - Accent1 2 3 6" xfId="2316" xr:uid="{00000000-0005-0000-0000-0000FC030000}"/>
    <cellStyle name="40% - Accent1 2 3 6 2" xfId="6622" xr:uid="{00000000-0005-0000-0000-0000FD030000}"/>
    <cellStyle name="40% - Accent1 2 3 6 2 2" xfId="15072" xr:uid="{AE8242D2-3155-4E7D-B0A6-D78162E2B86A}"/>
    <cellStyle name="40% - Accent1 2 3 6 3" xfId="10854" xr:uid="{222AB0C4-459F-4F0D-860A-75288F6F6240}"/>
    <cellStyle name="40% - Accent1 2 3 7" xfId="4556" xr:uid="{00000000-0005-0000-0000-0000FE030000}"/>
    <cellStyle name="40% - Accent1 2 3 7 2" xfId="13006" xr:uid="{538D0524-71A9-4D84-8572-11BFF4DEC085}"/>
    <cellStyle name="40% - Accent1 2 3 8" xfId="8788" xr:uid="{1F2514D3-8C74-40E1-A63F-2F65C5DC20B4}"/>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21069A4F-0AB6-41F2-924D-75389F7EAA7F}"/>
    <cellStyle name="40% - Accent1 2 4 2 3" xfId="11344" xr:uid="{05BD0F16-0541-4FC9-9995-44D0BDA44198}"/>
    <cellStyle name="40% - Accent1 2 4 3" xfId="4967" xr:uid="{00000000-0005-0000-0000-000002040000}"/>
    <cellStyle name="40% - Accent1 2 4 3 2" xfId="13417" xr:uid="{8EB2777A-F53A-42A8-B4CC-3C03BA9EDD18}"/>
    <cellStyle name="40% - Accent1 2 4 4" xfId="9199" xr:uid="{4D976CCD-92F3-4581-B510-2C9185BE1747}"/>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3DFAA578-36B0-4BCD-8C69-13A18DA2A820}"/>
    <cellStyle name="40% - Accent1 2 5 2 3" xfId="11757" xr:uid="{764848CB-EA9E-40B9-B787-1A0A4ABE4015}"/>
    <cellStyle name="40% - Accent1 2 5 3" xfId="5380" xr:uid="{00000000-0005-0000-0000-000006040000}"/>
    <cellStyle name="40% - Accent1 2 5 3 2" xfId="13830" xr:uid="{27B97062-625C-4813-9295-74AE53A0B198}"/>
    <cellStyle name="40% - Accent1 2 5 4" xfId="9612" xr:uid="{606E0C35-EB0F-4209-9701-A15202075367}"/>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06F29C6C-4D3F-49CA-8FB0-32302CABE31B}"/>
    <cellStyle name="40% - Accent1 2 6 2 3" xfId="12170" xr:uid="{966460E8-AC60-4732-BE1A-68BE99F5171E}"/>
    <cellStyle name="40% - Accent1 2 6 3" xfId="5793" xr:uid="{00000000-0005-0000-0000-00000A040000}"/>
    <cellStyle name="40% - Accent1 2 6 3 2" xfId="14243" xr:uid="{4BDBCCC7-2D03-4E20-8D5E-95E54B1A564C}"/>
    <cellStyle name="40% - Accent1 2 6 4" xfId="10025" xr:uid="{F56820F5-1881-4C35-B762-D8D2D21B6B5A}"/>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A94877D-B7F2-4B8B-AA50-B4453A93EDAA}"/>
    <cellStyle name="40% - Accent1 2 7 2 3" xfId="12583" xr:uid="{B6BF397C-4F12-4B39-9319-2FEC34D06B48}"/>
    <cellStyle name="40% - Accent1 2 7 3" xfId="6206" xr:uid="{00000000-0005-0000-0000-00000E040000}"/>
    <cellStyle name="40% - Accent1 2 7 3 2" xfId="14656" xr:uid="{510F28DF-22C1-4D74-917D-C0B1380871B4}"/>
    <cellStyle name="40% - Accent1 2 7 4" xfId="10438" xr:uid="{EA2ABC34-165A-4CD2-8FBB-803685BD7C7A}"/>
    <cellStyle name="40% - Accent1 2 8" xfId="2313" xr:uid="{00000000-0005-0000-0000-00000F040000}"/>
    <cellStyle name="40% - Accent1 2 8 2" xfId="6619" xr:uid="{00000000-0005-0000-0000-000010040000}"/>
    <cellStyle name="40% - Accent1 2 8 2 2" xfId="15069" xr:uid="{7D918FF2-4E9D-4EC3-A49B-A3A1A333F188}"/>
    <cellStyle name="40% - Accent1 2 8 3" xfId="10851" xr:uid="{3ED0D188-0D0C-426F-90B7-5DAD1C5149B4}"/>
    <cellStyle name="40% - Accent1 2 9" xfId="4553" xr:uid="{00000000-0005-0000-0000-000011040000}"/>
    <cellStyle name="40% - Accent1 2 9 2" xfId="13003" xr:uid="{7C607CE3-0933-4D87-B451-19C126749E3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A082C8FB-2193-4CE7-80CC-87717DEBCEFB}"/>
    <cellStyle name="40% - Accent1 3 2 2 2 3" xfId="11349" xr:uid="{375ABA71-57FC-42A2-A483-46A39C56615C}"/>
    <cellStyle name="40% - Accent1 3 2 2 3" xfId="4972" xr:uid="{00000000-0005-0000-0000-000017040000}"/>
    <cellStyle name="40% - Accent1 3 2 2 3 2" xfId="13422" xr:uid="{921E9489-5200-469A-B959-277953EE7726}"/>
    <cellStyle name="40% - Accent1 3 2 2 4" xfId="9204" xr:uid="{AA575E59-A6DA-44C7-B50F-C0261A808AE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AD9B19B8-1636-4867-8050-1D5BA66EBC58}"/>
    <cellStyle name="40% - Accent1 3 2 3 2 3" xfId="11762" xr:uid="{BF2E7CC1-742C-4DF6-9198-304961918DCA}"/>
    <cellStyle name="40% - Accent1 3 2 3 3" xfId="5385" xr:uid="{00000000-0005-0000-0000-00001B040000}"/>
    <cellStyle name="40% - Accent1 3 2 3 3 2" xfId="13835" xr:uid="{0C5C9A11-847A-4791-8870-3D85FF3C8EAD}"/>
    <cellStyle name="40% - Accent1 3 2 3 4" xfId="9617" xr:uid="{456B42C5-C6DA-4435-A34C-CD3113D4859B}"/>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9594325D-D0F0-4CAC-89A9-60AC685D364E}"/>
    <cellStyle name="40% - Accent1 3 2 4 2 3" xfId="12175" xr:uid="{701929F1-E63F-4161-87D2-3A1EA6AC8342}"/>
    <cellStyle name="40% - Accent1 3 2 4 3" xfId="5798" xr:uid="{00000000-0005-0000-0000-00001F040000}"/>
    <cellStyle name="40% - Accent1 3 2 4 3 2" xfId="14248" xr:uid="{882D36F7-96F2-446A-8280-687DBA96519E}"/>
    <cellStyle name="40% - Accent1 3 2 4 4" xfId="10030" xr:uid="{22BD9E6F-FB69-4004-B509-A886BDE8C482}"/>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85D4A6A9-63D7-4784-BEC5-511995AF309C}"/>
    <cellStyle name="40% - Accent1 3 2 5 2 3" xfId="12588" xr:uid="{C60AE49E-7789-4FD8-9560-082C65B2FBB0}"/>
    <cellStyle name="40% - Accent1 3 2 5 3" xfId="6211" xr:uid="{00000000-0005-0000-0000-000023040000}"/>
    <cellStyle name="40% - Accent1 3 2 5 3 2" xfId="14661" xr:uid="{0AB1F4D8-BFC9-496A-A5E7-6182A3A02AD7}"/>
    <cellStyle name="40% - Accent1 3 2 5 4" xfId="10443" xr:uid="{F26F7195-256C-4B93-AE73-035B8843D75A}"/>
    <cellStyle name="40% - Accent1 3 2 6" xfId="2318" xr:uid="{00000000-0005-0000-0000-000024040000}"/>
    <cellStyle name="40% - Accent1 3 2 6 2" xfId="6624" xr:uid="{00000000-0005-0000-0000-000025040000}"/>
    <cellStyle name="40% - Accent1 3 2 6 2 2" xfId="15074" xr:uid="{AAC486FD-6221-47BA-9F75-F63E75B2675D}"/>
    <cellStyle name="40% - Accent1 3 2 6 3" xfId="10856" xr:uid="{11880FC8-B9D3-42BA-BF26-99620259036F}"/>
    <cellStyle name="40% - Accent1 3 2 7" xfId="4558" xr:uid="{00000000-0005-0000-0000-000026040000}"/>
    <cellStyle name="40% - Accent1 3 2 7 2" xfId="13008" xr:uid="{E13DC6AB-F920-46CD-951F-FA3166B9B3B4}"/>
    <cellStyle name="40% - Accent1 3 2 8" xfId="8790" xr:uid="{0D2D9AE0-5A04-40EB-9180-3EBBC81B7833}"/>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31F8C351-FC96-4714-8575-8DA91AA559A2}"/>
    <cellStyle name="40% - Accent1 3 3 2 3" xfId="11348" xr:uid="{A8ACAE4D-D40B-4A19-8FC0-0631A7FFE34A}"/>
    <cellStyle name="40% - Accent1 3 3 3" xfId="4971" xr:uid="{00000000-0005-0000-0000-00002A040000}"/>
    <cellStyle name="40% - Accent1 3 3 3 2" xfId="13421" xr:uid="{2F028FD3-9C98-476B-B743-CD5C6BFF8D0A}"/>
    <cellStyle name="40% - Accent1 3 3 4" xfId="9203" xr:uid="{DE8A2CDC-18EA-43D0-AA1E-A1E95242FA8E}"/>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E8B937B9-7552-4C53-A069-1749FE8724A1}"/>
    <cellStyle name="40% - Accent1 3 4 2 3" xfId="11761" xr:uid="{0A7AB8A2-C27E-4F92-82E0-37DA555B5E91}"/>
    <cellStyle name="40% - Accent1 3 4 3" xfId="5384" xr:uid="{00000000-0005-0000-0000-00002E040000}"/>
    <cellStyle name="40% - Accent1 3 4 3 2" xfId="13834" xr:uid="{AEEE677F-8E80-4D29-9D52-F0CDC3E9B99B}"/>
    <cellStyle name="40% - Accent1 3 4 4" xfId="9616" xr:uid="{30C0DC3C-4206-44A0-B641-3866E525A771}"/>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6CDA4E6D-21E3-46A4-9719-32E198A50C21}"/>
    <cellStyle name="40% - Accent1 3 5 2 3" xfId="12174" xr:uid="{EFBED28B-6266-4BE8-AF70-B68EED79C408}"/>
    <cellStyle name="40% - Accent1 3 5 3" xfId="5797" xr:uid="{00000000-0005-0000-0000-000032040000}"/>
    <cellStyle name="40% - Accent1 3 5 3 2" xfId="14247" xr:uid="{4D6FF809-5658-4430-A4DE-ED5419665D2D}"/>
    <cellStyle name="40% - Accent1 3 5 4" xfId="10029" xr:uid="{4D9D8EC6-DAD7-4D8F-BFBC-A7175B463383}"/>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A8C44F4C-B22E-4D9F-8251-77F1E12311D8}"/>
    <cellStyle name="40% - Accent1 3 6 2 3" xfId="12587" xr:uid="{410107E4-1C7F-404E-B99D-0D9B61ECAF01}"/>
    <cellStyle name="40% - Accent1 3 6 3" xfId="6210" xr:uid="{00000000-0005-0000-0000-000036040000}"/>
    <cellStyle name="40% - Accent1 3 6 3 2" xfId="14660" xr:uid="{13254DB2-C6B0-4096-AE5B-5426DFC06680}"/>
    <cellStyle name="40% - Accent1 3 6 4" xfId="10442" xr:uid="{FAE29514-2D4E-4C81-B75D-E3449665A28E}"/>
    <cellStyle name="40% - Accent1 3 7" xfId="2317" xr:uid="{00000000-0005-0000-0000-000037040000}"/>
    <cellStyle name="40% - Accent1 3 7 2" xfId="6623" xr:uid="{00000000-0005-0000-0000-000038040000}"/>
    <cellStyle name="40% - Accent1 3 7 2 2" xfId="15073" xr:uid="{3C54EBCA-0C5B-48E5-8C7E-F8F4A7C899B2}"/>
    <cellStyle name="40% - Accent1 3 7 3" xfId="10855" xr:uid="{C0452837-93BC-459A-ADED-884CA43C4BA8}"/>
    <cellStyle name="40% - Accent1 3 8" xfId="4557" xr:uid="{00000000-0005-0000-0000-000039040000}"/>
    <cellStyle name="40% - Accent1 3 8 2" xfId="13007" xr:uid="{215026C8-EC3C-4839-A9DA-3204DDEDE298}"/>
    <cellStyle name="40% - Accent1 3 9" xfId="8789" xr:uid="{19AA259B-4B45-47B5-8D45-39FC3B9786AF}"/>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80C3FD43-AF37-4A0C-888A-1A55DD51701E}"/>
    <cellStyle name="40% - Accent1 4 2 2 3" xfId="11350" xr:uid="{94746A90-4A8F-4A8F-8D0A-9E677B5F9EA0}"/>
    <cellStyle name="40% - Accent1 4 2 3" xfId="4973" xr:uid="{00000000-0005-0000-0000-00003E040000}"/>
    <cellStyle name="40% - Accent1 4 2 3 2" xfId="13423" xr:uid="{563ED08F-B9B7-455D-86E5-9851756EFEEC}"/>
    <cellStyle name="40% - Accent1 4 2 4" xfId="9205" xr:uid="{A12D9773-2809-4635-8E3A-D578029D60AC}"/>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F35C433E-62E6-4490-BEDA-B4B7B80EAECB}"/>
    <cellStyle name="40% - Accent1 4 3 2 3" xfId="11763" xr:uid="{728B967B-67AB-47C5-8BB1-83B43ED8AF86}"/>
    <cellStyle name="40% - Accent1 4 3 3" xfId="5386" xr:uid="{00000000-0005-0000-0000-000042040000}"/>
    <cellStyle name="40% - Accent1 4 3 3 2" xfId="13836" xr:uid="{829DF25F-D327-46CB-9644-129F0098C319}"/>
    <cellStyle name="40% - Accent1 4 3 4" xfId="9618" xr:uid="{CFD60AC4-4829-4C67-8EF6-B13A9654F0DD}"/>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1B35FF14-328E-40BC-ACCE-A9C20A6FF3B5}"/>
    <cellStyle name="40% - Accent1 4 4 2 3" xfId="12176" xr:uid="{A599634E-ACC9-4AA6-8607-8898797BFC3A}"/>
    <cellStyle name="40% - Accent1 4 4 3" xfId="5799" xr:uid="{00000000-0005-0000-0000-000046040000}"/>
    <cellStyle name="40% - Accent1 4 4 3 2" xfId="14249" xr:uid="{47C33DE2-540B-44ED-9C96-80A87AE4BF2A}"/>
    <cellStyle name="40% - Accent1 4 4 4" xfId="10031" xr:uid="{C6671BA1-C40E-4D9D-AC0A-B29181EA657A}"/>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7169F721-6ECF-429D-8523-F18F8E876DFD}"/>
    <cellStyle name="40% - Accent1 4 5 2 3" xfId="12589" xr:uid="{19CF7A31-6DA8-48DB-844F-8B80AC68FA5B}"/>
    <cellStyle name="40% - Accent1 4 5 3" xfId="6212" xr:uid="{00000000-0005-0000-0000-00004A040000}"/>
    <cellStyle name="40% - Accent1 4 5 3 2" xfId="14662" xr:uid="{7A49E9CE-7A03-49DC-B334-B5A5E3EB1A27}"/>
    <cellStyle name="40% - Accent1 4 5 4" xfId="10444" xr:uid="{3C43F388-53CF-43A1-BD26-6273AD6F8D7E}"/>
    <cellStyle name="40% - Accent1 4 6" xfId="2319" xr:uid="{00000000-0005-0000-0000-00004B040000}"/>
    <cellStyle name="40% - Accent1 4 6 2" xfId="6625" xr:uid="{00000000-0005-0000-0000-00004C040000}"/>
    <cellStyle name="40% - Accent1 4 6 2 2" xfId="15075" xr:uid="{97CDBBC3-2E6C-44F2-BE78-9786DBD2E296}"/>
    <cellStyle name="40% - Accent1 4 6 3" xfId="10857" xr:uid="{62EE13E3-6C54-4ADB-A8E2-4471D91CC4C7}"/>
    <cellStyle name="40% - Accent1 4 7" xfId="4559" xr:uid="{00000000-0005-0000-0000-00004D040000}"/>
    <cellStyle name="40% - Accent1 4 7 2" xfId="13009" xr:uid="{928973B4-3322-4CCF-B827-DE09125719C6}"/>
    <cellStyle name="40% - Accent1 4 8" xfId="8791" xr:uid="{1E77EEB8-E030-4036-B363-34FDE610898B}"/>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F7EA162A-6A65-4F2C-893A-499589A1DCFA}"/>
    <cellStyle name="40% - Accent1 5 2 3" xfId="11343" xr:uid="{511E7B08-1946-4F93-9274-D7FA17E8BF88}"/>
    <cellStyle name="40% - Accent1 5 3" xfId="4966" xr:uid="{00000000-0005-0000-0000-000051040000}"/>
    <cellStyle name="40% - Accent1 5 3 2" xfId="13416" xr:uid="{D528CB32-FEFB-4BBA-843B-E32E1966C3CD}"/>
    <cellStyle name="40% - Accent1 5 4" xfId="9198" xr:uid="{418C287E-7627-4C0A-80B2-73F44C83416E}"/>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C78A7B01-126B-4BEC-A0F9-AD22405BC69C}"/>
    <cellStyle name="40% - Accent1 6 2 3" xfId="11756" xr:uid="{550808A8-70BE-4C29-82D4-EF77D08D397F}"/>
    <cellStyle name="40% - Accent1 6 3" xfId="5379" xr:uid="{00000000-0005-0000-0000-000055040000}"/>
    <cellStyle name="40% - Accent1 6 3 2" xfId="13829" xr:uid="{FC204636-B33D-471E-9596-A68DCEB0B725}"/>
    <cellStyle name="40% - Accent1 6 4" xfId="9611" xr:uid="{F16EB355-6954-470E-BF1B-590E9D5DA042}"/>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4AFDC07E-F53D-4934-B357-B025C5944D51}"/>
    <cellStyle name="40% - Accent1 7 2 3" xfId="12169" xr:uid="{FC0A6594-E167-4605-AAAA-A13C15AE02FC}"/>
    <cellStyle name="40% - Accent1 7 3" xfId="5792" xr:uid="{00000000-0005-0000-0000-000059040000}"/>
    <cellStyle name="40% - Accent1 7 3 2" xfId="14242" xr:uid="{F75C5C4A-880C-4CF2-B5B6-18AAC7A3684E}"/>
    <cellStyle name="40% - Accent1 7 4" xfId="10024" xr:uid="{2ADA9993-1002-4F7D-91AD-5A4553E64047}"/>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D55515A5-3A43-4B9E-B823-BDB530BFA7BE}"/>
    <cellStyle name="40% - Accent1 8 2 3" xfId="12582" xr:uid="{008897D4-CFFC-4E5C-BD20-896AE74F36E0}"/>
    <cellStyle name="40% - Accent1 8 3" xfId="6205" xr:uid="{00000000-0005-0000-0000-00005D040000}"/>
    <cellStyle name="40% - Accent1 8 3 2" xfId="14655" xr:uid="{E98BD547-5EB7-48BD-A4C9-3674139101DD}"/>
    <cellStyle name="40% - Accent1 8 4" xfId="10437" xr:uid="{D8C110C2-EFE9-45BA-9CE2-42F69F15D604}"/>
    <cellStyle name="40% - Accent1 9" xfId="2312" xr:uid="{00000000-0005-0000-0000-00005E040000}"/>
    <cellStyle name="40% - Accent1 9 2" xfId="6618" xr:uid="{00000000-0005-0000-0000-00005F040000}"/>
    <cellStyle name="40% - Accent1 9 2 2" xfId="15068" xr:uid="{1A026987-C093-4409-9D4B-EC32D8A84161}"/>
    <cellStyle name="40% - Accent1 9 3" xfId="10850" xr:uid="{4E23679B-2079-46DA-AE98-7AEFB99176EF}"/>
    <cellStyle name="40% - Accent2" xfId="57" builtinId="35" customBuiltin="1"/>
    <cellStyle name="40% - Accent2 10" xfId="4560" xr:uid="{00000000-0005-0000-0000-000061040000}"/>
    <cellStyle name="40% - Accent2 10 2" xfId="13010" xr:uid="{6E2E7374-F58C-40F0-892E-074504AD0986}"/>
    <cellStyle name="40% - Accent2 11" xfId="8792" xr:uid="{BD77635B-34EC-4738-BEEC-2B95C47E80B2}"/>
    <cellStyle name="40% - Accent2 2" xfId="58" xr:uid="{00000000-0005-0000-0000-000062040000}"/>
    <cellStyle name="40% - Accent2 2 10" xfId="8793" xr:uid="{CADACEF4-B036-4622-BCBF-C57C17F4A689}"/>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F1586194-86ED-4D0F-B1AE-2789A9DB4116}"/>
    <cellStyle name="40% - Accent2 2 2 2 2 2 3" xfId="11354" xr:uid="{EFA3F214-86F9-440F-A546-5F38F5AF3CA3}"/>
    <cellStyle name="40% - Accent2 2 2 2 2 3" xfId="4977" xr:uid="{00000000-0005-0000-0000-000068040000}"/>
    <cellStyle name="40% - Accent2 2 2 2 2 3 2" xfId="13427" xr:uid="{A2AEF7EF-A557-4C70-A583-13B9B01FC07A}"/>
    <cellStyle name="40% - Accent2 2 2 2 2 4" xfId="9209" xr:uid="{4384FCA1-F7D0-4D7F-BFD4-59442EEF900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E3A7919C-1E18-4537-A1BB-44FA07C58FBF}"/>
    <cellStyle name="40% - Accent2 2 2 2 3 2 3" xfId="11767" xr:uid="{04F86408-31FA-4FE5-8538-335C78AB9512}"/>
    <cellStyle name="40% - Accent2 2 2 2 3 3" xfId="5390" xr:uid="{00000000-0005-0000-0000-00006C040000}"/>
    <cellStyle name="40% - Accent2 2 2 2 3 3 2" xfId="13840" xr:uid="{37636ED6-A4E7-495A-BFE4-07A13B55635C}"/>
    <cellStyle name="40% - Accent2 2 2 2 3 4" xfId="9622" xr:uid="{7BF90DA2-B838-4877-8BD8-A09CA896C019}"/>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2F92AE38-9BAB-4995-8BEF-987A3D5007EA}"/>
    <cellStyle name="40% - Accent2 2 2 2 4 2 3" xfId="12180" xr:uid="{87B5DEC1-9639-42D1-8E29-0454F971D392}"/>
    <cellStyle name="40% - Accent2 2 2 2 4 3" xfId="5803" xr:uid="{00000000-0005-0000-0000-000070040000}"/>
    <cellStyle name="40% - Accent2 2 2 2 4 3 2" xfId="14253" xr:uid="{172E9B9E-F4E9-4EA9-8744-2E1AE08F6279}"/>
    <cellStyle name="40% - Accent2 2 2 2 4 4" xfId="10035" xr:uid="{09B9838C-3DB1-4416-B45F-7980513D798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1B82ED76-D8B2-4250-9B3E-E1616FF930AD}"/>
    <cellStyle name="40% - Accent2 2 2 2 5 2 3" xfId="12593" xr:uid="{DFFE42F0-2D3B-4568-B22C-AFB524EAE362}"/>
    <cellStyle name="40% - Accent2 2 2 2 5 3" xfId="6216" xr:uid="{00000000-0005-0000-0000-000074040000}"/>
    <cellStyle name="40% - Accent2 2 2 2 5 3 2" xfId="14666" xr:uid="{6ECB37F0-D87C-465B-8EF3-59644F615DFB}"/>
    <cellStyle name="40% - Accent2 2 2 2 5 4" xfId="10448" xr:uid="{4727E227-6098-4150-8764-9720624E0085}"/>
    <cellStyle name="40% - Accent2 2 2 2 6" xfId="2323" xr:uid="{00000000-0005-0000-0000-000075040000}"/>
    <cellStyle name="40% - Accent2 2 2 2 6 2" xfId="6629" xr:uid="{00000000-0005-0000-0000-000076040000}"/>
    <cellStyle name="40% - Accent2 2 2 2 6 2 2" xfId="15079" xr:uid="{C6B6D451-62F8-4EF0-A407-29B6FF03B31E}"/>
    <cellStyle name="40% - Accent2 2 2 2 6 3" xfId="10861" xr:uid="{7B8DAE22-7D9D-40EB-8E83-314449BE8432}"/>
    <cellStyle name="40% - Accent2 2 2 2 7" xfId="4563" xr:uid="{00000000-0005-0000-0000-000077040000}"/>
    <cellStyle name="40% - Accent2 2 2 2 7 2" xfId="13013" xr:uid="{7525F963-46EB-482F-BB96-1D202049A716}"/>
    <cellStyle name="40% - Accent2 2 2 2 8" xfId="8795" xr:uid="{509763D4-7F70-4B77-9CD3-CF51D7A77F8F}"/>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17998AF9-B49C-48A3-B769-7B656D21AFA8}"/>
    <cellStyle name="40% - Accent2 2 2 3 2 3" xfId="11353" xr:uid="{02E8FE3C-40F1-4926-83E2-8D590ADB31BC}"/>
    <cellStyle name="40% - Accent2 2 2 3 3" xfId="4976" xr:uid="{00000000-0005-0000-0000-00007B040000}"/>
    <cellStyle name="40% - Accent2 2 2 3 3 2" xfId="13426" xr:uid="{3E5D3AC3-3D9A-48EC-8EF9-AA5A9BF80709}"/>
    <cellStyle name="40% - Accent2 2 2 3 4" xfId="9208" xr:uid="{A045CE73-8916-4CCD-8B72-109731A545F5}"/>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EAC33323-C5C0-4351-8592-43CD493BBE94}"/>
    <cellStyle name="40% - Accent2 2 2 4 2 3" xfId="11766" xr:uid="{FA7E6F2B-9389-494B-A935-2206FE2666F8}"/>
    <cellStyle name="40% - Accent2 2 2 4 3" xfId="5389" xr:uid="{00000000-0005-0000-0000-00007F040000}"/>
    <cellStyle name="40% - Accent2 2 2 4 3 2" xfId="13839" xr:uid="{65F0E38E-48A0-44D3-81A7-B350A12C7CD9}"/>
    <cellStyle name="40% - Accent2 2 2 4 4" xfId="9621" xr:uid="{9F6C5F6C-6CC9-40C1-A558-453AC91A32E5}"/>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4C97A8BD-A4FF-423C-B570-88594C3C10C5}"/>
    <cellStyle name="40% - Accent2 2 2 5 2 3" xfId="12179" xr:uid="{5AA65CF3-1312-4ADD-B80F-05064B4D3E2D}"/>
    <cellStyle name="40% - Accent2 2 2 5 3" xfId="5802" xr:uid="{00000000-0005-0000-0000-000083040000}"/>
    <cellStyle name="40% - Accent2 2 2 5 3 2" xfId="14252" xr:uid="{2B0EAC24-B24D-4746-BEA1-49B56BF8A911}"/>
    <cellStyle name="40% - Accent2 2 2 5 4" xfId="10034" xr:uid="{28B8C9B5-3E72-41A9-816E-528BA4F0CD67}"/>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A6E6322A-8F3D-472A-BF15-251736880FAB}"/>
    <cellStyle name="40% - Accent2 2 2 6 2 3" xfId="12592" xr:uid="{E96ECBAA-D8B7-4020-8ECB-94BEADBF0453}"/>
    <cellStyle name="40% - Accent2 2 2 6 3" xfId="6215" xr:uid="{00000000-0005-0000-0000-000087040000}"/>
    <cellStyle name="40% - Accent2 2 2 6 3 2" xfId="14665" xr:uid="{FF81BE78-B7DB-4D58-9DD9-426FCEE6C4AB}"/>
    <cellStyle name="40% - Accent2 2 2 6 4" xfId="10447" xr:uid="{7063E622-C22B-4B9A-8045-59262830C38D}"/>
    <cellStyle name="40% - Accent2 2 2 7" xfId="2322" xr:uid="{00000000-0005-0000-0000-000088040000}"/>
    <cellStyle name="40% - Accent2 2 2 7 2" xfId="6628" xr:uid="{00000000-0005-0000-0000-000089040000}"/>
    <cellStyle name="40% - Accent2 2 2 7 2 2" xfId="15078" xr:uid="{C077EF70-D520-4C46-8394-1D4B822EF338}"/>
    <cellStyle name="40% - Accent2 2 2 7 3" xfId="10860" xr:uid="{3B2C40AB-1098-44D3-9706-7ADB61A13A6C}"/>
    <cellStyle name="40% - Accent2 2 2 8" xfId="4562" xr:uid="{00000000-0005-0000-0000-00008A040000}"/>
    <cellStyle name="40% - Accent2 2 2 8 2" xfId="13012" xr:uid="{BEDD4A09-645B-45B5-B7AD-E1224646E439}"/>
    <cellStyle name="40% - Accent2 2 2 9" xfId="8794" xr:uid="{926D0438-B812-4D98-AA95-439BEBE83ABC}"/>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726707EE-AEB0-4B71-A1A7-A47047135D12}"/>
    <cellStyle name="40% - Accent2 2 3 2 2 3" xfId="11355" xr:uid="{DB82CC0F-2E9A-4C49-A45D-8ACE6347CAB6}"/>
    <cellStyle name="40% - Accent2 2 3 2 3" xfId="4978" xr:uid="{00000000-0005-0000-0000-00008F040000}"/>
    <cellStyle name="40% - Accent2 2 3 2 3 2" xfId="13428" xr:uid="{E514C038-C980-4495-B3B0-9812C3B4A9C6}"/>
    <cellStyle name="40% - Accent2 2 3 2 4" xfId="9210" xr:uid="{C4002D4D-2233-4022-BD34-E9EB91EC6ED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6C05BDA6-2A0B-4439-A572-37BC2465235B}"/>
    <cellStyle name="40% - Accent2 2 3 3 2 3" xfId="11768" xr:uid="{1FC92BD5-254B-4E63-A166-A8905A26DC56}"/>
    <cellStyle name="40% - Accent2 2 3 3 3" xfId="5391" xr:uid="{00000000-0005-0000-0000-000093040000}"/>
    <cellStyle name="40% - Accent2 2 3 3 3 2" xfId="13841" xr:uid="{5B8D8158-EB10-4EE8-9416-B93EAE8B9191}"/>
    <cellStyle name="40% - Accent2 2 3 3 4" xfId="9623" xr:uid="{228EDE97-B0B6-4555-A17B-7C599C59DE04}"/>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FC649EA4-B8C8-4395-942C-CDC9A64AF4E2}"/>
    <cellStyle name="40% - Accent2 2 3 4 2 3" xfId="12181" xr:uid="{FF761238-E179-4B7C-9091-F0567536D854}"/>
    <cellStyle name="40% - Accent2 2 3 4 3" xfId="5804" xr:uid="{00000000-0005-0000-0000-000097040000}"/>
    <cellStyle name="40% - Accent2 2 3 4 3 2" xfId="14254" xr:uid="{F6374B9B-04E6-49D3-BF38-63F6C493F0DA}"/>
    <cellStyle name="40% - Accent2 2 3 4 4" xfId="10036" xr:uid="{8A728089-DE8E-41EE-8F58-256E9C22C63A}"/>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9E11486E-247D-4D2C-95EA-E8B2D135C31F}"/>
    <cellStyle name="40% - Accent2 2 3 5 2 3" xfId="12594" xr:uid="{97C9FBA1-C0E3-4D31-9DE4-AC47F9F0A074}"/>
    <cellStyle name="40% - Accent2 2 3 5 3" xfId="6217" xr:uid="{00000000-0005-0000-0000-00009B040000}"/>
    <cellStyle name="40% - Accent2 2 3 5 3 2" xfId="14667" xr:uid="{24795B00-BDA1-4D16-A4DA-6F8B16C617B5}"/>
    <cellStyle name="40% - Accent2 2 3 5 4" xfId="10449" xr:uid="{9132515C-C525-4741-810F-068FF102938E}"/>
    <cellStyle name="40% - Accent2 2 3 6" xfId="2324" xr:uid="{00000000-0005-0000-0000-00009C040000}"/>
    <cellStyle name="40% - Accent2 2 3 6 2" xfId="6630" xr:uid="{00000000-0005-0000-0000-00009D040000}"/>
    <cellStyle name="40% - Accent2 2 3 6 2 2" xfId="15080" xr:uid="{B4E85736-68FD-494E-B255-7DD6831713DD}"/>
    <cellStyle name="40% - Accent2 2 3 6 3" xfId="10862" xr:uid="{DAE57F1F-E604-4FF5-B027-0FB29826F7B4}"/>
    <cellStyle name="40% - Accent2 2 3 7" xfId="4564" xr:uid="{00000000-0005-0000-0000-00009E040000}"/>
    <cellStyle name="40% - Accent2 2 3 7 2" xfId="13014" xr:uid="{A32AE2CB-7081-4EBC-ADE9-3ECFC385F53D}"/>
    <cellStyle name="40% - Accent2 2 3 8" xfId="8796" xr:uid="{72BC0FB1-733E-4EA3-B064-1A3CBF9AD244}"/>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B5BE58D3-2F34-4DE5-8F47-E59366AF2360}"/>
    <cellStyle name="40% - Accent2 2 4 2 3" xfId="11352" xr:uid="{D8936FBB-9EF9-4F29-9A14-FEF62E0F62B0}"/>
    <cellStyle name="40% - Accent2 2 4 3" xfId="4975" xr:uid="{00000000-0005-0000-0000-0000A2040000}"/>
    <cellStyle name="40% - Accent2 2 4 3 2" xfId="13425" xr:uid="{A3A3F5A7-2ACD-4D53-9B15-60B8F9AC34E1}"/>
    <cellStyle name="40% - Accent2 2 4 4" xfId="9207" xr:uid="{08B0A64C-6C77-444D-955A-742B8DE7E2FE}"/>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31E19AA2-7BDD-4FB3-9D5E-B350B2BF4F25}"/>
    <cellStyle name="40% - Accent2 2 5 2 3" xfId="11765" xr:uid="{62E0BEC3-9F0A-4FF5-8ADF-822D551F5523}"/>
    <cellStyle name="40% - Accent2 2 5 3" xfId="5388" xr:uid="{00000000-0005-0000-0000-0000A6040000}"/>
    <cellStyle name="40% - Accent2 2 5 3 2" xfId="13838" xr:uid="{92D77641-C2A6-40A4-9E7C-3594FC949402}"/>
    <cellStyle name="40% - Accent2 2 5 4" xfId="9620" xr:uid="{34FFCFD2-622C-4800-B350-6185E500B3ED}"/>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42C7E4BB-1082-419E-A20C-810A56CC3138}"/>
    <cellStyle name="40% - Accent2 2 6 2 3" xfId="12178" xr:uid="{53C4995E-FCAE-41A5-8FA2-8F899CACF5E2}"/>
    <cellStyle name="40% - Accent2 2 6 3" xfId="5801" xr:uid="{00000000-0005-0000-0000-0000AA040000}"/>
    <cellStyle name="40% - Accent2 2 6 3 2" xfId="14251" xr:uid="{8FC4B9D5-8296-479E-AC33-CE254C6E8FE7}"/>
    <cellStyle name="40% - Accent2 2 6 4" xfId="10033" xr:uid="{16F7E7A1-65CE-426F-8F95-C7E8A95BEA8B}"/>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85CF9D6E-86FC-435E-A05A-BF466C7F8714}"/>
    <cellStyle name="40% - Accent2 2 7 2 3" xfId="12591" xr:uid="{4062A47E-16F7-42BD-A832-7B8A43D217A9}"/>
    <cellStyle name="40% - Accent2 2 7 3" xfId="6214" xr:uid="{00000000-0005-0000-0000-0000AE040000}"/>
    <cellStyle name="40% - Accent2 2 7 3 2" xfId="14664" xr:uid="{CFC9B18F-7DAA-4C69-A490-BF33AE95ADD6}"/>
    <cellStyle name="40% - Accent2 2 7 4" xfId="10446" xr:uid="{9ABC2BD7-1BD0-4A44-8E91-8B0104D9CF19}"/>
    <cellStyle name="40% - Accent2 2 8" xfId="2321" xr:uid="{00000000-0005-0000-0000-0000AF040000}"/>
    <cellStyle name="40% - Accent2 2 8 2" xfId="6627" xr:uid="{00000000-0005-0000-0000-0000B0040000}"/>
    <cellStyle name="40% - Accent2 2 8 2 2" xfId="15077" xr:uid="{93B460CA-2C83-43AB-BE45-DA8D03C92269}"/>
    <cellStyle name="40% - Accent2 2 8 3" xfId="10859" xr:uid="{13F5AD19-3156-463F-A738-4A7B5CB26BDD}"/>
    <cellStyle name="40% - Accent2 2 9" xfId="4561" xr:uid="{00000000-0005-0000-0000-0000B1040000}"/>
    <cellStyle name="40% - Accent2 2 9 2" xfId="13011" xr:uid="{42818F32-8248-49FF-A1D3-1A9C8E6947FB}"/>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0675D43A-669B-4E7F-8465-F3A1FB1A76FD}"/>
    <cellStyle name="40% - Accent2 3 2 2 2 3" xfId="11357" xr:uid="{CB8EE04A-2B7B-49AE-825C-FC847DB486E2}"/>
    <cellStyle name="40% - Accent2 3 2 2 3" xfId="4980" xr:uid="{00000000-0005-0000-0000-0000B7040000}"/>
    <cellStyle name="40% - Accent2 3 2 2 3 2" xfId="13430" xr:uid="{F83A2EAE-C78A-4160-A8C1-A41D3889B465}"/>
    <cellStyle name="40% - Accent2 3 2 2 4" xfId="9212" xr:uid="{F181D3AE-58D1-4026-8599-1DAF086F54F7}"/>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292ABA2C-39BD-4C01-BF46-1F3187F2691E}"/>
    <cellStyle name="40% - Accent2 3 2 3 2 3" xfId="11770" xr:uid="{19DFEEF1-27EB-4F9B-AA85-13CE1B77D0CE}"/>
    <cellStyle name="40% - Accent2 3 2 3 3" xfId="5393" xr:uid="{00000000-0005-0000-0000-0000BB040000}"/>
    <cellStyle name="40% - Accent2 3 2 3 3 2" xfId="13843" xr:uid="{56B63D0D-CA92-4F26-A9A2-FFF3376D7F09}"/>
    <cellStyle name="40% - Accent2 3 2 3 4" xfId="9625" xr:uid="{AF886F14-4961-41C6-8B60-B972D723E88C}"/>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57B92665-D84C-47A5-92F5-0861FE07DF4E}"/>
    <cellStyle name="40% - Accent2 3 2 4 2 3" xfId="12183" xr:uid="{4A5E37A6-F44D-4526-B368-553FE29D659B}"/>
    <cellStyle name="40% - Accent2 3 2 4 3" xfId="5806" xr:uid="{00000000-0005-0000-0000-0000BF040000}"/>
    <cellStyle name="40% - Accent2 3 2 4 3 2" xfId="14256" xr:uid="{8DA6DB7D-9EA6-4B05-8CDA-67A713A60894}"/>
    <cellStyle name="40% - Accent2 3 2 4 4" xfId="10038" xr:uid="{F609210C-721C-4797-B4A6-0C913123E302}"/>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7AFE7DE7-EBB1-456A-9CFF-0F5CCBFABBEB}"/>
    <cellStyle name="40% - Accent2 3 2 5 2 3" xfId="12596" xr:uid="{3611DAD2-31E0-45C9-8B37-22863BFB127E}"/>
    <cellStyle name="40% - Accent2 3 2 5 3" xfId="6219" xr:uid="{00000000-0005-0000-0000-0000C3040000}"/>
    <cellStyle name="40% - Accent2 3 2 5 3 2" xfId="14669" xr:uid="{A9E7E5AA-49D8-4EC5-8103-618475934F44}"/>
    <cellStyle name="40% - Accent2 3 2 5 4" xfId="10451" xr:uid="{3F9681B9-604E-40CC-B5A5-CE486B4622DA}"/>
    <cellStyle name="40% - Accent2 3 2 6" xfId="2326" xr:uid="{00000000-0005-0000-0000-0000C4040000}"/>
    <cellStyle name="40% - Accent2 3 2 6 2" xfId="6632" xr:uid="{00000000-0005-0000-0000-0000C5040000}"/>
    <cellStyle name="40% - Accent2 3 2 6 2 2" xfId="15082" xr:uid="{22ABED4C-29A3-4D8D-91A5-A3DB17D1E208}"/>
    <cellStyle name="40% - Accent2 3 2 6 3" xfId="10864" xr:uid="{8FCC7DEB-6143-41A7-A2A9-BA12FF5C58C1}"/>
    <cellStyle name="40% - Accent2 3 2 7" xfId="4566" xr:uid="{00000000-0005-0000-0000-0000C6040000}"/>
    <cellStyle name="40% - Accent2 3 2 7 2" xfId="13016" xr:uid="{B699DB6B-B538-4A83-9D2A-20A6F9229076}"/>
    <cellStyle name="40% - Accent2 3 2 8" xfId="8798" xr:uid="{D2E8DF08-91B0-402E-B1BE-944793047EA8}"/>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B1CFF20E-A1EA-46C1-9CC1-A158F78D207C}"/>
    <cellStyle name="40% - Accent2 3 3 2 3" xfId="11356" xr:uid="{964EAF43-DC0D-4478-9B4E-BCD24507F212}"/>
    <cellStyle name="40% - Accent2 3 3 3" xfId="4979" xr:uid="{00000000-0005-0000-0000-0000CA040000}"/>
    <cellStyle name="40% - Accent2 3 3 3 2" xfId="13429" xr:uid="{03491A8B-3910-4651-BE07-50F0CF0FAD26}"/>
    <cellStyle name="40% - Accent2 3 3 4" xfId="9211" xr:uid="{EBC04063-4DFC-4097-9B35-159DEDD38F93}"/>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CE28F461-4BE9-4C4F-963C-63DDB7B65FFE}"/>
    <cellStyle name="40% - Accent2 3 4 2 3" xfId="11769" xr:uid="{5F46BF8F-2676-46C9-B856-D24B97A96835}"/>
    <cellStyle name="40% - Accent2 3 4 3" xfId="5392" xr:uid="{00000000-0005-0000-0000-0000CE040000}"/>
    <cellStyle name="40% - Accent2 3 4 3 2" xfId="13842" xr:uid="{0AE49B78-8CB1-4B40-82AE-B50146723445}"/>
    <cellStyle name="40% - Accent2 3 4 4" xfId="9624" xr:uid="{1235525E-6CED-458F-9EB9-A713FC7C58D2}"/>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F4262EBB-AF28-40F7-8359-94C2097A5ED7}"/>
    <cellStyle name="40% - Accent2 3 5 2 3" xfId="12182" xr:uid="{71FBC647-691B-4F53-9B31-1E27C36F059C}"/>
    <cellStyle name="40% - Accent2 3 5 3" xfId="5805" xr:uid="{00000000-0005-0000-0000-0000D2040000}"/>
    <cellStyle name="40% - Accent2 3 5 3 2" xfId="14255" xr:uid="{5BC5DDB7-6D67-461A-B8A9-89E8F92721EB}"/>
    <cellStyle name="40% - Accent2 3 5 4" xfId="10037" xr:uid="{6441AC0C-91CE-4B07-8055-D02F1315D0DD}"/>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F1305B20-DF25-4199-B826-AF51801B93A2}"/>
    <cellStyle name="40% - Accent2 3 6 2 3" xfId="12595" xr:uid="{EBF75BB9-3BF1-4699-AE5C-FAAD91DC2809}"/>
    <cellStyle name="40% - Accent2 3 6 3" xfId="6218" xr:uid="{00000000-0005-0000-0000-0000D6040000}"/>
    <cellStyle name="40% - Accent2 3 6 3 2" xfId="14668" xr:uid="{B8061051-6429-4535-A13D-E59F0B6D2482}"/>
    <cellStyle name="40% - Accent2 3 6 4" xfId="10450" xr:uid="{8C1DB8A5-30C9-4705-972E-9B2CBCC5BBCF}"/>
    <cellStyle name="40% - Accent2 3 7" xfId="2325" xr:uid="{00000000-0005-0000-0000-0000D7040000}"/>
    <cellStyle name="40% - Accent2 3 7 2" xfId="6631" xr:uid="{00000000-0005-0000-0000-0000D8040000}"/>
    <cellStyle name="40% - Accent2 3 7 2 2" xfId="15081" xr:uid="{7AC64441-753C-48C2-969E-2C584C305418}"/>
    <cellStyle name="40% - Accent2 3 7 3" xfId="10863" xr:uid="{C1A8644A-60D0-4713-B0CA-26ECC5542CCB}"/>
    <cellStyle name="40% - Accent2 3 8" xfId="4565" xr:uid="{00000000-0005-0000-0000-0000D9040000}"/>
    <cellStyle name="40% - Accent2 3 8 2" xfId="13015" xr:uid="{543B1E9E-2912-4246-B127-BEA40A766EF6}"/>
    <cellStyle name="40% - Accent2 3 9" xfId="8797" xr:uid="{B5176F18-AAC6-4476-8B9C-317CCA2B1656}"/>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250B51AA-BF48-486F-9082-114C694A3579}"/>
    <cellStyle name="40% - Accent2 4 2 2 3" xfId="11358" xr:uid="{DCF16D82-BE1E-4223-98D5-42C575EEEDEC}"/>
    <cellStyle name="40% - Accent2 4 2 3" xfId="4981" xr:uid="{00000000-0005-0000-0000-0000DE040000}"/>
    <cellStyle name="40% - Accent2 4 2 3 2" xfId="13431" xr:uid="{A9247B01-10C7-4CE7-B668-AB49B0CC07F2}"/>
    <cellStyle name="40% - Accent2 4 2 4" xfId="9213" xr:uid="{3B0693F8-877E-4DCD-92AE-C2D0E740DACC}"/>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460E6372-8DCE-4F4A-8545-8D694B7A749A}"/>
    <cellStyle name="40% - Accent2 4 3 2 3" xfId="11771" xr:uid="{95B903A8-D534-4E85-B61E-A2EB7FD3371B}"/>
    <cellStyle name="40% - Accent2 4 3 3" xfId="5394" xr:uid="{00000000-0005-0000-0000-0000E2040000}"/>
    <cellStyle name="40% - Accent2 4 3 3 2" xfId="13844" xr:uid="{D85EE95C-E053-4DBD-B2B7-070183B1EB31}"/>
    <cellStyle name="40% - Accent2 4 3 4" xfId="9626" xr:uid="{600F0D44-E559-4BFE-958C-DDE2EC477D80}"/>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228CA5C7-AF53-4894-AAC6-970571CA2C54}"/>
    <cellStyle name="40% - Accent2 4 4 2 3" xfId="12184" xr:uid="{892B2AA5-D359-48A7-A06D-EFE8B492425F}"/>
    <cellStyle name="40% - Accent2 4 4 3" xfId="5807" xr:uid="{00000000-0005-0000-0000-0000E6040000}"/>
    <cellStyle name="40% - Accent2 4 4 3 2" xfId="14257" xr:uid="{81B90A0E-8FA8-4B2A-88D1-042C4BDFE2CA}"/>
    <cellStyle name="40% - Accent2 4 4 4" xfId="10039" xr:uid="{C549F867-FDA8-4276-A44D-FC2E23842227}"/>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D64EE149-AA88-4DF0-9DF1-421A5654C834}"/>
    <cellStyle name="40% - Accent2 4 5 2 3" xfId="12597" xr:uid="{232178C2-13EB-4243-B75B-74D45EA29CEC}"/>
    <cellStyle name="40% - Accent2 4 5 3" xfId="6220" xr:uid="{00000000-0005-0000-0000-0000EA040000}"/>
    <cellStyle name="40% - Accent2 4 5 3 2" xfId="14670" xr:uid="{611CE05B-BE6C-4F32-8529-5047B5A4B653}"/>
    <cellStyle name="40% - Accent2 4 5 4" xfId="10452" xr:uid="{E78A3D32-0ED7-4304-8FC0-C5AAB5648560}"/>
    <cellStyle name="40% - Accent2 4 6" xfId="2327" xr:uid="{00000000-0005-0000-0000-0000EB040000}"/>
    <cellStyle name="40% - Accent2 4 6 2" xfId="6633" xr:uid="{00000000-0005-0000-0000-0000EC040000}"/>
    <cellStyle name="40% - Accent2 4 6 2 2" xfId="15083" xr:uid="{7E5FCF54-5559-476F-BC3E-9E58E1F83D48}"/>
    <cellStyle name="40% - Accent2 4 6 3" xfId="10865" xr:uid="{BF270CB8-51CD-40C0-8AB1-C83D94BE661D}"/>
    <cellStyle name="40% - Accent2 4 7" xfId="4567" xr:uid="{00000000-0005-0000-0000-0000ED040000}"/>
    <cellStyle name="40% - Accent2 4 7 2" xfId="13017" xr:uid="{421E0FCF-88E5-4C04-9403-4199ABB2EAB6}"/>
    <cellStyle name="40% - Accent2 4 8" xfId="8799" xr:uid="{172B0455-BECE-4571-BB54-CF9B9CD97617}"/>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1AD6E96A-2A32-46D6-96DA-588341242CB2}"/>
    <cellStyle name="40% - Accent2 5 2 3" xfId="11351" xr:uid="{ADBFFAFA-1912-4BE3-AC26-ED1785E31C44}"/>
    <cellStyle name="40% - Accent2 5 3" xfId="4974" xr:uid="{00000000-0005-0000-0000-0000F1040000}"/>
    <cellStyle name="40% - Accent2 5 3 2" xfId="13424" xr:uid="{ADDBC13E-8A56-4222-AA9C-D7FA456A34DF}"/>
    <cellStyle name="40% - Accent2 5 4" xfId="9206" xr:uid="{73068180-36A9-41F4-9D1B-CFEEC8ABA5D0}"/>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3B949469-0E77-46A6-BC54-F74B1E11DB41}"/>
    <cellStyle name="40% - Accent2 6 2 3" xfId="11764" xr:uid="{801F5CCD-B2D2-4607-AEEF-FCAD9E8608C9}"/>
    <cellStyle name="40% - Accent2 6 3" xfId="5387" xr:uid="{00000000-0005-0000-0000-0000F5040000}"/>
    <cellStyle name="40% - Accent2 6 3 2" xfId="13837" xr:uid="{3E306069-DA4F-4DB7-974A-EC037C62384C}"/>
    <cellStyle name="40% - Accent2 6 4" xfId="9619" xr:uid="{87C767AF-5EDC-4787-B827-63C09BEACAA7}"/>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91FEABE7-7C4D-4738-8AB5-6C7BDCA81B28}"/>
    <cellStyle name="40% - Accent2 7 2 3" xfId="12177" xr:uid="{BBB5C404-6F14-40BB-A9B4-E07A275F9F78}"/>
    <cellStyle name="40% - Accent2 7 3" xfId="5800" xr:uid="{00000000-0005-0000-0000-0000F9040000}"/>
    <cellStyle name="40% - Accent2 7 3 2" xfId="14250" xr:uid="{0AC3397F-2100-44CE-B0C1-D607C7404D95}"/>
    <cellStyle name="40% - Accent2 7 4" xfId="10032" xr:uid="{6AC7C8D6-6B23-488E-966F-295692D5C994}"/>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0D70F464-16D8-4AB2-9C7E-DCFE10CDA0CA}"/>
    <cellStyle name="40% - Accent2 8 2 3" xfId="12590" xr:uid="{F181BE1F-08E0-4EBB-B746-8B0B5F07845C}"/>
    <cellStyle name="40% - Accent2 8 3" xfId="6213" xr:uid="{00000000-0005-0000-0000-0000FD040000}"/>
    <cellStyle name="40% - Accent2 8 3 2" xfId="14663" xr:uid="{0759AA19-48BA-442E-A365-8102DC86071D}"/>
    <cellStyle name="40% - Accent2 8 4" xfId="10445" xr:uid="{2E3F40C2-5364-4A13-A713-DD61BF2B45C3}"/>
    <cellStyle name="40% - Accent2 9" xfId="2320" xr:uid="{00000000-0005-0000-0000-0000FE040000}"/>
    <cellStyle name="40% - Accent2 9 2" xfId="6626" xr:uid="{00000000-0005-0000-0000-0000FF040000}"/>
    <cellStyle name="40% - Accent2 9 2 2" xfId="15076" xr:uid="{F2803D63-F9E5-4402-822A-56502F33F0A3}"/>
    <cellStyle name="40% - Accent2 9 3" xfId="10858" xr:uid="{C4D368BB-E73E-4F2B-8B7A-6DB30FB94A9B}"/>
    <cellStyle name="40% - Accent3" xfId="65" builtinId="39" customBuiltin="1"/>
    <cellStyle name="40% - Accent3 10" xfId="4568" xr:uid="{00000000-0005-0000-0000-000001050000}"/>
    <cellStyle name="40% - Accent3 10 2" xfId="13018" xr:uid="{7AB9D764-9D5F-46BC-A2FC-7FD2D8C0B252}"/>
    <cellStyle name="40% - Accent3 11" xfId="8800" xr:uid="{97CF902A-4C30-41A0-B12E-EA56A5E14557}"/>
    <cellStyle name="40% - Accent3 2" xfId="66" xr:uid="{00000000-0005-0000-0000-000002050000}"/>
    <cellStyle name="40% - Accent3 2 10" xfId="8801" xr:uid="{AFDEDD02-E569-4058-84C0-658FD0F7A485}"/>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6FBDE19D-D92B-4CAA-88E1-6762EC54C5AE}"/>
    <cellStyle name="40% - Accent3 2 2 2 2 2 3" xfId="11362" xr:uid="{0B574487-1952-4B75-B143-9A0C0E4603CA}"/>
    <cellStyle name="40% - Accent3 2 2 2 2 3" xfId="4985" xr:uid="{00000000-0005-0000-0000-000008050000}"/>
    <cellStyle name="40% - Accent3 2 2 2 2 3 2" xfId="13435" xr:uid="{4D389993-69CC-45CA-8254-0A0F19F78152}"/>
    <cellStyle name="40% - Accent3 2 2 2 2 4" xfId="9217" xr:uid="{5233CEDA-B627-4425-9B37-6D95582F2358}"/>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DD8B6EFD-808B-4363-890D-5A27771927ED}"/>
    <cellStyle name="40% - Accent3 2 2 2 3 2 3" xfId="11775" xr:uid="{F191D53A-4EFF-4201-BC90-F04238580D4E}"/>
    <cellStyle name="40% - Accent3 2 2 2 3 3" xfId="5398" xr:uid="{00000000-0005-0000-0000-00000C050000}"/>
    <cellStyle name="40% - Accent3 2 2 2 3 3 2" xfId="13848" xr:uid="{B439060C-FB37-4F47-B75B-2227C8A79C87}"/>
    <cellStyle name="40% - Accent3 2 2 2 3 4" xfId="9630" xr:uid="{D98D9011-3853-437E-9926-DECC380C3AA1}"/>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F5FF1DEF-AF2C-40C7-9DE9-1D2D8E5C87A6}"/>
    <cellStyle name="40% - Accent3 2 2 2 4 2 3" xfId="12188" xr:uid="{382B0E93-1AC8-4FC0-941D-D1C461D12892}"/>
    <cellStyle name="40% - Accent3 2 2 2 4 3" xfId="5811" xr:uid="{00000000-0005-0000-0000-000010050000}"/>
    <cellStyle name="40% - Accent3 2 2 2 4 3 2" xfId="14261" xr:uid="{F6171862-9C06-4F70-A220-3492DB504F0B}"/>
    <cellStyle name="40% - Accent3 2 2 2 4 4" xfId="10043" xr:uid="{9AE2F0DE-BA5D-4795-ADC6-8CD6ABC5577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76AF446C-A70B-4CC1-BDBF-769485A8780B}"/>
    <cellStyle name="40% - Accent3 2 2 2 5 2 3" xfId="12601" xr:uid="{BC76AF5C-C301-49F9-B776-95BD93E7796F}"/>
    <cellStyle name="40% - Accent3 2 2 2 5 3" xfId="6224" xr:uid="{00000000-0005-0000-0000-000014050000}"/>
    <cellStyle name="40% - Accent3 2 2 2 5 3 2" xfId="14674" xr:uid="{2CE0A944-7F30-471F-B016-2871F7E29150}"/>
    <cellStyle name="40% - Accent3 2 2 2 5 4" xfId="10456" xr:uid="{A11A66AE-5776-4F19-8C6A-15C012F9F43D}"/>
    <cellStyle name="40% - Accent3 2 2 2 6" xfId="2331" xr:uid="{00000000-0005-0000-0000-000015050000}"/>
    <cellStyle name="40% - Accent3 2 2 2 6 2" xfId="6637" xr:uid="{00000000-0005-0000-0000-000016050000}"/>
    <cellStyle name="40% - Accent3 2 2 2 6 2 2" xfId="15087" xr:uid="{ED2E0681-CC9B-4F7F-9AB4-11C6D80473C5}"/>
    <cellStyle name="40% - Accent3 2 2 2 6 3" xfId="10869" xr:uid="{460F2957-0698-4C51-A31E-0C5B771306C3}"/>
    <cellStyle name="40% - Accent3 2 2 2 7" xfId="4571" xr:uid="{00000000-0005-0000-0000-000017050000}"/>
    <cellStyle name="40% - Accent3 2 2 2 7 2" xfId="13021" xr:uid="{35803DD4-BEF7-4F34-9DAE-AE189BF6E661}"/>
    <cellStyle name="40% - Accent3 2 2 2 8" xfId="8803" xr:uid="{FF22FC52-E76B-4323-85BA-C6593680E5BD}"/>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590DDB4B-EDBC-4785-8903-D6247B133D41}"/>
    <cellStyle name="40% - Accent3 2 2 3 2 3" xfId="11361" xr:uid="{B6342F63-C5DE-4B41-AA53-176310E56828}"/>
    <cellStyle name="40% - Accent3 2 2 3 3" xfId="4984" xr:uid="{00000000-0005-0000-0000-00001B050000}"/>
    <cellStyle name="40% - Accent3 2 2 3 3 2" xfId="13434" xr:uid="{21C7B3B7-D3EE-4D20-840C-DFCCCCECA921}"/>
    <cellStyle name="40% - Accent3 2 2 3 4" xfId="9216" xr:uid="{04E27C6C-A563-475B-969E-E23FE1188879}"/>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12A6C339-CB74-451C-B69E-1FD87F14232D}"/>
    <cellStyle name="40% - Accent3 2 2 4 2 3" xfId="11774" xr:uid="{7E097896-BCF1-4071-B13E-B86470B504F1}"/>
    <cellStyle name="40% - Accent3 2 2 4 3" xfId="5397" xr:uid="{00000000-0005-0000-0000-00001F050000}"/>
    <cellStyle name="40% - Accent3 2 2 4 3 2" xfId="13847" xr:uid="{31A58882-436D-4538-9941-7D59FB402AE5}"/>
    <cellStyle name="40% - Accent3 2 2 4 4" xfId="9629" xr:uid="{62A268DC-FFB7-475C-B26F-206B1256F282}"/>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59B3DE9-650D-498A-B2B1-FE7059AC9592}"/>
    <cellStyle name="40% - Accent3 2 2 5 2 3" xfId="12187" xr:uid="{E0F81ED8-1824-44AE-A660-BFE18F7A4BEB}"/>
    <cellStyle name="40% - Accent3 2 2 5 3" xfId="5810" xr:uid="{00000000-0005-0000-0000-000023050000}"/>
    <cellStyle name="40% - Accent3 2 2 5 3 2" xfId="14260" xr:uid="{5B039FB9-E5EB-4767-A715-BBEC1F78802B}"/>
    <cellStyle name="40% - Accent3 2 2 5 4" xfId="10042" xr:uid="{CD95176E-A97F-44CE-B340-EB91F291E5AF}"/>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81EB061A-434D-44F6-8011-9CA5E7B3E9FA}"/>
    <cellStyle name="40% - Accent3 2 2 6 2 3" xfId="12600" xr:uid="{2E62FEC8-7F19-4E29-BEC2-E714CEDA617E}"/>
    <cellStyle name="40% - Accent3 2 2 6 3" xfId="6223" xr:uid="{00000000-0005-0000-0000-000027050000}"/>
    <cellStyle name="40% - Accent3 2 2 6 3 2" xfId="14673" xr:uid="{13C6C372-2530-4206-8C49-40018EACFC72}"/>
    <cellStyle name="40% - Accent3 2 2 6 4" xfId="10455" xr:uid="{B6DB4905-8F2E-4E47-9795-2B62C1FB355D}"/>
    <cellStyle name="40% - Accent3 2 2 7" xfId="2330" xr:uid="{00000000-0005-0000-0000-000028050000}"/>
    <cellStyle name="40% - Accent3 2 2 7 2" xfId="6636" xr:uid="{00000000-0005-0000-0000-000029050000}"/>
    <cellStyle name="40% - Accent3 2 2 7 2 2" xfId="15086" xr:uid="{CD771D6C-0028-4C94-B459-B086FB8FF5C1}"/>
    <cellStyle name="40% - Accent3 2 2 7 3" xfId="10868" xr:uid="{43B97540-2913-4939-B663-B59B224050D9}"/>
    <cellStyle name="40% - Accent3 2 2 8" xfId="4570" xr:uid="{00000000-0005-0000-0000-00002A050000}"/>
    <cellStyle name="40% - Accent3 2 2 8 2" xfId="13020" xr:uid="{8E8F0664-07F7-433A-A14B-1D573C78949D}"/>
    <cellStyle name="40% - Accent3 2 2 9" xfId="8802" xr:uid="{9AAA8424-8EA1-42BE-B337-263A81A0D1C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6860EAFE-0629-47E2-9D6B-6363C0BB3CF0}"/>
    <cellStyle name="40% - Accent3 2 3 2 2 3" xfId="11363" xr:uid="{03C44660-DC0A-4B00-A351-CCA73FC8AEB5}"/>
    <cellStyle name="40% - Accent3 2 3 2 3" xfId="4986" xr:uid="{00000000-0005-0000-0000-00002F050000}"/>
    <cellStyle name="40% - Accent3 2 3 2 3 2" xfId="13436" xr:uid="{5D524010-7BB5-420C-AC1B-5D99F2B89C26}"/>
    <cellStyle name="40% - Accent3 2 3 2 4" xfId="9218" xr:uid="{4236FDD1-19C6-4B2E-9B60-24E6423E6389}"/>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2435C7C3-9A03-4341-A658-B1FDF1BCB425}"/>
    <cellStyle name="40% - Accent3 2 3 3 2 3" xfId="11776" xr:uid="{4A992D7C-8CB6-4205-BA37-7C69022ED5D7}"/>
    <cellStyle name="40% - Accent3 2 3 3 3" xfId="5399" xr:uid="{00000000-0005-0000-0000-000033050000}"/>
    <cellStyle name="40% - Accent3 2 3 3 3 2" xfId="13849" xr:uid="{9F2A835B-F013-406A-A3B6-C6E50B593988}"/>
    <cellStyle name="40% - Accent3 2 3 3 4" xfId="9631" xr:uid="{CE5165CE-76E6-441E-82D1-46AD72693908}"/>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42369D20-C489-41DE-8627-BE62C6F9F6E5}"/>
    <cellStyle name="40% - Accent3 2 3 4 2 3" xfId="12189" xr:uid="{3BD59F75-94FA-4AD6-B946-792ECAFBCEE4}"/>
    <cellStyle name="40% - Accent3 2 3 4 3" xfId="5812" xr:uid="{00000000-0005-0000-0000-000037050000}"/>
    <cellStyle name="40% - Accent3 2 3 4 3 2" xfId="14262" xr:uid="{45544718-A616-4982-8D1B-DB7682D568D3}"/>
    <cellStyle name="40% - Accent3 2 3 4 4" xfId="10044" xr:uid="{B3A0D391-01F7-459A-AFCA-B913F932533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EB0B4DC5-190E-4D7A-95B2-71F08C7B366A}"/>
    <cellStyle name="40% - Accent3 2 3 5 2 3" xfId="12602" xr:uid="{2B2B2A7B-453F-49A8-ABD8-8D4BB81F1628}"/>
    <cellStyle name="40% - Accent3 2 3 5 3" xfId="6225" xr:uid="{00000000-0005-0000-0000-00003B050000}"/>
    <cellStyle name="40% - Accent3 2 3 5 3 2" xfId="14675" xr:uid="{A1CFBC6C-5916-4E3D-A399-B3FA2D7A4210}"/>
    <cellStyle name="40% - Accent3 2 3 5 4" xfId="10457" xr:uid="{A9D595BB-C9DF-46EB-82C7-0F9310031697}"/>
    <cellStyle name="40% - Accent3 2 3 6" xfId="2332" xr:uid="{00000000-0005-0000-0000-00003C050000}"/>
    <cellStyle name="40% - Accent3 2 3 6 2" xfId="6638" xr:uid="{00000000-0005-0000-0000-00003D050000}"/>
    <cellStyle name="40% - Accent3 2 3 6 2 2" xfId="15088" xr:uid="{6FC54994-13B4-4D5F-95A7-D0ACDC3FBBEA}"/>
    <cellStyle name="40% - Accent3 2 3 6 3" xfId="10870" xr:uid="{E4E11710-D305-4892-B369-40C86347F8CD}"/>
    <cellStyle name="40% - Accent3 2 3 7" xfId="4572" xr:uid="{00000000-0005-0000-0000-00003E050000}"/>
    <cellStyle name="40% - Accent3 2 3 7 2" xfId="13022" xr:uid="{DE7E1F4A-3FA8-4B69-99CD-F8D93BF7474D}"/>
    <cellStyle name="40% - Accent3 2 3 8" xfId="8804" xr:uid="{39B2B0F6-2C7B-45C8-B104-9059EED6CA99}"/>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053A4013-B375-4786-A4DA-02EDF231DA2E}"/>
    <cellStyle name="40% - Accent3 2 4 2 3" xfId="11360" xr:uid="{0A9418DF-BC64-4CA2-8B8F-301BAB46D654}"/>
    <cellStyle name="40% - Accent3 2 4 3" xfId="4983" xr:uid="{00000000-0005-0000-0000-000042050000}"/>
    <cellStyle name="40% - Accent3 2 4 3 2" xfId="13433" xr:uid="{332DCACC-7DF7-4F22-926D-8D2C2EC5696A}"/>
    <cellStyle name="40% - Accent3 2 4 4" xfId="9215" xr:uid="{42C2CB1F-2E32-4F9F-80D9-DEF1AA03B5BC}"/>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511A5AD6-C151-4A23-A2F2-141996434BCA}"/>
    <cellStyle name="40% - Accent3 2 5 2 3" xfId="11773" xr:uid="{2B46D3AE-EE95-4D55-A994-E9F1E776D252}"/>
    <cellStyle name="40% - Accent3 2 5 3" xfId="5396" xr:uid="{00000000-0005-0000-0000-000046050000}"/>
    <cellStyle name="40% - Accent3 2 5 3 2" xfId="13846" xr:uid="{B12F90C7-9A04-4534-8956-73B7D69925A1}"/>
    <cellStyle name="40% - Accent3 2 5 4" xfId="9628" xr:uid="{38F2B795-76A2-4D37-9DD1-5D0E1297E101}"/>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A85494CC-48A8-4603-BBE7-2285615841B0}"/>
    <cellStyle name="40% - Accent3 2 6 2 3" xfId="12186" xr:uid="{C35B196B-D9A0-4D74-9EBE-A1570034F522}"/>
    <cellStyle name="40% - Accent3 2 6 3" xfId="5809" xr:uid="{00000000-0005-0000-0000-00004A050000}"/>
    <cellStyle name="40% - Accent3 2 6 3 2" xfId="14259" xr:uid="{6079AB45-9144-427F-B262-38765DB6BE71}"/>
    <cellStyle name="40% - Accent3 2 6 4" xfId="10041" xr:uid="{EA0C2E21-05BC-4611-AB4A-5E87DA5F396F}"/>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5B177A6E-7CAD-4E01-8DFE-12184A91B896}"/>
    <cellStyle name="40% - Accent3 2 7 2 3" xfId="12599" xr:uid="{CCB62A93-CA12-4A9A-A087-4259545752DE}"/>
    <cellStyle name="40% - Accent3 2 7 3" xfId="6222" xr:uid="{00000000-0005-0000-0000-00004E050000}"/>
    <cellStyle name="40% - Accent3 2 7 3 2" xfId="14672" xr:uid="{D837573E-6652-4D5F-8BD5-19CD358B3D50}"/>
    <cellStyle name="40% - Accent3 2 7 4" xfId="10454" xr:uid="{68EE825D-0B8E-46D9-B17B-5B152A268236}"/>
    <cellStyle name="40% - Accent3 2 8" xfId="2329" xr:uid="{00000000-0005-0000-0000-00004F050000}"/>
    <cellStyle name="40% - Accent3 2 8 2" xfId="6635" xr:uid="{00000000-0005-0000-0000-000050050000}"/>
    <cellStyle name="40% - Accent3 2 8 2 2" xfId="15085" xr:uid="{4E970CFF-6A68-4F7B-B2FC-BE80676C3735}"/>
    <cellStyle name="40% - Accent3 2 8 3" xfId="10867" xr:uid="{3D50E0E3-3B69-4234-B2FA-F1CD54CC002E}"/>
    <cellStyle name="40% - Accent3 2 9" xfId="4569" xr:uid="{00000000-0005-0000-0000-000051050000}"/>
    <cellStyle name="40% - Accent3 2 9 2" xfId="13019" xr:uid="{38DCC389-E83F-4F2A-9D51-099734EC4A3A}"/>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09217704-3941-483C-B81D-53370F2CD8EB}"/>
    <cellStyle name="40% - Accent3 3 2 2 2 3" xfId="11365" xr:uid="{5CB1E1D8-8B24-4061-91DD-872CEF8CC2B7}"/>
    <cellStyle name="40% - Accent3 3 2 2 3" xfId="4988" xr:uid="{00000000-0005-0000-0000-000057050000}"/>
    <cellStyle name="40% - Accent3 3 2 2 3 2" xfId="13438" xr:uid="{F49709ED-95A6-4780-BA2F-6B5B6A5E1FFF}"/>
    <cellStyle name="40% - Accent3 3 2 2 4" xfId="9220" xr:uid="{B99164B5-25DB-4429-A738-64169E98F3D6}"/>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6BC29E57-8260-430C-BDAC-17808D401992}"/>
    <cellStyle name="40% - Accent3 3 2 3 2 3" xfId="11778" xr:uid="{84CC6494-CFE8-47F5-A521-86A2FDE439C5}"/>
    <cellStyle name="40% - Accent3 3 2 3 3" xfId="5401" xr:uid="{00000000-0005-0000-0000-00005B050000}"/>
    <cellStyle name="40% - Accent3 3 2 3 3 2" xfId="13851" xr:uid="{8EC43097-8F03-4347-B926-60F57ACB3165}"/>
    <cellStyle name="40% - Accent3 3 2 3 4" xfId="9633" xr:uid="{5E5C04AF-699D-4554-8660-5B85E2A68DF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BB74954C-1247-4B37-8C66-1F50FF4E3375}"/>
    <cellStyle name="40% - Accent3 3 2 4 2 3" xfId="12191" xr:uid="{D728216A-FEB7-4481-82C8-F9249B567E2E}"/>
    <cellStyle name="40% - Accent3 3 2 4 3" xfId="5814" xr:uid="{00000000-0005-0000-0000-00005F050000}"/>
    <cellStyle name="40% - Accent3 3 2 4 3 2" xfId="14264" xr:uid="{BCD1F488-1A2F-42E1-9663-AE617D503816}"/>
    <cellStyle name="40% - Accent3 3 2 4 4" xfId="10046" xr:uid="{E2017B66-CF2F-4729-979E-5425541D2C61}"/>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DF8B550C-1354-4DC9-BC27-02C8E1A3A39D}"/>
    <cellStyle name="40% - Accent3 3 2 5 2 3" xfId="12604" xr:uid="{3416DC5B-F39D-4C67-B578-212DE8CF4A0F}"/>
    <cellStyle name="40% - Accent3 3 2 5 3" xfId="6227" xr:uid="{00000000-0005-0000-0000-000063050000}"/>
    <cellStyle name="40% - Accent3 3 2 5 3 2" xfId="14677" xr:uid="{A97CEEBF-26CC-434F-AE7B-29B97F6E2AA3}"/>
    <cellStyle name="40% - Accent3 3 2 5 4" xfId="10459" xr:uid="{FE569E52-12C8-42F0-99E0-32D748C31E0F}"/>
    <cellStyle name="40% - Accent3 3 2 6" xfId="2334" xr:uid="{00000000-0005-0000-0000-000064050000}"/>
    <cellStyle name="40% - Accent3 3 2 6 2" xfId="6640" xr:uid="{00000000-0005-0000-0000-000065050000}"/>
    <cellStyle name="40% - Accent3 3 2 6 2 2" xfId="15090" xr:uid="{0A2C721C-B13C-49CB-B298-FBDA014233FA}"/>
    <cellStyle name="40% - Accent3 3 2 6 3" xfId="10872" xr:uid="{0B67E7AB-E2C8-4B01-8D7D-481E0FE29895}"/>
    <cellStyle name="40% - Accent3 3 2 7" xfId="4574" xr:uid="{00000000-0005-0000-0000-000066050000}"/>
    <cellStyle name="40% - Accent3 3 2 7 2" xfId="13024" xr:uid="{6695F9D7-194B-4441-808D-8D27F0765D4E}"/>
    <cellStyle name="40% - Accent3 3 2 8" xfId="8806" xr:uid="{99F22DC6-3C89-430E-B961-B270DBAFDB58}"/>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45B0283C-D192-43E6-883F-08F68B3CBD27}"/>
    <cellStyle name="40% - Accent3 3 3 2 3" xfId="11364" xr:uid="{84A7BBE3-D5F3-45E0-B59A-7DCBBC144B2B}"/>
    <cellStyle name="40% - Accent3 3 3 3" xfId="4987" xr:uid="{00000000-0005-0000-0000-00006A050000}"/>
    <cellStyle name="40% - Accent3 3 3 3 2" xfId="13437" xr:uid="{27882BE0-251A-4D74-A2E7-AF5C447C7358}"/>
    <cellStyle name="40% - Accent3 3 3 4" xfId="9219" xr:uid="{388B7FC3-233B-4E13-A874-2A0F5F4136F1}"/>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55EAB519-4142-433C-8040-E2AC36DE1895}"/>
    <cellStyle name="40% - Accent3 3 4 2 3" xfId="11777" xr:uid="{8401F2D8-E2C8-4799-BE2B-112869B0E5EF}"/>
    <cellStyle name="40% - Accent3 3 4 3" xfId="5400" xr:uid="{00000000-0005-0000-0000-00006E050000}"/>
    <cellStyle name="40% - Accent3 3 4 3 2" xfId="13850" xr:uid="{3EF93355-F36A-458E-9C81-CDDEED951DE7}"/>
    <cellStyle name="40% - Accent3 3 4 4" xfId="9632" xr:uid="{1F6A9E83-2718-43C3-B6A1-B40B16D50B48}"/>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14CEAAD1-C6B6-4E46-9024-6208EC103DF9}"/>
    <cellStyle name="40% - Accent3 3 5 2 3" xfId="12190" xr:uid="{555412D2-9B99-434F-AFEB-F7533FDF6141}"/>
    <cellStyle name="40% - Accent3 3 5 3" xfId="5813" xr:uid="{00000000-0005-0000-0000-000072050000}"/>
    <cellStyle name="40% - Accent3 3 5 3 2" xfId="14263" xr:uid="{FEC9E3B8-D8F5-4333-8011-C8C3FC3E9F63}"/>
    <cellStyle name="40% - Accent3 3 5 4" xfId="10045" xr:uid="{C3F3E942-F589-4A9B-A5D6-950BD92FC9D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F367E12F-C0F0-4DC7-9BC2-DAC5C38F3442}"/>
    <cellStyle name="40% - Accent3 3 6 2 3" xfId="12603" xr:uid="{A42061D0-331A-41DC-A627-61FCA67CFBFE}"/>
    <cellStyle name="40% - Accent3 3 6 3" xfId="6226" xr:uid="{00000000-0005-0000-0000-000076050000}"/>
    <cellStyle name="40% - Accent3 3 6 3 2" xfId="14676" xr:uid="{43A613A5-A86B-4B26-BE6F-DCE5B703887B}"/>
    <cellStyle name="40% - Accent3 3 6 4" xfId="10458" xr:uid="{771334A6-5F34-4C0B-9D87-154AFA2F525A}"/>
    <cellStyle name="40% - Accent3 3 7" xfId="2333" xr:uid="{00000000-0005-0000-0000-000077050000}"/>
    <cellStyle name="40% - Accent3 3 7 2" xfId="6639" xr:uid="{00000000-0005-0000-0000-000078050000}"/>
    <cellStyle name="40% - Accent3 3 7 2 2" xfId="15089" xr:uid="{1AA960D8-B459-4B70-9233-0EC6462E5858}"/>
    <cellStyle name="40% - Accent3 3 7 3" xfId="10871" xr:uid="{0941CBD9-8160-4915-B47C-A949670C18EE}"/>
    <cellStyle name="40% - Accent3 3 8" xfId="4573" xr:uid="{00000000-0005-0000-0000-000079050000}"/>
    <cellStyle name="40% - Accent3 3 8 2" xfId="13023" xr:uid="{E864482D-A895-45FD-9178-67A11958A50D}"/>
    <cellStyle name="40% - Accent3 3 9" xfId="8805" xr:uid="{256E350E-4552-462D-8649-D5E35092243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C7BA7AE6-2478-4B75-BB99-427A849BFFA7}"/>
    <cellStyle name="40% - Accent3 4 2 2 3" xfId="11366" xr:uid="{6FA90E15-6536-41A0-A805-5166FF85A332}"/>
    <cellStyle name="40% - Accent3 4 2 3" xfId="4989" xr:uid="{00000000-0005-0000-0000-00007E050000}"/>
    <cellStyle name="40% - Accent3 4 2 3 2" xfId="13439" xr:uid="{BB24C0BF-8A54-4E39-9B3D-05EF45F9420C}"/>
    <cellStyle name="40% - Accent3 4 2 4" xfId="9221" xr:uid="{683ECD0A-7DD6-46D2-A026-BC50F7450852}"/>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C20556DC-8D79-43E1-8BD1-68378D153BF6}"/>
    <cellStyle name="40% - Accent3 4 3 2 3" xfId="11779" xr:uid="{3ED65299-B57F-4DB0-AE2E-E4F60BD4409B}"/>
    <cellStyle name="40% - Accent3 4 3 3" xfId="5402" xr:uid="{00000000-0005-0000-0000-000082050000}"/>
    <cellStyle name="40% - Accent3 4 3 3 2" xfId="13852" xr:uid="{462735A9-18A0-492B-9B2F-E2B6EC6FE5ED}"/>
    <cellStyle name="40% - Accent3 4 3 4" xfId="9634" xr:uid="{2F39B8D7-0A3F-45BF-A853-A46E49E1DF2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722E193B-5569-4C98-A1D1-53078AC891B3}"/>
    <cellStyle name="40% - Accent3 4 4 2 3" xfId="12192" xr:uid="{41059661-15F4-4A4A-B25E-FC01D7D44C0D}"/>
    <cellStyle name="40% - Accent3 4 4 3" xfId="5815" xr:uid="{00000000-0005-0000-0000-000086050000}"/>
    <cellStyle name="40% - Accent3 4 4 3 2" xfId="14265" xr:uid="{005B7019-D66A-4E41-B076-4D615D91AAE5}"/>
    <cellStyle name="40% - Accent3 4 4 4" xfId="10047" xr:uid="{84B75B0D-5542-4AA0-B508-D1509DDAE50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DFBA3A26-1150-4FFA-B151-97013D31F71D}"/>
    <cellStyle name="40% - Accent3 4 5 2 3" xfId="12605" xr:uid="{35355612-6F11-4F60-AB0D-C061CC21444D}"/>
    <cellStyle name="40% - Accent3 4 5 3" xfId="6228" xr:uid="{00000000-0005-0000-0000-00008A050000}"/>
    <cellStyle name="40% - Accent3 4 5 3 2" xfId="14678" xr:uid="{BD83950C-0765-4945-98E4-62B2F7F60BB9}"/>
    <cellStyle name="40% - Accent3 4 5 4" xfId="10460" xr:uid="{3ED1DFE1-9B92-4490-948E-D8AB150A78DF}"/>
    <cellStyle name="40% - Accent3 4 6" xfId="2335" xr:uid="{00000000-0005-0000-0000-00008B050000}"/>
    <cellStyle name="40% - Accent3 4 6 2" xfId="6641" xr:uid="{00000000-0005-0000-0000-00008C050000}"/>
    <cellStyle name="40% - Accent3 4 6 2 2" xfId="15091" xr:uid="{53CDDAEB-CCEC-4CAD-8BB0-D781EF5E976B}"/>
    <cellStyle name="40% - Accent3 4 6 3" xfId="10873" xr:uid="{E0FEA126-1A64-42C3-B96F-6A290D2F5D14}"/>
    <cellStyle name="40% - Accent3 4 7" xfId="4575" xr:uid="{00000000-0005-0000-0000-00008D050000}"/>
    <cellStyle name="40% - Accent3 4 7 2" xfId="13025" xr:uid="{0A707E95-ABA0-4CDC-AF5B-0AD6F04933B7}"/>
    <cellStyle name="40% - Accent3 4 8" xfId="8807" xr:uid="{505C53F8-546E-4416-88D8-070EBDD294CC}"/>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DDDD36BD-2F54-465F-9312-20D310AEE38E}"/>
    <cellStyle name="40% - Accent3 5 2 3" xfId="11359" xr:uid="{36DEB7B5-7CF2-48AA-9CAE-F25425382A14}"/>
    <cellStyle name="40% - Accent3 5 3" xfId="4982" xr:uid="{00000000-0005-0000-0000-000091050000}"/>
    <cellStyle name="40% - Accent3 5 3 2" xfId="13432" xr:uid="{D325213E-AC47-46BD-9A77-6EB3E4420AB2}"/>
    <cellStyle name="40% - Accent3 5 4" xfId="9214" xr:uid="{A55101B3-7B5E-4480-9642-8B132C31EBBC}"/>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DD15B3BF-6FC0-48A8-BC6A-204F1F81F12E}"/>
    <cellStyle name="40% - Accent3 6 2 3" xfId="11772" xr:uid="{3802E91C-3047-4C5F-9F8D-4928963C2B62}"/>
    <cellStyle name="40% - Accent3 6 3" xfId="5395" xr:uid="{00000000-0005-0000-0000-000095050000}"/>
    <cellStyle name="40% - Accent3 6 3 2" xfId="13845" xr:uid="{076871D3-9160-4A4C-BBCB-CBB56B11B28E}"/>
    <cellStyle name="40% - Accent3 6 4" xfId="9627" xr:uid="{276D68F9-02F4-4DAF-96DC-F9832639E166}"/>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133DD619-C2E4-42E3-9DB3-61252E0DB6FC}"/>
    <cellStyle name="40% - Accent3 7 2 3" xfId="12185" xr:uid="{0AC0332E-BDBF-4CBE-A0C7-5239D2C7700F}"/>
    <cellStyle name="40% - Accent3 7 3" xfId="5808" xr:uid="{00000000-0005-0000-0000-000099050000}"/>
    <cellStyle name="40% - Accent3 7 3 2" xfId="14258" xr:uid="{111FBC10-24A3-439C-90B9-F2DCAA8DBE1C}"/>
    <cellStyle name="40% - Accent3 7 4" xfId="10040" xr:uid="{D56F5A7D-C20B-4298-B132-4C2EBEC54C83}"/>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FCFF9B4A-8FD5-4230-A1D5-C88BF71A1904}"/>
    <cellStyle name="40% - Accent3 8 2 3" xfId="12598" xr:uid="{04220D02-19F3-475E-927C-14E8712509C5}"/>
    <cellStyle name="40% - Accent3 8 3" xfId="6221" xr:uid="{00000000-0005-0000-0000-00009D050000}"/>
    <cellStyle name="40% - Accent3 8 3 2" xfId="14671" xr:uid="{2F208476-E73B-4363-AAB9-DCA392F10C79}"/>
    <cellStyle name="40% - Accent3 8 4" xfId="10453" xr:uid="{90A8006C-FE37-4448-869D-F0EDCE5EFF25}"/>
    <cellStyle name="40% - Accent3 9" xfId="2328" xr:uid="{00000000-0005-0000-0000-00009E050000}"/>
    <cellStyle name="40% - Accent3 9 2" xfId="6634" xr:uid="{00000000-0005-0000-0000-00009F050000}"/>
    <cellStyle name="40% - Accent3 9 2 2" xfId="15084" xr:uid="{E9440924-56E0-49C8-A50F-8D9676A68A1A}"/>
    <cellStyle name="40% - Accent3 9 3" xfId="10866" xr:uid="{5FC6984B-E1E6-4FD2-91EE-BD6248A89C23}"/>
    <cellStyle name="40% - Accent4" xfId="73" builtinId="43" customBuiltin="1"/>
    <cellStyle name="40% - Accent4 10" xfId="4576" xr:uid="{00000000-0005-0000-0000-0000A1050000}"/>
    <cellStyle name="40% - Accent4 10 2" xfId="13026" xr:uid="{0D969C8F-8A3A-4F71-B25B-E2A7E87C65C0}"/>
    <cellStyle name="40% - Accent4 11" xfId="8808" xr:uid="{86B3CB6D-1DC3-47A6-9DD1-792C18D5386D}"/>
    <cellStyle name="40% - Accent4 2" xfId="74" xr:uid="{00000000-0005-0000-0000-0000A2050000}"/>
    <cellStyle name="40% - Accent4 2 10" xfId="8809" xr:uid="{F970F19C-D03E-4F2D-B411-19D68741207D}"/>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4212E571-2419-4BEB-A9DD-5DFDE9BAF436}"/>
    <cellStyle name="40% - Accent4 2 2 2 2 2 3" xfId="11370" xr:uid="{198444B0-B214-4648-8039-BD7D9C9C5AA2}"/>
    <cellStyle name="40% - Accent4 2 2 2 2 3" xfId="4993" xr:uid="{00000000-0005-0000-0000-0000A8050000}"/>
    <cellStyle name="40% - Accent4 2 2 2 2 3 2" xfId="13443" xr:uid="{3AE04D06-1863-407B-9D5C-54140F57A0D7}"/>
    <cellStyle name="40% - Accent4 2 2 2 2 4" xfId="9225" xr:uid="{997B27AB-FB31-4C13-94D5-B1EABABC71C2}"/>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98BC8A2E-53EF-4A34-8C42-43F669EBDCD4}"/>
    <cellStyle name="40% - Accent4 2 2 2 3 2 3" xfId="11783" xr:uid="{BFEF85C6-7CB7-48E7-995D-873FEBB8D258}"/>
    <cellStyle name="40% - Accent4 2 2 2 3 3" xfId="5406" xr:uid="{00000000-0005-0000-0000-0000AC050000}"/>
    <cellStyle name="40% - Accent4 2 2 2 3 3 2" xfId="13856" xr:uid="{CBA608CA-4A40-4BA7-AB4A-A0E0C9B2F640}"/>
    <cellStyle name="40% - Accent4 2 2 2 3 4" xfId="9638" xr:uid="{4B7A0D1B-DFEF-4976-932F-5FAC9C19E9B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7A8A555E-2961-4AA3-ACDE-37022F0F3127}"/>
    <cellStyle name="40% - Accent4 2 2 2 4 2 3" xfId="12196" xr:uid="{2C7B0451-C792-4DB7-B496-B0FDFD68D3EC}"/>
    <cellStyle name="40% - Accent4 2 2 2 4 3" xfId="5819" xr:uid="{00000000-0005-0000-0000-0000B0050000}"/>
    <cellStyle name="40% - Accent4 2 2 2 4 3 2" xfId="14269" xr:uid="{F1C89E7E-465D-4AF5-BD91-77C6132DA781}"/>
    <cellStyle name="40% - Accent4 2 2 2 4 4" xfId="10051" xr:uid="{E1223DE7-7950-4525-B5A1-817D219C9492}"/>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AB5BC190-DAE8-4FF1-9E4F-2AE0313CB2E9}"/>
    <cellStyle name="40% - Accent4 2 2 2 5 2 3" xfId="12609" xr:uid="{51806706-6897-45AB-BDA3-95E0A3987B3F}"/>
    <cellStyle name="40% - Accent4 2 2 2 5 3" xfId="6232" xr:uid="{00000000-0005-0000-0000-0000B4050000}"/>
    <cellStyle name="40% - Accent4 2 2 2 5 3 2" xfId="14682" xr:uid="{748ABFA6-7B28-4752-9F88-58AC5B579247}"/>
    <cellStyle name="40% - Accent4 2 2 2 5 4" xfId="10464" xr:uid="{9E9E7A54-EB9E-43EF-A2AD-9161D8ED19A5}"/>
    <cellStyle name="40% - Accent4 2 2 2 6" xfId="2339" xr:uid="{00000000-0005-0000-0000-0000B5050000}"/>
    <cellStyle name="40% - Accent4 2 2 2 6 2" xfId="6645" xr:uid="{00000000-0005-0000-0000-0000B6050000}"/>
    <cellStyle name="40% - Accent4 2 2 2 6 2 2" xfId="15095" xr:uid="{3E564851-53EB-43FF-9BD1-4DD02890C246}"/>
    <cellStyle name="40% - Accent4 2 2 2 6 3" xfId="10877" xr:uid="{E68D88CC-01C3-497C-9942-DAEC484B8F8C}"/>
    <cellStyle name="40% - Accent4 2 2 2 7" xfId="4579" xr:uid="{00000000-0005-0000-0000-0000B7050000}"/>
    <cellStyle name="40% - Accent4 2 2 2 7 2" xfId="13029" xr:uid="{679C5D9E-C2D7-418F-8A34-CDB4E439C5C4}"/>
    <cellStyle name="40% - Accent4 2 2 2 8" xfId="8811" xr:uid="{3BC7505A-84B9-46EC-B4CF-48E171782194}"/>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B8FF851F-90B7-427B-9167-5F49E0675A91}"/>
    <cellStyle name="40% - Accent4 2 2 3 2 3" xfId="11369" xr:uid="{2A24B4D8-1F45-4BEA-A5D7-055709FF97CF}"/>
    <cellStyle name="40% - Accent4 2 2 3 3" xfId="4992" xr:uid="{00000000-0005-0000-0000-0000BB050000}"/>
    <cellStyle name="40% - Accent4 2 2 3 3 2" xfId="13442" xr:uid="{F7141229-0BDF-4136-A12F-B25A99B1DDEF}"/>
    <cellStyle name="40% - Accent4 2 2 3 4" xfId="9224" xr:uid="{3E6F6D7F-72E4-46F1-9475-FB2D745F3E83}"/>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E274277A-0D64-4860-BA37-3E4FFD595F51}"/>
    <cellStyle name="40% - Accent4 2 2 4 2 3" xfId="11782" xr:uid="{DB11935C-75DC-4310-A417-4536B6B92EE6}"/>
    <cellStyle name="40% - Accent4 2 2 4 3" xfId="5405" xr:uid="{00000000-0005-0000-0000-0000BF050000}"/>
    <cellStyle name="40% - Accent4 2 2 4 3 2" xfId="13855" xr:uid="{BD0C3664-5DC6-4B07-B8D2-E2D492EDC708}"/>
    <cellStyle name="40% - Accent4 2 2 4 4" xfId="9637" xr:uid="{C3040272-E3D0-4005-AAC8-7A3777C1AEFC}"/>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A1B9088A-F9AF-4B2C-BA3E-5DB4DE685C95}"/>
    <cellStyle name="40% - Accent4 2 2 5 2 3" xfId="12195" xr:uid="{2B5ACF2D-A51B-4366-9E19-6A5206544C69}"/>
    <cellStyle name="40% - Accent4 2 2 5 3" xfId="5818" xr:uid="{00000000-0005-0000-0000-0000C3050000}"/>
    <cellStyle name="40% - Accent4 2 2 5 3 2" xfId="14268" xr:uid="{04CE6141-D9B6-4E0B-AA15-259B28B468F7}"/>
    <cellStyle name="40% - Accent4 2 2 5 4" xfId="10050" xr:uid="{2A284101-F2FA-4385-86E8-B589A6A7535B}"/>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279F0D45-5654-4414-9F00-8FA99CABBF15}"/>
    <cellStyle name="40% - Accent4 2 2 6 2 3" xfId="12608" xr:uid="{57119CDD-C466-4627-A76C-6400541E7E14}"/>
    <cellStyle name="40% - Accent4 2 2 6 3" xfId="6231" xr:uid="{00000000-0005-0000-0000-0000C7050000}"/>
    <cellStyle name="40% - Accent4 2 2 6 3 2" xfId="14681" xr:uid="{85352997-8403-4E36-88CB-26E04FAB0D2A}"/>
    <cellStyle name="40% - Accent4 2 2 6 4" xfId="10463" xr:uid="{41D79473-84CA-4C4D-9C19-59549F3F7353}"/>
    <cellStyle name="40% - Accent4 2 2 7" xfId="2338" xr:uid="{00000000-0005-0000-0000-0000C8050000}"/>
    <cellStyle name="40% - Accent4 2 2 7 2" xfId="6644" xr:uid="{00000000-0005-0000-0000-0000C9050000}"/>
    <cellStyle name="40% - Accent4 2 2 7 2 2" xfId="15094" xr:uid="{FAA219A2-730F-4303-B6B8-A06389FB4E73}"/>
    <cellStyle name="40% - Accent4 2 2 7 3" xfId="10876" xr:uid="{2BCDF9C2-DF0A-4DA2-98D3-D07D3337ACB6}"/>
    <cellStyle name="40% - Accent4 2 2 8" xfId="4578" xr:uid="{00000000-0005-0000-0000-0000CA050000}"/>
    <cellStyle name="40% - Accent4 2 2 8 2" xfId="13028" xr:uid="{0D314F1A-35E3-4E07-B195-BAB263292916}"/>
    <cellStyle name="40% - Accent4 2 2 9" xfId="8810" xr:uid="{D7684441-DE24-468B-BE7F-5AA6BDB1AB39}"/>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AC5496A6-ADC6-44A9-A4D3-F4B5ED42E01B}"/>
    <cellStyle name="40% - Accent4 2 3 2 2 3" xfId="11371" xr:uid="{0111A808-0056-4E61-B064-9E9F0491CE38}"/>
    <cellStyle name="40% - Accent4 2 3 2 3" xfId="4994" xr:uid="{00000000-0005-0000-0000-0000CF050000}"/>
    <cellStyle name="40% - Accent4 2 3 2 3 2" xfId="13444" xr:uid="{399CF115-71C9-4748-9128-DF38419E94F9}"/>
    <cellStyle name="40% - Accent4 2 3 2 4" xfId="9226" xr:uid="{5153B9E0-7634-46EA-A0BA-9CF5CD3E0E6C}"/>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7A10D1A3-25C4-48BE-94C9-8B8BF8AF53A4}"/>
    <cellStyle name="40% - Accent4 2 3 3 2 3" xfId="11784" xr:uid="{BB1D0B95-ECFA-48DB-9671-9301C0FEF075}"/>
    <cellStyle name="40% - Accent4 2 3 3 3" xfId="5407" xr:uid="{00000000-0005-0000-0000-0000D3050000}"/>
    <cellStyle name="40% - Accent4 2 3 3 3 2" xfId="13857" xr:uid="{FFBE77A3-D372-4D7C-AC79-40718E537011}"/>
    <cellStyle name="40% - Accent4 2 3 3 4" xfId="9639" xr:uid="{DF9B66CF-42B6-453C-9C7A-93D5E3C5499F}"/>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8881A22D-EB8E-4300-8EE1-A49C6CD6E537}"/>
    <cellStyle name="40% - Accent4 2 3 4 2 3" xfId="12197" xr:uid="{B4DC824C-E1FF-4C17-8E25-345B66E253BC}"/>
    <cellStyle name="40% - Accent4 2 3 4 3" xfId="5820" xr:uid="{00000000-0005-0000-0000-0000D7050000}"/>
    <cellStyle name="40% - Accent4 2 3 4 3 2" xfId="14270" xr:uid="{0F7D73EA-43AE-4860-887B-AC2C0F90CF6C}"/>
    <cellStyle name="40% - Accent4 2 3 4 4" xfId="10052" xr:uid="{810FD502-1F4A-41DF-974B-4CB949FD745D}"/>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CD690246-303D-4546-923A-19DD22D7836E}"/>
    <cellStyle name="40% - Accent4 2 3 5 2 3" xfId="12610" xr:uid="{9395524D-70CE-4FA8-9FA6-820E5CCEDDAE}"/>
    <cellStyle name="40% - Accent4 2 3 5 3" xfId="6233" xr:uid="{00000000-0005-0000-0000-0000DB050000}"/>
    <cellStyle name="40% - Accent4 2 3 5 3 2" xfId="14683" xr:uid="{D108DC93-077D-4449-8DCE-9B80067A0BBE}"/>
    <cellStyle name="40% - Accent4 2 3 5 4" xfId="10465" xr:uid="{7F580AA5-059A-4CE1-AF81-B636A7E85F16}"/>
    <cellStyle name="40% - Accent4 2 3 6" xfId="2340" xr:uid="{00000000-0005-0000-0000-0000DC050000}"/>
    <cellStyle name="40% - Accent4 2 3 6 2" xfId="6646" xr:uid="{00000000-0005-0000-0000-0000DD050000}"/>
    <cellStyle name="40% - Accent4 2 3 6 2 2" xfId="15096" xr:uid="{C0B13CAD-CF20-4FB1-921A-D6A2E5D59194}"/>
    <cellStyle name="40% - Accent4 2 3 6 3" xfId="10878" xr:uid="{5A9D8019-DC25-4919-95BE-CB1D3B46D205}"/>
    <cellStyle name="40% - Accent4 2 3 7" xfId="4580" xr:uid="{00000000-0005-0000-0000-0000DE050000}"/>
    <cellStyle name="40% - Accent4 2 3 7 2" xfId="13030" xr:uid="{C505DF89-249F-4C50-969D-85CF8D9B9D1E}"/>
    <cellStyle name="40% - Accent4 2 3 8" xfId="8812" xr:uid="{EADB63CE-C1BA-402E-A4A3-7954F3E61279}"/>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A7A5F6FE-5CC6-4D9C-9AA7-95B865C4334F}"/>
    <cellStyle name="40% - Accent4 2 4 2 3" xfId="11368" xr:uid="{CF945095-2982-43CA-A2B1-3D1B58881171}"/>
    <cellStyle name="40% - Accent4 2 4 3" xfId="4991" xr:uid="{00000000-0005-0000-0000-0000E2050000}"/>
    <cellStyle name="40% - Accent4 2 4 3 2" xfId="13441" xr:uid="{D24B42CA-18C2-406B-A810-DCA475FC6A36}"/>
    <cellStyle name="40% - Accent4 2 4 4" xfId="9223" xr:uid="{42BCF80B-474D-4A29-A4CC-A360C2456128}"/>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3C4CA37F-4CDC-4BA1-9481-EC6E032F2439}"/>
    <cellStyle name="40% - Accent4 2 5 2 3" xfId="11781" xr:uid="{C7CF9417-6EB5-4A3F-B63E-F80D41BE13F9}"/>
    <cellStyle name="40% - Accent4 2 5 3" xfId="5404" xr:uid="{00000000-0005-0000-0000-0000E6050000}"/>
    <cellStyle name="40% - Accent4 2 5 3 2" xfId="13854" xr:uid="{42A16F47-CBCE-4059-9A93-DF7DC77484C2}"/>
    <cellStyle name="40% - Accent4 2 5 4" xfId="9636" xr:uid="{713AA121-02A5-4278-B1C6-83C88BB07CA6}"/>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D7307C62-79A0-4E07-9DF0-7D538688255E}"/>
    <cellStyle name="40% - Accent4 2 6 2 3" xfId="12194" xr:uid="{C4F87B22-2968-48D7-92DD-145AE59CC8F4}"/>
    <cellStyle name="40% - Accent4 2 6 3" xfId="5817" xr:uid="{00000000-0005-0000-0000-0000EA050000}"/>
    <cellStyle name="40% - Accent4 2 6 3 2" xfId="14267" xr:uid="{3803A822-7DEF-44A5-8C31-9BB7C2536E01}"/>
    <cellStyle name="40% - Accent4 2 6 4" xfId="10049" xr:uid="{921941EB-868D-46CB-A60C-FFD303BC12CB}"/>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EFEBFD61-AAC3-4A24-84B7-B82D6110A50F}"/>
    <cellStyle name="40% - Accent4 2 7 2 3" xfId="12607" xr:uid="{0E0477F4-B4B3-4EAA-AD85-126169D23178}"/>
    <cellStyle name="40% - Accent4 2 7 3" xfId="6230" xr:uid="{00000000-0005-0000-0000-0000EE050000}"/>
    <cellStyle name="40% - Accent4 2 7 3 2" xfId="14680" xr:uid="{7CFCB576-071A-4947-96B3-86F3B12A25FC}"/>
    <cellStyle name="40% - Accent4 2 7 4" xfId="10462" xr:uid="{D2151FAB-5811-41B0-BD3A-447129FB8A6F}"/>
    <cellStyle name="40% - Accent4 2 8" xfId="2337" xr:uid="{00000000-0005-0000-0000-0000EF050000}"/>
    <cellStyle name="40% - Accent4 2 8 2" xfId="6643" xr:uid="{00000000-0005-0000-0000-0000F0050000}"/>
    <cellStyle name="40% - Accent4 2 8 2 2" xfId="15093" xr:uid="{83B3B276-9269-4367-B531-24FCEAC12617}"/>
    <cellStyle name="40% - Accent4 2 8 3" xfId="10875" xr:uid="{6EBBAC36-2D60-4B7F-963D-C7C6656918FF}"/>
    <cellStyle name="40% - Accent4 2 9" xfId="4577" xr:uid="{00000000-0005-0000-0000-0000F1050000}"/>
    <cellStyle name="40% - Accent4 2 9 2" xfId="13027" xr:uid="{8C0AC7FF-4DB0-4984-A385-51936A551C19}"/>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B374E864-4CDF-4FD7-9577-26DE127A77CC}"/>
    <cellStyle name="40% - Accent4 3 2 2 2 3" xfId="11373" xr:uid="{FF175B44-14A1-4C51-B3BF-A788B5DF07A6}"/>
    <cellStyle name="40% - Accent4 3 2 2 3" xfId="4996" xr:uid="{00000000-0005-0000-0000-0000F7050000}"/>
    <cellStyle name="40% - Accent4 3 2 2 3 2" xfId="13446" xr:uid="{A71985F5-66BC-4DA3-8B88-B68860CDC119}"/>
    <cellStyle name="40% - Accent4 3 2 2 4" xfId="9228" xr:uid="{B505FBA4-534D-4D7B-8563-E667A4255CE3}"/>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F334382A-CA69-474B-BFFE-ADE26BF5AE70}"/>
    <cellStyle name="40% - Accent4 3 2 3 2 3" xfId="11786" xr:uid="{7170F9E2-0A72-4E31-A845-2C90F31DA6AC}"/>
    <cellStyle name="40% - Accent4 3 2 3 3" xfId="5409" xr:uid="{00000000-0005-0000-0000-0000FB050000}"/>
    <cellStyle name="40% - Accent4 3 2 3 3 2" xfId="13859" xr:uid="{912B3378-FE99-485F-8E8C-4865DFB9B7D0}"/>
    <cellStyle name="40% - Accent4 3 2 3 4" xfId="9641" xr:uid="{2A90A20E-457A-4854-BD2A-D3E94BEDE4D4}"/>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3C06D852-C542-4E3D-BFC3-1BD82B0DC0B7}"/>
    <cellStyle name="40% - Accent4 3 2 4 2 3" xfId="12199" xr:uid="{67DE19B0-BA9B-4F15-B57A-AD926ECD41E2}"/>
    <cellStyle name="40% - Accent4 3 2 4 3" xfId="5822" xr:uid="{00000000-0005-0000-0000-0000FF050000}"/>
    <cellStyle name="40% - Accent4 3 2 4 3 2" xfId="14272" xr:uid="{ED725CAB-6F13-4FF2-9AF2-71358BA835CC}"/>
    <cellStyle name="40% - Accent4 3 2 4 4" xfId="10054" xr:uid="{BB789190-107C-4D68-BE3A-E6157E11F5D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A930FA83-B484-404D-8867-A880D5692EC3}"/>
    <cellStyle name="40% - Accent4 3 2 5 2 3" xfId="12612" xr:uid="{CDB52E5C-0541-4445-84D7-4D5CD7E7736D}"/>
    <cellStyle name="40% - Accent4 3 2 5 3" xfId="6235" xr:uid="{00000000-0005-0000-0000-000003060000}"/>
    <cellStyle name="40% - Accent4 3 2 5 3 2" xfId="14685" xr:uid="{C8C9EEAB-EF1F-476F-ADBF-22DB87E3583D}"/>
    <cellStyle name="40% - Accent4 3 2 5 4" xfId="10467" xr:uid="{0C60EF67-3F87-490D-9F32-D1AEB96D70A9}"/>
    <cellStyle name="40% - Accent4 3 2 6" xfId="2342" xr:uid="{00000000-0005-0000-0000-000004060000}"/>
    <cellStyle name="40% - Accent4 3 2 6 2" xfId="6648" xr:uid="{00000000-0005-0000-0000-000005060000}"/>
    <cellStyle name="40% - Accent4 3 2 6 2 2" xfId="15098" xr:uid="{974BD60A-FD6B-474D-A607-68BDCDFB497A}"/>
    <cellStyle name="40% - Accent4 3 2 6 3" xfId="10880" xr:uid="{7DBA3B7C-E9F3-415D-A368-63615B4AFCDE}"/>
    <cellStyle name="40% - Accent4 3 2 7" xfId="4582" xr:uid="{00000000-0005-0000-0000-000006060000}"/>
    <cellStyle name="40% - Accent4 3 2 7 2" xfId="13032" xr:uid="{CE0C9AC6-7812-4761-8AA2-DFC09873DA61}"/>
    <cellStyle name="40% - Accent4 3 2 8" xfId="8814" xr:uid="{8E2F1E69-4244-4E76-B684-9BFAC2B39DF3}"/>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E2F11C9D-CFA1-451E-B745-A2F1B98BB1D1}"/>
    <cellStyle name="40% - Accent4 3 3 2 3" xfId="11372" xr:uid="{4FB1BF7B-7995-406B-9F30-770524348975}"/>
    <cellStyle name="40% - Accent4 3 3 3" xfId="4995" xr:uid="{00000000-0005-0000-0000-00000A060000}"/>
    <cellStyle name="40% - Accent4 3 3 3 2" xfId="13445" xr:uid="{E3A3E548-C476-4FC5-B6D6-95565C7C5204}"/>
    <cellStyle name="40% - Accent4 3 3 4" xfId="9227" xr:uid="{05C098DA-016B-4D1E-8DD6-5FB90292EC5F}"/>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E40DFD8F-2741-4CB9-828F-618A81FF0BEB}"/>
    <cellStyle name="40% - Accent4 3 4 2 3" xfId="11785" xr:uid="{585EA7FA-08A7-4FE2-BCE3-33C2DEC842E9}"/>
    <cellStyle name="40% - Accent4 3 4 3" xfId="5408" xr:uid="{00000000-0005-0000-0000-00000E060000}"/>
    <cellStyle name="40% - Accent4 3 4 3 2" xfId="13858" xr:uid="{D4A874FA-1715-49A5-8120-CE78B8BBE95B}"/>
    <cellStyle name="40% - Accent4 3 4 4" xfId="9640" xr:uid="{D74C31D2-8058-4E85-A436-757203AC0E8F}"/>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9150FB77-3157-436C-9822-F44F7F2C12D1}"/>
    <cellStyle name="40% - Accent4 3 5 2 3" xfId="12198" xr:uid="{40A8924C-C0B1-4A94-964B-E7FD420E779C}"/>
    <cellStyle name="40% - Accent4 3 5 3" xfId="5821" xr:uid="{00000000-0005-0000-0000-000012060000}"/>
    <cellStyle name="40% - Accent4 3 5 3 2" xfId="14271" xr:uid="{688C4EAC-E814-4BB2-B9CF-2A805D2BBF53}"/>
    <cellStyle name="40% - Accent4 3 5 4" xfId="10053" xr:uid="{6BA4FD75-EACB-4D3C-B6E1-BBEE33836B5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BD0A21CE-EE26-41D4-AD30-D5C5078931EF}"/>
    <cellStyle name="40% - Accent4 3 6 2 3" xfId="12611" xr:uid="{C6701C2E-E360-4312-B856-3DC6B2F399D5}"/>
    <cellStyle name="40% - Accent4 3 6 3" xfId="6234" xr:uid="{00000000-0005-0000-0000-000016060000}"/>
    <cellStyle name="40% - Accent4 3 6 3 2" xfId="14684" xr:uid="{3F82C7D7-E98A-4D74-9A08-A2A0A8568DD7}"/>
    <cellStyle name="40% - Accent4 3 6 4" xfId="10466" xr:uid="{43A2DF4E-888B-4656-84BE-1D487927D63C}"/>
    <cellStyle name="40% - Accent4 3 7" xfId="2341" xr:uid="{00000000-0005-0000-0000-000017060000}"/>
    <cellStyle name="40% - Accent4 3 7 2" xfId="6647" xr:uid="{00000000-0005-0000-0000-000018060000}"/>
    <cellStyle name="40% - Accent4 3 7 2 2" xfId="15097" xr:uid="{09877BD1-840E-4044-B514-780DAEA88CB3}"/>
    <cellStyle name="40% - Accent4 3 7 3" xfId="10879" xr:uid="{19965E38-858B-4F13-9D05-8CC0EC5F0D9F}"/>
    <cellStyle name="40% - Accent4 3 8" xfId="4581" xr:uid="{00000000-0005-0000-0000-000019060000}"/>
    <cellStyle name="40% - Accent4 3 8 2" xfId="13031" xr:uid="{C252A806-8F79-49EB-9D79-ED18D55BA5FA}"/>
    <cellStyle name="40% - Accent4 3 9" xfId="8813" xr:uid="{F83C37E4-F7AD-4774-8D44-1F7FD894108A}"/>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9D7B4354-1C5B-46E8-BE06-34C4B19F3FD7}"/>
    <cellStyle name="40% - Accent4 4 2 2 3" xfId="11374" xr:uid="{F218F11A-721C-4F3F-980D-E40551C72743}"/>
    <cellStyle name="40% - Accent4 4 2 3" xfId="4997" xr:uid="{00000000-0005-0000-0000-00001E060000}"/>
    <cellStyle name="40% - Accent4 4 2 3 2" xfId="13447" xr:uid="{AD462723-A949-417A-A737-079A82852471}"/>
    <cellStyle name="40% - Accent4 4 2 4" xfId="9229" xr:uid="{8A245D55-6ECC-4351-8053-1109E1887B06}"/>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F54A4E4B-1577-47E2-B86F-F651608D8DB6}"/>
    <cellStyle name="40% - Accent4 4 3 2 3" xfId="11787" xr:uid="{43BC810B-6FBB-4FC7-9037-E127067CE4E2}"/>
    <cellStyle name="40% - Accent4 4 3 3" xfId="5410" xr:uid="{00000000-0005-0000-0000-000022060000}"/>
    <cellStyle name="40% - Accent4 4 3 3 2" xfId="13860" xr:uid="{36D165D1-20A2-4654-BF53-65868B5018F1}"/>
    <cellStyle name="40% - Accent4 4 3 4" xfId="9642" xr:uid="{6B324B6E-7293-4666-AE4C-E867403B934C}"/>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5221DE79-886A-4A9A-BCD9-C2F03D3FD8EE}"/>
    <cellStyle name="40% - Accent4 4 4 2 3" xfId="12200" xr:uid="{3B94387B-CD30-45A4-AA97-2BF4D9157FB8}"/>
    <cellStyle name="40% - Accent4 4 4 3" xfId="5823" xr:uid="{00000000-0005-0000-0000-000026060000}"/>
    <cellStyle name="40% - Accent4 4 4 3 2" xfId="14273" xr:uid="{79A37BE6-700D-427B-922D-9DCE4E25390F}"/>
    <cellStyle name="40% - Accent4 4 4 4" xfId="10055" xr:uid="{0938A836-B0D4-43BC-894F-826E98B2A89D}"/>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BEA7368D-EC93-4CBC-9136-5FD181935315}"/>
    <cellStyle name="40% - Accent4 4 5 2 3" xfId="12613" xr:uid="{18D6261E-5116-4104-8354-0FF5425AAB6C}"/>
    <cellStyle name="40% - Accent4 4 5 3" xfId="6236" xr:uid="{00000000-0005-0000-0000-00002A060000}"/>
    <cellStyle name="40% - Accent4 4 5 3 2" xfId="14686" xr:uid="{08052347-C97A-4D3E-A073-671D750F49B8}"/>
    <cellStyle name="40% - Accent4 4 5 4" xfId="10468" xr:uid="{82F05FBB-CD03-431A-B3EF-540087D84992}"/>
    <cellStyle name="40% - Accent4 4 6" xfId="2343" xr:uid="{00000000-0005-0000-0000-00002B060000}"/>
    <cellStyle name="40% - Accent4 4 6 2" xfId="6649" xr:uid="{00000000-0005-0000-0000-00002C060000}"/>
    <cellStyle name="40% - Accent4 4 6 2 2" xfId="15099" xr:uid="{D2E19A71-E586-4480-AE35-7A5DD3093748}"/>
    <cellStyle name="40% - Accent4 4 6 3" xfId="10881" xr:uid="{00A0FEBC-61C0-43E9-BA4D-683EEE934BFE}"/>
    <cellStyle name="40% - Accent4 4 7" xfId="4583" xr:uid="{00000000-0005-0000-0000-00002D060000}"/>
    <cellStyle name="40% - Accent4 4 7 2" xfId="13033" xr:uid="{22218839-973C-42C7-A3C0-B385FE96C1C5}"/>
    <cellStyle name="40% - Accent4 4 8" xfId="8815" xr:uid="{FE8A889D-C5FC-4B67-92E0-1EB92F9DB3F7}"/>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005E30FD-E7CD-48D6-9461-CBDBD0F6D133}"/>
    <cellStyle name="40% - Accent4 5 2 3" xfId="11367" xr:uid="{0776F957-E99A-4963-9263-E5126DC312DF}"/>
    <cellStyle name="40% - Accent4 5 3" xfId="4990" xr:uid="{00000000-0005-0000-0000-000031060000}"/>
    <cellStyle name="40% - Accent4 5 3 2" xfId="13440" xr:uid="{AB9DC488-FA78-466E-BE19-3898A265310E}"/>
    <cellStyle name="40% - Accent4 5 4" xfId="9222" xr:uid="{AEF821CC-765D-48F4-ABBA-C8FE41D25EF0}"/>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DA0F9328-4C70-497F-AFDD-9EA1041BA629}"/>
    <cellStyle name="40% - Accent4 6 2 3" xfId="11780" xr:uid="{3A7D0CDA-14BB-4143-BAA2-A43830D1FBA4}"/>
    <cellStyle name="40% - Accent4 6 3" xfId="5403" xr:uid="{00000000-0005-0000-0000-000035060000}"/>
    <cellStyle name="40% - Accent4 6 3 2" xfId="13853" xr:uid="{C873D30C-E90E-40E1-AF49-2761099AD7E1}"/>
    <cellStyle name="40% - Accent4 6 4" xfId="9635" xr:uid="{776D79B7-148E-45A1-8E6D-6A391F4125D8}"/>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ABEA9DCF-92E2-49EC-9A34-AB57C1A9EAA2}"/>
    <cellStyle name="40% - Accent4 7 2 3" xfId="12193" xr:uid="{EFE1CB40-EBFA-4865-82F7-CBB57028B00C}"/>
    <cellStyle name="40% - Accent4 7 3" xfId="5816" xr:uid="{00000000-0005-0000-0000-000039060000}"/>
    <cellStyle name="40% - Accent4 7 3 2" xfId="14266" xr:uid="{72622455-9BFB-4B30-8992-9037E1F0730D}"/>
    <cellStyle name="40% - Accent4 7 4" xfId="10048" xr:uid="{8B0302A3-584E-4D11-A621-A0FCB062FDE8}"/>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665DF5F1-5B5E-440C-B03A-0E6068ED546B}"/>
    <cellStyle name="40% - Accent4 8 2 3" xfId="12606" xr:uid="{DF3BCFCB-73D8-4AC2-8F69-50B0EF4AF6D6}"/>
    <cellStyle name="40% - Accent4 8 3" xfId="6229" xr:uid="{00000000-0005-0000-0000-00003D060000}"/>
    <cellStyle name="40% - Accent4 8 3 2" xfId="14679" xr:uid="{2598F69F-B2C5-4885-B97C-6AD187555D09}"/>
    <cellStyle name="40% - Accent4 8 4" xfId="10461" xr:uid="{A9817595-A665-4743-A876-A95046B41268}"/>
    <cellStyle name="40% - Accent4 9" xfId="2336" xr:uid="{00000000-0005-0000-0000-00003E060000}"/>
    <cellStyle name="40% - Accent4 9 2" xfId="6642" xr:uid="{00000000-0005-0000-0000-00003F060000}"/>
    <cellStyle name="40% - Accent4 9 2 2" xfId="15092" xr:uid="{79EC2A5D-C9AF-4246-9093-238AD1DB5D0F}"/>
    <cellStyle name="40% - Accent4 9 3" xfId="10874" xr:uid="{08870A8C-BD41-438C-966A-39D4A731CA8E}"/>
    <cellStyle name="40% - Accent5" xfId="81" builtinId="47" customBuiltin="1"/>
    <cellStyle name="40% - Accent5 10" xfId="4584" xr:uid="{00000000-0005-0000-0000-000041060000}"/>
    <cellStyle name="40% - Accent5 10 2" xfId="13034" xr:uid="{7A6894AE-6DAA-4A0F-BF5C-07EBAC88B746}"/>
    <cellStyle name="40% - Accent5 11" xfId="8816" xr:uid="{60F8857D-A29A-42E8-9FB3-37C94985F5D8}"/>
    <cellStyle name="40% - Accent5 2" xfId="82" xr:uid="{00000000-0005-0000-0000-000042060000}"/>
    <cellStyle name="40% - Accent5 2 10" xfId="8817" xr:uid="{5B7BD902-B968-485B-8C44-B80B73B02A3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B34567AB-DB3E-4F34-A465-D78FE80D8203}"/>
    <cellStyle name="40% - Accent5 2 2 2 2 2 3" xfId="11378" xr:uid="{99FED275-83A3-41B6-B053-38C37469A87B}"/>
    <cellStyle name="40% - Accent5 2 2 2 2 3" xfId="5001" xr:uid="{00000000-0005-0000-0000-000048060000}"/>
    <cellStyle name="40% - Accent5 2 2 2 2 3 2" xfId="13451" xr:uid="{F5EFD4C0-7EC7-4C39-A49B-A87D7570315B}"/>
    <cellStyle name="40% - Accent5 2 2 2 2 4" xfId="9233" xr:uid="{081AD96E-8943-465F-905A-ABA7096984F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FE4ED3AA-F119-4F10-91A7-CAE9A3A1336B}"/>
    <cellStyle name="40% - Accent5 2 2 2 3 2 3" xfId="11791" xr:uid="{F4F8442C-41BC-4BD1-BE5E-61088BAE9C8E}"/>
    <cellStyle name="40% - Accent5 2 2 2 3 3" xfId="5414" xr:uid="{00000000-0005-0000-0000-00004C060000}"/>
    <cellStyle name="40% - Accent5 2 2 2 3 3 2" xfId="13864" xr:uid="{4D7EAB70-7356-4594-A6CD-C4AA94EECB29}"/>
    <cellStyle name="40% - Accent5 2 2 2 3 4" xfId="9646" xr:uid="{9D90C4D0-E663-4917-BC4F-BA3A15C0A8FE}"/>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97DDDB15-CA31-4E5C-8D76-1BD5EB94B990}"/>
    <cellStyle name="40% - Accent5 2 2 2 4 2 3" xfId="12204" xr:uid="{A2D076B6-D7F4-4F71-AA0C-7B2313A1B9DF}"/>
    <cellStyle name="40% - Accent5 2 2 2 4 3" xfId="5827" xr:uid="{00000000-0005-0000-0000-000050060000}"/>
    <cellStyle name="40% - Accent5 2 2 2 4 3 2" xfId="14277" xr:uid="{83F15AA4-6B00-40C9-9357-8C424558B123}"/>
    <cellStyle name="40% - Accent5 2 2 2 4 4" xfId="10059" xr:uid="{8BB54B28-B24E-480C-8F39-569E81F07B2F}"/>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8510698A-3BD6-49FE-87B6-B324A722D489}"/>
    <cellStyle name="40% - Accent5 2 2 2 5 2 3" xfId="12617" xr:uid="{8A79B3C7-EFDB-422A-95BD-50D5EB47AC2A}"/>
    <cellStyle name="40% - Accent5 2 2 2 5 3" xfId="6240" xr:uid="{00000000-0005-0000-0000-000054060000}"/>
    <cellStyle name="40% - Accent5 2 2 2 5 3 2" xfId="14690" xr:uid="{1EFFFF64-D340-4942-B0DF-A8A444A6EEC3}"/>
    <cellStyle name="40% - Accent5 2 2 2 5 4" xfId="10472" xr:uid="{22B1D438-2FB9-4F39-8A22-5E8FDF8FEEA0}"/>
    <cellStyle name="40% - Accent5 2 2 2 6" xfId="2347" xr:uid="{00000000-0005-0000-0000-000055060000}"/>
    <cellStyle name="40% - Accent5 2 2 2 6 2" xfId="6653" xr:uid="{00000000-0005-0000-0000-000056060000}"/>
    <cellStyle name="40% - Accent5 2 2 2 6 2 2" xfId="15103" xr:uid="{DF3F7D73-8772-4202-A7F1-8973D272D314}"/>
    <cellStyle name="40% - Accent5 2 2 2 6 3" xfId="10885" xr:uid="{2A063854-D76A-47AB-B91B-CB121105F34C}"/>
    <cellStyle name="40% - Accent5 2 2 2 7" xfId="4587" xr:uid="{00000000-0005-0000-0000-000057060000}"/>
    <cellStyle name="40% - Accent5 2 2 2 7 2" xfId="13037" xr:uid="{D6FEF3CD-F535-4E82-8072-976D308C24D4}"/>
    <cellStyle name="40% - Accent5 2 2 2 8" xfId="8819" xr:uid="{0F108684-BBDA-404E-A630-3D39C5EB405C}"/>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2681C8C9-B58E-4EE2-9924-F2600260F5C8}"/>
    <cellStyle name="40% - Accent5 2 2 3 2 3" xfId="11377" xr:uid="{6DEEF57F-93C2-4CCE-9A37-FDC704467563}"/>
    <cellStyle name="40% - Accent5 2 2 3 3" xfId="5000" xr:uid="{00000000-0005-0000-0000-00005B060000}"/>
    <cellStyle name="40% - Accent5 2 2 3 3 2" xfId="13450" xr:uid="{B255AED8-B334-4037-BAA2-11772BD1C3AD}"/>
    <cellStyle name="40% - Accent5 2 2 3 4" xfId="9232" xr:uid="{A6FD60A6-42DF-4C38-A687-A9A09D19F1D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E1310DCE-BF71-4C80-ADCC-94E0FF26017A}"/>
    <cellStyle name="40% - Accent5 2 2 4 2 3" xfId="11790" xr:uid="{3FC4B9B7-93B4-4015-A541-AC38B6FCEAF5}"/>
    <cellStyle name="40% - Accent5 2 2 4 3" xfId="5413" xr:uid="{00000000-0005-0000-0000-00005F060000}"/>
    <cellStyle name="40% - Accent5 2 2 4 3 2" xfId="13863" xr:uid="{83EC2178-706A-4CB1-9247-FB2711E499CE}"/>
    <cellStyle name="40% - Accent5 2 2 4 4" xfId="9645" xr:uid="{BFFE71C3-4774-47A2-A6C7-2BF8C1075D56}"/>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A7A83CA0-E211-46F3-9437-08F081019FB1}"/>
    <cellStyle name="40% - Accent5 2 2 5 2 3" xfId="12203" xr:uid="{DE26CD94-CA51-46A9-BDEA-09BE5E27AA69}"/>
    <cellStyle name="40% - Accent5 2 2 5 3" xfId="5826" xr:uid="{00000000-0005-0000-0000-000063060000}"/>
    <cellStyle name="40% - Accent5 2 2 5 3 2" xfId="14276" xr:uid="{06F3DDA8-E273-4607-8E15-14F3C6683D1B}"/>
    <cellStyle name="40% - Accent5 2 2 5 4" xfId="10058" xr:uid="{BCE2FDD4-0D7E-44F4-9F0D-F3BAD689272C}"/>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1251B4F6-EF07-4B93-94D4-A9B1490A07FF}"/>
    <cellStyle name="40% - Accent5 2 2 6 2 3" xfId="12616" xr:uid="{CDD06376-EA3C-4C7D-9D7F-9E4C225EEF53}"/>
    <cellStyle name="40% - Accent5 2 2 6 3" xfId="6239" xr:uid="{00000000-0005-0000-0000-000067060000}"/>
    <cellStyle name="40% - Accent5 2 2 6 3 2" xfId="14689" xr:uid="{6B79F2AB-78AB-4345-B2F6-7696F319DECB}"/>
    <cellStyle name="40% - Accent5 2 2 6 4" xfId="10471" xr:uid="{51516D3B-0C6C-4A56-8478-2E1FCD89AC35}"/>
    <cellStyle name="40% - Accent5 2 2 7" xfId="2346" xr:uid="{00000000-0005-0000-0000-000068060000}"/>
    <cellStyle name="40% - Accent5 2 2 7 2" xfId="6652" xr:uid="{00000000-0005-0000-0000-000069060000}"/>
    <cellStyle name="40% - Accent5 2 2 7 2 2" xfId="15102" xr:uid="{5134DAF4-920C-48D1-9379-725397C209B2}"/>
    <cellStyle name="40% - Accent5 2 2 7 3" xfId="10884" xr:uid="{23897D8B-4B3D-4781-9A26-9C02F3F23926}"/>
    <cellStyle name="40% - Accent5 2 2 8" xfId="4586" xr:uid="{00000000-0005-0000-0000-00006A060000}"/>
    <cellStyle name="40% - Accent5 2 2 8 2" xfId="13036" xr:uid="{F3326AF5-D83E-4281-8BE5-B924FBE546F2}"/>
    <cellStyle name="40% - Accent5 2 2 9" xfId="8818" xr:uid="{C76EEEA6-7EC5-4D3C-8827-8C7BFFA0345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C6E7582F-A626-4BFC-925F-7380BF91DAF7}"/>
    <cellStyle name="40% - Accent5 2 3 2 2 3" xfId="11379" xr:uid="{68E564B5-6D4D-41AF-BAFE-8D70C07FC796}"/>
    <cellStyle name="40% - Accent5 2 3 2 3" xfId="5002" xr:uid="{00000000-0005-0000-0000-00006F060000}"/>
    <cellStyle name="40% - Accent5 2 3 2 3 2" xfId="13452" xr:uid="{30A6508F-AF50-44CB-B40D-0FBE875773EA}"/>
    <cellStyle name="40% - Accent5 2 3 2 4" xfId="9234" xr:uid="{F42EBFB7-4FE9-40DF-9E44-501F6F101DD7}"/>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CB2ED310-F9AC-4788-8706-41B7BAA39CC2}"/>
    <cellStyle name="40% - Accent5 2 3 3 2 3" xfId="11792" xr:uid="{77C19E33-AA76-4572-9B25-B081E337DFCD}"/>
    <cellStyle name="40% - Accent5 2 3 3 3" xfId="5415" xr:uid="{00000000-0005-0000-0000-000073060000}"/>
    <cellStyle name="40% - Accent5 2 3 3 3 2" xfId="13865" xr:uid="{8C1280DF-486D-4B46-B46F-C05D0D036693}"/>
    <cellStyle name="40% - Accent5 2 3 3 4" xfId="9647" xr:uid="{7BEC63CA-18D1-403E-92E2-9E61E5AF0A3B}"/>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3CB47762-853B-4FED-B5AC-775585486897}"/>
    <cellStyle name="40% - Accent5 2 3 4 2 3" xfId="12205" xr:uid="{4D794871-DB9A-4AA1-A617-26D9CDC49F8A}"/>
    <cellStyle name="40% - Accent5 2 3 4 3" xfId="5828" xr:uid="{00000000-0005-0000-0000-000077060000}"/>
    <cellStyle name="40% - Accent5 2 3 4 3 2" xfId="14278" xr:uid="{84C96D40-6B8C-42D9-858C-5C1C004ABC39}"/>
    <cellStyle name="40% - Accent5 2 3 4 4" xfId="10060" xr:uid="{E6C5541B-C10E-449E-B90C-036945E52170}"/>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4A033FD6-ACBA-43C5-9118-3DDC949E86D7}"/>
    <cellStyle name="40% - Accent5 2 3 5 2 3" xfId="12618" xr:uid="{09B7164C-5044-4F1A-BFC2-E846C182E530}"/>
    <cellStyle name="40% - Accent5 2 3 5 3" xfId="6241" xr:uid="{00000000-0005-0000-0000-00007B060000}"/>
    <cellStyle name="40% - Accent5 2 3 5 3 2" xfId="14691" xr:uid="{52CCBC27-2FB9-4D34-9D2B-8BCAC9BF8A27}"/>
    <cellStyle name="40% - Accent5 2 3 5 4" xfId="10473" xr:uid="{4F5E9FA6-73EC-40B1-A431-9067F2AB94BE}"/>
    <cellStyle name="40% - Accent5 2 3 6" xfId="2348" xr:uid="{00000000-0005-0000-0000-00007C060000}"/>
    <cellStyle name="40% - Accent5 2 3 6 2" xfId="6654" xr:uid="{00000000-0005-0000-0000-00007D060000}"/>
    <cellStyle name="40% - Accent5 2 3 6 2 2" xfId="15104" xr:uid="{F6AA6CD8-9F89-4E48-9569-943DD436F3A8}"/>
    <cellStyle name="40% - Accent5 2 3 6 3" xfId="10886" xr:uid="{AB3F1441-32BD-4432-AD76-7B380D42C0F2}"/>
    <cellStyle name="40% - Accent5 2 3 7" xfId="4588" xr:uid="{00000000-0005-0000-0000-00007E060000}"/>
    <cellStyle name="40% - Accent5 2 3 7 2" xfId="13038" xr:uid="{F1C75F60-0AC4-4E40-BC9C-DAF8111C091D}"/>
    <cellStyle name="40% - Accent5 2 3 8" xfId="8820" xr:uid="{7A5F891C-737C-4AD1-AD24-B6FD9683EEEE}"/>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EE6A68C7-5A1A-4280-A7EF-81F61D17934B}"/>
    <cellStyle name="40% - Accent5 2 4 2 3" xfId="11376" xr:uid="{23306DEF-4BC9-4923-A318-5F96BEB4863F}"/>
    <cellStyle name="40% - Accent5 2 4 3" xfId="4999" xr:uid="{00000000-0005-0000-0000-000082060000}"/>
    <cellStyle name="40% - Accent5 2 4 3 2" xfId="13449" xr:uid="{61186749-8BE9-45B7-A33B-648848D9BB62}"/>
    <cellStyle name="40% - Accent5 2 4 4" xfId="9231" xr:uid="{DF68D710-EA2B-4CB2-A0B6-FBB7DBFE3627}"/>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C3FFD12E-08A8-4E4B-934A-4E5B002F865E}"/>
    <cellStyle name="40% - Accent5 2 5 2 3" xfId="11789" xr:uid="{0D236925-07BF-4A8A-9E89-CFCDD694C08B}"/>
    <cellStyle name="40% - Accent5 2 5 3" xfId="5412" xr:uid="{00000000-0005-0000-0000-000086060000}"/>
    <cellStyle name="40% - Accent5 2 5 3 2" xfId="13862" xr:uid="{DD9BF8C1-D74D-4B4F-BEEC-93112464D35B}"/>
    <cellStyle name="40% - Accent5 2 5 4" xfId="9644" xr:uid="{A897F302-33FC-4E3D-9829-9423BA4ADCD8}"/>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E171C23B-B38D-4006-855B-BDE2D2BBC47C}"/>
    <cellStyle name="40% - Accent5 2 6 2 3" xfId="12202" xr:uid="{41B3B40D-F41C-4201-8E30-9E22F74E4B7A}"/>
    <cellStyle name="40% - Accent5 2 6 3" xfId="5825" xr:uid="{00000000-0005-0000-0000-00008A060000}"/>
    <cellStyle name="40% - Accent5 2 6 3 2" xfId="14275" xr:uid="{9759775D-D98C-4E76-9833-805135DDD9B2}"/>
    <cellStyle name="40% - Accent5 2 6 4" xfId="10057" xr:uid="{36F797DB-E83C-456F-A473-BEC105A7A58C}"/>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A84613B3-67DD-4A5F-870E-915CBC215B82}"/>
    <cellStyle name="40% - Accent5 2 7 2 3" xfId="12615" xr:uid="{FC2DB0DE-942D-4E45-A17D-E790CF126EC6}"/>
    <cellStyle name="40% - Accent5 2 7 3" xfId="6238" xr:uid="{00000000-0005-0000-0000-00008E060000}"/>
    <cellStyle name="40% - Accent5 2 7 3 2" xfId="14688" xr:uid="{3271BE51-E032-4CB1-A3E9-EFDB05A5AAFA}"/>
    <cellStyle name="40% - Accent5 2 7 4" xfId="10470" xr:uid="{C2E253E0-2C3E-4206-81D6-382D1443EEE9}"/>
    <cellStyle name="40% - Accent5 2 8" xfId="2345" xr:uid="{00000000-0005-0000-0000-00008F060000}"/>
    <cellStyle name="40% - Accent5 2 8 2" xfId="6651" xr:uid="{00000000-0005-0000-0000-000090060000}"/>
    <cellStyle name="40% - Accent5 2 8 2 2" xfId="15101" xr:uid="{C4965D56-6F56-49DE-9A25-0CD16E2C5F23}"/>
    <cellStyle name="40% - Accent5 2 8 3" xfId="10883" xr:uid="{98209091-6F47-4408-A320-44B934F22871}"/>
    <cellStyle name="40% - Accent5 2 9" xfId="4585" xr:uid="{00000000-0005-0000-0000-000091060000}"/>
    <cellStyle name="40% - Accent5 2 9 2" xfId="13035" xr:uid="{A8862EE4-C9D9-4FA0-AB41-89FEB7CF40CD}"/>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19A54E9F-205C-44D7-B4F8-97E689967BFF}"/>
    <cellStyle name="40% - Accent5 3 2 2 2 3" xfId="11381" xr:uid="{4B6FBECF-A814-4A56-9BC7-6361FFF959BE}"/>
    <cellStyle name="40% - Accent5 3 2 2 3" xfId="5004" xr:uid="{00000000-0005-0000-0000-000097060000}"/>
    <cellStyle name="40% - Accent5 3 2 2 3 2" xfId="13454" xr:uid="{55C2671F-68E1-4E4E-BAD8-71E8D8CE4A33}"/>
    <cellStyle name="40% - Accent5 3 2 2 4" xfId="9236" xr:uid="{42715CBF-4CD5-4997-8FD2-984F83AE15D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3F823244-EB21-4728-9027-D2F87F3FC415}"/>
    <cellStyle name="40% - Accent5 3 2 3 2 3" xfId="11794" xr:uid="{E4BCB65C-0660-4831-B7C4-2149D7027DDC}"/>
    <cellStyle name="40% - Accent5 3 2 3 3" xfId="5417" xr:uid="{00000000-0005-0000-0000-00009B060000}"/>
    <cellStyle name="40% - Accent5 3 2 3 3 2" xfId="13867" xr:uid="{B3727A75-06D2-4582-BA7E-6EBE3B4521A3}"/>
    <cellStyle name="40% - Accent5 3 2 3 4" xfId="9649" xr:uid="{E4698F5D-337A-4E5F-A173-4EFDBA2019F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0E12829D-B4E2-48F3-A055-DF3693780035}"/>
    <cellStyle name="40% - Accent5 3 2 4 2 3" xfId="12207" xr:uid="{2D92783D-0721-4F11-8EA2-6088355E17ED}"/>
    <cellStyle name="40% - Accent5 3 2 4 3" xfId="5830" xr:uid="{00000000-0005-0000-0000-00009F060000}"/>
    <cellStyle name="40% - Accent5 3 2 4 3 2" xfId="14280" xr:uid="{AE1D14B0-6E46-475A-A524-15AE750F42A7}"/>
    <cellStyle name="40% - Accent5 3 2 4 4" xfId="10062" xr:uid="{26F5B809-55DC-47AB-9E11-87BFA13C4660}"/>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0AA1E5BC-B02A-4EA8-9606-56B25E7148A0}"/>
    <cellStyle name="40% - Accent5 3 2 5 2 3" xfId="12620" xr:uid="{EE68BB9A-F58D-496C-83A5-8230199CBEBA}"/>
    <cellStyle name="40% - Accent5 3 2 5 3" xfId="6243" xr:uid="{00000000-0005-0000-0000-0000A3060000}"/>
    <cellStyle name="40% - Accent5 3 2 5 3 2" xfId="14693" xr:uid="{EF33DCAE-5923-46C9-B115-6D7CECD73669}"/>
    <cellStyle name="40% - Accent5 3 2 5 4" xfId="10475" xr:uid="{9D7D284D-DE2B-4A56-AEF5-921A14E6F89B}"/>
    <cellStyle name="40% - Accent5 3 2 6" xfId="2350" xr:uid="{00000000-0005-0000-0000-0000A4060000}"/>
    <cellStyle name="40% - Accent5 3 2 6 2" xfId="6656" xr:uid="{00000000-0005-0000-0000-0000A5060000}"/>
    <cellStyle name="40% - Accent5 3 2 6 2 2" xfId="15106" xr:uid="{D06437C5-083B-4337-ACFA-F2C1781F6A47}"/>
    <cellStyle name="40% - Accent5 3 2 6 3" xfId="10888" xr:uid="{72855834-9B59-4B1E-8C8C-141C9A0A9C06}"/>
    <cellStyle name="40% - Accent5 3 2 7" xfId="4590" xr:uid="{00000000-0005-0000-0000-0000A6060000}"/>
    <cellStyle name="40% - Accent5 3 2 7 2" xfId="13040" xr:uid="{B458A644-43C3-4709-9B30-EEC5BB1C181F}"/>
    <cellStyle name="40% - Accent5 3 2 8" xfId="8822" xr:uid="{0AD9E5E7-51E7-43CC-A383-2A2E1AB5BD24}"/>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EA114752-FDB6-410B-9AD3-1471F0E4F26D}"/>
    <cellStyle name="40% - Accent5 3 3 2 3" xfId="11380" xr:uid="{3F61E96D-3113-4FC7-80B6-B6C2E684B773}"/>
    <cellStyle name="40% - Accent5 3 3 3" xfId="5003" xr:uid="{00000000-0005-0000-0000-0000AA060000}"/>
    <cellStyle name="40% - Accent5 3 3 3 2" xfId="13453" xr:uid="{343F8AFE-3178-492E-9CBE-29C2CC062A19}"/>
    <cellStyle name="40% - Accent5 3 3 4" xfId="9235" xr:uid="{E5E6CE12-631B-4426-A787-D16C53DD5232}"/>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7A6D9267-649B-455F-8A57-2998138C89F2}"/>
    <cellStyle name="40% - Accent5 3 4 2 3" xfId="11793" xr:uid="{B4B36FC8-77CA-4B9B-A4B0-B61AF5C9CE71}"/>
    <cellStyle name="40% - Accent5 3 4 3" xfId="5416" xr:uid="{00000000-0005-0000-0000-0000AE060000}"/>
    <cellStyle name="40% - Accent5 3 4 3 2" xfId="13866" xr:uid="{65FB15A9-0627-4D81-862B-E9B92734347A}"/>
    <cellStyle name="40% - Accent5 3 4 4" xfId="9648" xr:uid="{5FD4F5BE-AA18-4FB8-8A12-D2FF2417EF72}"/>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B1883418-F2C6-42BC-BC0D-52FBF84729FC}"/>
    <cellStyle name="40% - Accent5 3 5 2 3" xfId="12206" xr:uid="{0897B5E1-BD9B-4EAE-93A4-4A9DCA6A2F5E}"/>
    <cellStyle name="40% - Accent5 3 5 3" xfId="5829" xr:uid="{00000000-0005-0000-0000-0000B2060000}"/>
    <cellStyle name="40% - Accent5 3 5 3 2" xfId="14279" xr:uid="{14E55D07-7D68-4651-A345-3470C620B776}"/>
    <cellStyle name="40% - Accent5 3 5 4" xfId="10061" xr:uid="{CDE4BE52-A95D-4D2F-A949-C1BD7D379278}"/>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7DDC2BE0-C1E5-4A17-BDC8-4F49FAED9675}"/>
    <cellStyle name="40% - Accent5 3 6 2 3" xfId="12619" xr:uid="{04266C97-0615-49B4-98A8-3462B1163746}"/>
    <cellStyle name="40% - Accent5 3 6 3" xfId="6242" xr:uid="{00000000-0005-0000-0000-0000B6060000}"/>
    <cellStyle name="40% - Accent5 3 6 3 2" xfId="14692" xr:uid="{F197CF97-C2D0-473B-B335-3D6740722344}"/>
    <cellStyle name="40% - Accent5 3 6 4" xfId="10474" xr:uid="{7ECED3B3-360A-40E0-B210-9ED49000D813}"/>
    <cellStyle name="40% - Accent5 3 7" xfId="2349" xr:uid="{00000000-0005-0000-0000-0000B7060000}"/>
    <cellStyle name="40% - Accent5 3 7 2" xfId="6655" xr:uid="{00000000-0005-0000-0000-0000B8060000}"/>
    <cellStyle name="40% - Accent5 3 7 2 2" xfId="15105" xr:uid="{ADFD3D25-DBB7-4D38-A64E-4D625730F205}"/>
    <cellStyle name="40% - Accent5 3 7 3" xfId="10887" xr:uid="{CE4235B6-8AB5-4173-B716-B5AD4D8B74C4}"/>
    <cellStyle name="40% - Accent5 3 8" xfId="4589" xr:uid="{00000000-0005-0000-0000-0000B9060000}"/>
    <cellStyle name="40% - Accent5 3 8 2" xfId="13039" xr:uid="{D77DE8A1-10BA-436E-A7D5-6C5B56C7F811}"/>
    <cellStyle name="40% - Accent5 3 9" xfId="8821" xr:uid="{5F235335-ABAE-4C72-B726-9C317D9D1F1A}"/>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9B2C0D43-0452-493A-9E80-722A1B78A846}"/>
    <cellStyle name="40% - Accent5 4 2 2 3" xfId="11382" xr:uid="{0955431B-5758-495D-9870-CC5678FE9532}"/>
    <cellStyle name="40% - Accent5 4 2 3" xfId="5005" xr:uid="{00000000-0005-0000-0000-0000BE060000}"/>
    <cellStyle name="40% - Accent5 4 2 3 2" xfId="13455" xr:uid="{7165DA60-34A2-4D8D-ABA5-5DB21D62E89B}"/>
    <cellStyle name="40% - Accent5 4 2 4" xfId="9237" xr:uid="{331E53D9-D9BE-45C6-A55C-6953E6C54954}"/>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14C765A6-88C2-4791-B49D-89E066A13D9A}"/>
    <cellStyle name="40% - Accent5 4 3 2 3" xfId="11795" xr:uid="{E7B6E3A2-FF62-41C8-8E91-A29B4674A421}"/>
    <cellStyle name="40% - Accent5 4 3 3" xfId="5418" xr:uid="{00000000-0005-0000-0000-0000C2060000}"/>
    <cellStyle name="40% - Accent5 4 3 3 2" xfId="13868" xr:uid="{86840FB7-4CCB-4351-8CBE-4B218110F07C}"/>
    <cellStyle name="40% - Accent5 4 3 4" xfId="9650" xr:uid="{0CDD0DE4-4B58-4A58-892A-58267A8A043A}"/>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E886591E-6657-44B7-BECA-042E2F7B90DC}"/>
    <cellStyle name="40% - Accent5 4 4 2 3" xfId="12208" xr:uid="{FB882EF1-14A6-43F5-8483-8DB979FAA9F6}"/>
    <cellStyle name="40% - Accent5 4 4 3" xfId="5831" xr:uid="{00000000-0005-0000-0000-0000C6060000}"/>
    <cellStyle name="40% - Accent5 4 4 3 2" xfId="14281" xr:uid="{BF88B802-DB66-496D-BEAA-AC22AC1BC6C3}"/>
    <cellStyle name="40% - Accent5 4 4 4" xfId="10063" xr:uid="{5B23BBAD-E3A5-42C6-8087-7393443DA802}"/>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3D469E41-DC03-4CAA-B8EF-B907FC21B755}"/>
    <cellStyle name="40% - Accent5 4 5 2 3" xfId="12621" xr:uid="{0DBF3258-019A-4DC3-9583-85A908865CF7}"/>
    <cellStyle name="40% - Accent5 4 5 3" xfId="6244" xr:uid="{00000000-0005-0000-0000-0000CA060000}"/>
    <cellStyle name="40% - Accent5 4 5 3 2" xfId="14694" xr:uid="{A3CD2A25-3F5B-4BA2-8AF7-1A358CB7CE22}"/>
    <cellStyle name="40% - Accent5 4 5 4" xfId="10476" xr:uid="{3BD3E94F-C1A3-478D-8E06-07AF4A4D0AC9}"/>
    <cellStyle name="40% - Accent5 4 6" xfId="2351" xr:uid="{00000000-0005-0000-0000-0000CB060000}"/>
    <cellStyle name="40% - Accent5 4 6 2" xfId="6657" xr:uid="{00000000-0005-0000-0000-0000CC060000}"/>
    <cellStyle name="40% - Accent5 4 6 2 2" xfId="15107" xr:uid="{0476B7C3-BE66-499C-9D4E-00089227F4C9}"/>
    <cellStyle name="40% - Accent5 4 6 3" xfId="10889" xr:uid="{36E858B4-0659-4599-B024-B73940E3CE65}"/>
    <cellStyle name="40% - Accent5 4 7" xfId="4591" xr:uid="{00000000-0005-0000-0000-0000CD060000}"/>
    <cellStyle name="40% - Accent5 4 7 2" xfId="13041" xr:uid="{74F91861-3698-4DCA-844B-22B9A6942AEB}"/>
    <cellStyle name="40% - Accent5 4 8" xfId="8823" xr:uid="{700697CD-8DD8-413D-BB42-B92A4C4E4B3A}"/>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3AA44355-1BFB-4C8E-AA39-6100B7BA27A3}"/>
    <cellStyle name="40% - Accent5 5 2 3" xfId="11375" xr:uid="{9BB7A463-B621-4BCA-B4BF-A5FF928954CF}"/>
    <cellStyle name="40% - Accent5 5 3" xfId="4998" xr:uid="{00000000-0005-0000-0000-0000D1060000}"/>
    <cellStyle name="40% - Accent5 5 3 2" xfId="13448" xr:uid="{C002E908-C19A-4D05-AF8F-20E79D4FBE58}"/>
    <cellStyle name="40% - Accent5 5 4" xfId="9230" xr:uid="{CA645108-E639-4721-A9EF-B15A7ABB7575}"/>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0C4C1F5B-14B1-41CF-9788-F04BB6D0C3F4}"/>
    <cellStyle name="40% - Accent5 6 2 3" xfId="11788" xr:uid="{7030CCC5-610D-491F-9166-F6A906FE40AE}"/>
    <cellStyle name="40% - Accent5 6 3" xfId="5411" xr:uid="{00000000-0005-0000-0000-0000D5060000}"/>
    <cellStyle name="40% - Accent5 6 3 2" xfId="13861" xr:uid="{9F82E921-DA6E-436F-A310-54560ECFFD27}"/>
    <cellStyle name="40% - Accent5 6 4" xfId="9643" xr:uid="{9ECAC020-5241-457E-88CB-76F0BACC33C5}"/>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BA5BA93C-AA0F-4D22-8BC6-748B340EE958}"/>
    <cellStyle name="40% - Accent5 7 2 3" xfId="12201" xr:uid="{573A10EF-D8FE-40F6-A361-EFCEFA19C845}"/>
    <cellStyle name="40% - Accent5 7 3" xfId="5824" xr:uid="{00000000-0005-0000-0000-0000D9060000}"/>
    <cellStyle name="40% - Accent5 7 3 2" xfId="14274" xr:uid="{005F8E8E-9AC3-4746-AA65-AF21D548227E}"/>
    <cellStyle name="40% - Accent5 7 4" xfId="10056" xr:uid="{0B1EF158-CE86-47E6-AFF3-165499C3E6E7}"/>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F17E95ED-D1BB-4ACE-BC8D-09164CE110C6}"/>
    <cellStyle name="40% - Accent5 8 2 3" xfId="12614" xr:uid="{DDF2924B-A9D5-40D8-9B34-A316BFB1479D}"/>
    <cellStyle name="40% - Accent5 8 3" xfId="6237" xr:uid="{00000000-0005-0000-0000-0000DD060000}"/>
    <cellStyle name="40% - Accent5 8 3 2" xfId="14687" xr:uid="{B4ECB240-5F0D-4917-B281-99D711D16161}"/>
    <cellStyle name="40% - Accent5 8 4" xfId="10469" xr:uid="{78FF910D-F041-458C-B0FB-CD1FD2353A42}"/>
    <cellStyle name="40% - Accent5 9" xfId="2344" xr:uid="{00000000-0005-0000-0000-0000DE060000}"/>
    <cellStyle name="40% - Accent5 9 2" xfId="6650" xr:uid="{00000000-0005-0000-0000-0000DF060000}"/>
    <cellStyle name="40% - Accent5 9 2 2" xfId="15100" xr:uid="{8D7A6D32-DE7F-4B31-BAA5-8CEF1C7732AD}"/>
    <cellStyle name="40% - Accent5 9 3" xfId="10882" xr:uid="{45C5E38B-16D0-42C7-BE8B-459802476659}"/>
    <cellStyle name="40% - Accent6" xfId="89" builtinId="51" customBuiltin="1"/>
    <cellStyle name="40% - Accent6 10" xfId="4592" xr:uid="{00000000-0005-0000-0000-0000E1060000}"/>
    <cellStyle name="40% - Accent6 10 2" xfId="13042" xr:uid="{93FD28B1-3155-44E2-94D4-028B7EBC9DAD}"/>
    <cellStyle name="40% - Accent6 11" xfId="8824" xr:uid="{06EC4251-0CC1-476A-A7D0-E83988A0A1C8}"/>
    <cellStyle name="40% - Accent6 2" xfId="90" xr:uid="{00000000-0005-0000-0000-0000E2060000}"/>
    <cellStyle name="40% - Accent6 2 10" xfId="8825" xr:uid="{5E78B019-70E3-4E18-8CDB-E5A79E46C4E9}"/>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2C0F8E22-800A-42EB-BF72-CFAF1D0795EF}"/>
    <cellStyle name="40% - Accent6 2 2 2 2 2 3" xfId="11386" xr:uid="{A3A9A653-09C4-4F15-94A6-A8690B19B8D3}"/>
    <cellStyle name="40% - Accent6 2 2 2 2 3" xfId="5009" xr:uid="{00000000-0005-0000-0000-0000E8060000}"/>
    <cellStyle name="40% - Accent6 2 2 2 2 3 2" xfId="13459" xr:uid="{621AB263-A9CE-4845-BD9D-0C0285D1690F}"/>
    <cellStyle name="40% - Accent6 2 2 2 2 4" xfId="9241" xr:uid="{7A18B9B3-761F-47D1-BB9F-4F1BA6C890B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1E05DD16-0042-4FA0-B6B6-78DB8FF4ADD5}"/>
    <cellStyle name="40% - Accent6 2 2 2 3 2 3" xfId="11799" xr:uid="{42E33BEF-9A2A-4D17-9893-779216C46DA7}"/>
    <cellStyle name="40% - Accent6 2 2 2 3 3" xfId="5422" xr:uid="{00000000-0005-0000-0000-0000EC060000}"/>
    <cellStyle name="40% - Accent6 2 2 2 3 3 2" xfId="13872" xr:uid="{AB698EEC-1120-4CC0-9CCA-5EA6CFC40D44}"/>
    <cellStyle name="40% - Accent6 2 2 2 3 4" xfId="9654" xr:uid="{6B9DFC4C-3C3D-46C4-9FB6-C97399389B0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53087856-8133-4EFB-A404-8D89F419B480}"/>
    <cellStyle name="40% - Accent6 2 2 2 4 2 3" xfId="12212" xr:uid="{B3B658CA-586E-49F6-939C-065762416839}"/>
    <cellStyle name="40% - Accent6 2 2 2 4 3" xfId="5835" xr:uid="{00000000-0005-0000-0000-0000F0060000}"/>
    <cellStyle name="40% - Accent6 2 2 2 4 3 2" xfId="14285" xr:uid="{FAF36A40-BEF8-452D-B244-169068732840}"/>
    <cellStyle name="40% - Accent6 2 2 2 4 4" xfId="10067" xr:uid="{91F906F0-118F-4DA1-B8C2-75671257A75B}"/>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D2F9907A-6400-41E7-AFDE-9711CF906E4E}"/>
    <cellStyle name="40% - Accent6 2 2 2 5 2 3" xfId="12625" xr:uid="{C82BC6CE-8249-4A3C-9C0F-59CEE9D78523}"/>
    <cellStyle name="40% - Accent6 2 2 2 5 3" xfId="6248" xr:uid="{00000000-0005-0000-0000-0000F4060000}"/>
    <cellStyle name="40% - Accent6 2 2 2 5 3 2" xfId="14698" xr:uid="{02DC475F-C074-4288-8C76-5ABEE70B2AFF}"/>
    <cellStyle name="40% - Accent6 2 2 2 5 4" xfId="10480" xr:uid="{6322A5C7-7D06-4FA6-8588-D657965E59A1}"/>
    <cellStyle name="40% - Accent6 2 2 2 6" xfId="2355" xr:uid="{00000000-0005-0000-0000-0000F5060000}"/>
    <cellStyle name="40% - Accent6 2 2 2 6 2" xfId="6661" xr:uid="{00000000-0005-0000-0000-0000F6060000}"/>
    <cellStyle name="40% - Accent6 2 2 2 6 2 2" xfId="15111" xr:uid="{C77F7F7D-6385-4BFF-B0D3-10B40D870456}"/>
    <cellStyle name="40% - Accent6 2 2 2 6 3" xfId="10893" xr:uid="{03D64BBB-3D8A-4BBD-B02F-969DD3C2531C}"/>
    <cellStyle name="40% - Accent6 2 2 2 7" xfId="4595" xr:uid="{00000000-0005-0000-0000-0000F7060000}"/>
    <cellStyle name="40% - Accent6 2 2 2 7 2" xfId="13045" xr:uid="{46E71E06-6063-402A-B947-E1B2DBE6ADAF}"/>
    <cellStyle name="40% - Accent6 2 2 2 8" xfId="8827" xr:uid="{BFFDD88C-DB07-499B-BB17-83D5648B95FF}"/>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4C87238E-04BD-483C-BB1F-9B2304EB311E}"/>
    <cellStyle name="40% - Accent6 2 2 3 2 3" xfId="11385" xr:uid="{B6BA2F63-5B49-48FC-9E01-71F8E3833A76}"/>
    <cellStyle name="40% - Accent6 2 2 3 3" xfId="5008" xr:uid="{00000000-0005-0000-0000-0000FB060000}"/>
    <cellStyle name="40% - Accent6 2 2 3 3 2" xfId="13458" xr:uid="{8C8C5E35-3011-4B15-9E39-6F929307ADE3}"/>
    <cellStyle name="40% - Accent6 2 2 3 4" xfId="9240" xr:uid="{17B891BF-F3ED-4D31-B2B6-22AF19987161}"/>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0AC05A8C-B58A-495C-A37E-FCF1127CBE41}"/>
    <cellStyle name="40% - Accent6 2 2 4 2 3" xfId="11798" xr:uid="{C3BE3D60-8E44-4A3D-BC37-AE6EE19FF750}"/>
    <cellStyle name="40% - Accent6 2 2 4 3" xfId="5421" xr:uid="{00000000-0005-0000-0000-0000FF060000}"/>
    <cellStyle name="40% - Accent6 2 2 4 3 2" xfId="13871" xr:uid="{64412BE9-92FE-4F54-A184-9BD03EA0A2A7}"/>
    <cellStyle name="40% - Accent6 2 2 4 4" xfId="9653" xr:uid="{E8233F1E-12A5-4B8D-83F9-6F086D5B4A30}"/>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2490246F-25D0-46D8-BE4F-C00787DE7B95}"/>
    <cellStyle name="40% - Accent6 2 2 5 2 3" xfId="12211" xr:uid="{4AE3CA9B-00EB-400C-8869-80D49A06E0D5}"/>
    <cellStyle name="40% - Accent6 2 2 5 3" xfId="5834" xr:uid="{00000000-0005-0000-0000-000003070000}"/>
    <cellStyle name="40% - Accent6 2 2 5 3 2" xfId="14284" xr:uid="{12A733FE-6D59-4863-9C9F-061A56EC8F7F}"/>
    <cellStyle name="40% - Accent6 2 2 5 4" xfId="10066" xr:uid="{D29FEEE0-6F46-4C5D-B958-867F31DFB1C7}"/>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99A21439-93E4-4EB5-9F87-6C5E79B14F89}"/>
    <cellStyle name="40% - Accent6 2 2 6 2 3" xfId="12624" xr:uid="{FDF8309B-1A36-4B40-9145-6AE5E7136B40}"/>
    <cellStyle name="40% - Accent6 2 2 6 3" xfId="6247" xr:uid="{00000000-0005-0000-0000-000007070000}"/>
    <cellStyle name="40% - Accent6 2 2 6 3 2" xfId="14697" xr:uid="{94E4D350-3BEA-47F5-8E83-5370D9E1EC27}"/>
    <cellStyle name="40% - Accent6 2 2 6 4" xfId="10479" xr:uid="{DB473011-DB83-441F-88F1-9E18B787F9E4}"/>
    <cellStyle name="40% - Accent6 2 2 7" xfId="2354" xr:uid="{00000000-0005-0000-0000-000008070000}"/>
    <cellStyle name="40% - Accent6 2 2 7 2" xfId="6660" xr:uid="{00000000-0005-0000-0000-000009070000}"/>
    <cellStyle name="40% - Accent6 2 2 7 2 2" xfId="15110" xr:uid="{3C7CB8D9-ACDD-4B48-AB9B-A589E47C1B2B}"/>
    <cellStyle name="40% - Accent6 2 2 7 3" xfId="10892" xr:uid="{1F75345B-E69B-477A-B4B6-919068F9BCE8}"/>
    <cellStyle name="40% - Accent6 2 2 8" xfId="4594" xr:uid="{00000000-0005-0000-0000-00000A070000}"/>
    <cellStyle name="40% - Accent6 2 2 8 2" xfId="13044" xr:uid="{9F11FEDF-74A7-4D12-B103-E150A397B2AB}"/>
    <cellStyle name="40% - Accent6 2 2 9" xfId="8826" xr:uid="{293D9D43-4AE5-4765-B94D-6750E573B4FF}"/>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349ADDE2-BBBD-47D6-8730-443659CF67D7}"/>
    <cellStyle name="40% - Accent6 2 3 2 2 3" xfId="11387" xr:uid="{810B41D9-FEDB-4A6D-906C-BD300E28188C}"/>
    <cellStyle name="40% - Accent6 2 3 2 3" xfId="5010" xr:uid="{00000000-0005-0000-0000-00000F070000}"/>
    <cellStyle name="40% - Accent6 2 3 2 3 2" xfId="13460" xr:uid="{6281C688-C17D-4960-B5A8-5B4F2040CF08}"/>
    <cellStyle name="40% - Accent6 2 3 2 4" xfId="9242" xr:uid="{7E8A2646-3ECA-4D7E-91F6-4006DF9924AF}"/>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A9B982EC-E7B3-4CCE-A5F1-90D021B6B49A}"/>
    <cellStyle name="40% - Accent6 2 3 3 2 3" xfId="11800" xr:uid="{4C2FAF75-3D3F-4EC8-A735-19D280DD321A}"/>
    <cellStyle name="40% - Accent6 2 3 3 3" xfId="5423" xr:uid="{00000000-0005-0000-0000-000013070000}"/>
    <cellStyle name="40% - Accent6 2 3 3 3 2" xfId="13873" xr:uid="{EC33A7FA-D630-4346-B2DC-B0F18A44E13C}"/>
    <cellStyle name="40% - Accent6 2 3 3 4" xfId="9655" xr:uid="{0055B3B7-5603-4F42-931A-81EF3EF3BEEB}"/>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F47FF7B9-2F74-44A7-B11A-35F411243D96}"/>
    <cellStyle name="40% - Accent6 2 3 4 2 3" xfId="12213" xr:uid="{AA1A93B3-DCCD-4D10-A947-B9BE38AB5A0E}"/>
    <cellStyle name="40% - Accent6 2 3 4 3" xfId="5836" xr:uid="{00000000-0005-0000-0000-000017070000}"/>
    <cellStyle name="40% - Accent6 2 3 4 3 2" xfId="14286" xr:uid="{8BEA78C4-A5AA-4EED-9AEF-FC1658C2B511}"/>
    <cellStyle name="40% - Accent6 2 3 4 4" xfId="10068" xr:uid="{BF524B7E-5B17-4DEC-91B1-E6C7E0D857DB}"/>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FD345C84-D542-457D-8EC2-67AD8ECB2D5B}"/>
    <cellStyle name="40% - Accent6 2 3 5 2 3" xfId="12626" xr:uid="{9C5BF662-2E2B-400E-81FB-7C0B495D7580}"/>
    <cellStyle name="40% - Accent6 2 3 5 3" xfId="6249" xr:uid="{00000000-0005-0000-0000-00001B070000}"/>
    <cellStyle name="40% - Accent6 2 3 5 3 2" xfId="14699" xr:uid="{9DB5097E-5EC3-4637-8E1F-4CF43F7FA590}"/>
    <cellStyle name="40% - Accent6 2 3 5 4" xfId="10481" xr:uid="{2BDD93D7-A039-4179-81CC-83E8604D9F9E}"/>
    <cellStyle name="40% - Accent6 2 3 6" xfId="2356" xr:uid="{00000000-0005-0000-0000-00001C070000}"/>
    <cellStyle name="40% - Accent6 2 3 6 2" xfId="6662" xr:uid="{00000000-0005-0000-0000-00001D070000}"/>
    <cellStyle name="40% - Accent6 2 3 6 2 2" xfId="15112" xr:uid="{ACB93A1D-139D-4AAE-B1F4-13F4E34FA710}"/>
    <cellStyle name="40% - Accent6 2 3 6 3" xfId="10894" xr:uid="{F54E58F4-B370-43CB-A6FE-1C606EE78A75}"/>
    <cellStyle name="40% - Accent6 2 3 7" xfId="4596" xr:uid="{00000000-0005-0000-0000-00001E070000}"/>
    <cellStyle name="40% - Accent6 2 3 7 2" xfId="13046" xr:uid="{9A6B8C0E-FD9E-4053-B3AA-03C11F89016E}"/>
    <cellStyle name="40% - Accent6 2 3 8" xfId="8828" xr:uid="{D33EA4B3-CD6E-4F02-B55D-6BB4CE8ED38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45CF538A-2136-4924-A7AB-52CD9DE90DF9}"/>
    <cellStyle name="40% - Accent6 2 4 2 3" xfId="11384" xr:uid="{7F50A974-62D4-41AA-8702-C6671F881DA6}"/>
    <cellStyle name="40% - Accent6 2 4 3" xfId="5007" xr:uid="{00000000-0005-0000-0000-000022070000}"/>
    <cellStyle name="40% - Accent6 2 4 3 2" xfId="13457" xr:uid="{10C9DADB-B4F6-49B6-AB1B-B8B3354874EA}"/>
    <cellStyle name="40% - Accent6 2 4 4" xfId="9239" xr:uid="{9394FC88-3EFF-4468-9480-CDD29717A3B4}"/>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13B6793-9AEE-4125-80A4-F23429E27B04}"/>
    <cellStyle name="40% - Accent6 2 5 2 3" xfId="11797" xr:uid="{8BC97E00-4D65-46DB-BBB9-BFCAFEDA615B}"/>
    <cellStyle name="40% - Accent6 2 5 3" xfId="5420" xr:uid="{00000000-0005-0000-0000-000026070000}"/>
    <cellStyle name="40% - Accent6 2 5 3 2" xfId="13870" xr:uid="{88F893D2-820D-4891-928D-D3F9B5690C98}"/>
    <cellStyle name="40% - Accent6 2 5 4" xfId="9652" xr:uid="{EEFB3380-2C19-49A0-8373-4F08EA08D3A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183F454D-723B-43D9-A1DB-9D8F26581265}"/>
    <cellStyle name="40% - Accent6 2 6 2 3" xfId="12210" xr:uid="{BEBCF920-E67C-48BC-B095-F0073CD810E6}"/>
    <cellStyle name="40% - Accent6 2 6 3" xfId="5833" xr:uid="{00000000-0005-0000-0000-00002A070000}"/>
    <cellStyle name="40% - Accent6 2 6 3 2" xfId="14283" xr:uid="{D6320157-A68F-4B26-998F-0DA9D9403D38}"/>
    <cellStyle name="40% - Accent6 2 6 4" xfId="10065" xr:uid="{E63490D0-1090-4457-8D59-917E7B3B53CB}"/>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E79A12F4-77B7-437A-9D34-343CCF2A0AED}"/>
    <cellStyle name="40% - Accent6 2 7 2 3" xfId="12623" xr:uid="{E1EB1A76-1B75-426C-BBE4-704B674373ED}"/>
    <cellStyle name="40% - Accent6 2 7 3" xfId="6246" xr:uid="{00000000-0005-0000-0000-00002E070000}"/>
    <cellStyle name="40% - Accent6 2 7 3 2" xfId="14696" xr:uid="{3F9FCE64-F516-4C7C-A390-17BE44EBFCBA}"/>
    <cellStyle name="40% - Accent6 2 7 4" xfId="10478" xr:uid="{0E002575-21F2-4C62-ACF0-BA76A0C7D100}"/>
    <cellStyle name="40% - Accent6 2 8" xfId="2353" xr:uid="{00000000-0005-0000-0000-00002F070000}"/>
    <cellStyle name="40% - Accent6 2 8 2" xfId="6659" xr:uid="{00000000-0005-0000-0000-000030070000}"/>
    <cellStyle name="40% - Accent6 2 8 2 2" xfId="15109" xr:uid="{6C392583-108B-49B9-9CC3-0ED8031E2626}"/>
    <cellStyle name="40% - Accent6 2 8 3" xfId="10891" xr:uid="{DD8442EC-F069-4A80-A7D2-8494E1517E8E}"/>
    <cellStyle name="40% - Accent6 2 9" xfId="4593" xr:uid="{00000000-0005-0000-0000-000031070000}"/>
    <cellStyle name="40% - Accent6 2 9 2" xfId="13043" xr:uid="{7AAFB982-5E8D-420F-84C0-B7FDBDD1086E}"/>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ABB3EDF8-CBE2-47AD-B865-48A0B3E305A1}"/>
    <cellStyle name="40% - Accent6 3 2 2 2 3" xfId="11389" xr:uid="{D1C43C5A-8713-4259-BE6C-9384E6A44552}"/>
    <cellStyle name="40% - Accent6 3 2 2 3" xfId="5012" xr:uid="{00000000-0005-0000-0000-000037070000}"/>
    <cellStyle name="40% - Accent6 3 2 2 3 2" xfId="13462" xr:uid="{18F8AF66-6D0C-4094-91BD-9B30A24C1F90}"/>
    <cellStyle name="40% - Accent6 3 2 2 4" xfId="9244" xr:uid="{1324299F-F022-468B-901F-26425FD1E381}"/>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80ACDE76-9BD5-430C-B203-253B3DB6D3BA}"/>
    <cellStyle name="40% - Accent6 3 2 3 2 3" xfId="11802" xr:uid="{A6C7CBFA-4DD5-4440-8715-F5A153C9EFB4}"/>
    <cellStyle name="40% - Accent6 3 2 3 3" xfId="5425" xr:uid="{00000000-0005-0000-0000-00003B070000}"/>
    <cellStyle name="40% - Accent6 3 2 3 3 2" xfId="13875" xr:uid="{9D15FBC1-DA0B-4C88-AEBC-EF3EBC211A50}"/>
    <cellStyle name="40% - Accent6 3 2 3 4" xfId="9657" xr:uid="{2FCD8E5E-D543-4695-A7AF-02380EE6D806}"/>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2DBCE537-0B31-418B-A882-603EAE67992D}"/>
    <cellStyle name="40% - Accent6 3 2 4 2 3" xfId="12215" xr:uid="{C27D2197-A86B-4ECE-B4D7-6432E774B83C}"/>
    <cellStyle name="40% - Accent6 3 2 4 3" xfId="5838" xr:uid="{00000000-0005-0000-0000-00003F070000}"/>
    <cellStyle name="40% - Accent6 3 2 4 3 2" xfId="14288" xr:uid="{173AD5B5-3E9B-45E2-AEE3-5A54D34B359B}"/>
    <cellStyle name="40% - Accent6 3 2 4 4" xfId="10070" xr:uid="{5E026140-3790-4548-A637-1773923D92FF}"/>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42820135-254A-4369-BEB8-21A22806BD03}"/>
    <cellStyle name="40% - Accent6 3 2 5 2 3" xfId="12628" xr:uid="{7EB8B1BE-AC04-4C19-9BEA-F2A9BEC25553}"/>
    <cellStyle name="40% - Accent6 3 2 5 3" xfId="6251" xr:uid="{00000000-0005-0000-0000-000043070000}"/>
    <cellStyle name="40% - Accent6 3 2 5 3 2" xfId="14701" xr:uid="{F12EF3B0-7E56-4B31-9031-D65A5B558657}"/>
    <cellStyle name="40% - Accent6 3 2 5 4" xfId="10483" xr:uid="{A384AF40-DD0A-4DF9-9F1E-DBF56B4F1685}"/>
    <cellStyle name="40% - Accent6 3 2 6" xfId="2358" xr:uid="{00000000-0005-0000-0000-000044070000}"/>
    <cellStyle name="40% - Accent6 3 2 6 2" xfId="6664" xr:uid="{00000000-0005-0000-0000-000045070000}"/>
    <cellStyle name="40% - Accent6 3 2 6 2 2" xfId="15114" xr:uid="{134C5BF0-8339-4FAC-BEA4-A90B566E54F7}"/>
    <cellStyle name="40% - Accent6 3 2 6 3" xfId="10896" xr:uid="{EE9A18ED-850E-493F-91DC-19A73757C1BE}"/>
    <cellStyle name="40% - Accent6 3 2 7" xfId="4598" xr:uid="{00000000-0005-0000-0000-000046070000}"/>
    <cellStyle name="40% - Accent6 3 2 7 2" xfId="13048" xr:uid="{6384F5EC-A4A3-46E8-987F-1D2409132126}"/>
    <cellStyle name="40% - Accent6 3 2 8" xfId="8830" xr:uid="{57FBA727-B4F4-436A-9F55-869AEDB6C7EC}"/>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30DB7011-0E88-432E-B822-9B787FD95929}"/>
    <cellStyle name="40% - Accent6 3 3 2 3" xfId="11388" xr:uid="{60E9E932-21AE-47E5-B104-8291A46BDB0E}"/>
    <cellStyle name="40% - Accent6 3 3 3" xfId="5011" xr:uid="{00000000-0005-0000-0000-00004A070000}"/>
    <cellStyle name="40% - Accent6 3 3 3 2" xfId="13461" xr:uid="{01293453-A9F1-406B-94C1-8B942493CFCF}"/>
    <cellStyle name="40% - Accent6 3 3 4" xfId="9243" xr:uid="{9BE99912-6993-4EDB-AA5D-ED9E3B7D472E}"/>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BC1862AC-D589-47BC-940D-158B6344E917}"/>
    <cellStyle name="40% - Accent6 3 4 2 3" xfId="11801" xr:uid="{FD960B97-F8E3-4412-907F-A13855D8330C}"/>
    <cellStyle name="40% - Accent6 3 4 3" xfId="5424" xr:uid="{00000000-0005-0000-0000-00004E070000}"/>
    <cellStyle name="40% - Accent6 3 4 3 2" xfId="13874" xr:uid="{8B861EAE-9646-4A24-8E90-CCFBC7B8F099}"/>
    <cellStyle name="40% - Accent6 3 4 4" xfId="9656" xr:uid="{D4878C32-6C56-43CF-B8C0-652A49671F91}"/>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C2214238-3FB6-4E69-9EA6-0911FCA30668}"/>
    <cellStyle name="40% - Accent6 3 5 2 3" xfId="12214" xr:uid="{F0D42253-11BE-4A2C-B431-B9C8B0553D35}"/>
    <cellStyle name="40% - Accent6 3 5 3" xfId="5837" xr:uid="{00000000-0005-0000-0000-000052070000}"/>
    <cellStyle name="40% - Accent6 3 5 3 2" xfId="14287" xr:uid="{06668BE9-4353-4162-9C7D-1C9C5C72BBE5}"/>
    <cellStyle name="40% - Accent6 3 5 4" xfId="10069" xr:uid="{BC136B1D-BF7A-4419-A66C-B3BD4D555BFB}"/>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C75F8FCC-106C-40F7-95DB-5388CFD0F377}"/>
    <cellStyle name="40% - Accent6 3 6 2 3" xfId="12627" xr:uid="{76E87DC7-3FC2-4E98-A2F0-1881A4E1DE13}"/>
    <cellStyle name="40% - Accent6 3 6 3" xfId="6250" xr:uid="{00000000-0005-0000-0000-000056070000}"/>
    <cellStyle name="40% - Accent6 3 6 3 2" xfId="14700" xr:uid="{BDB6862E-409E-4B96-8B7F-E56B65952B1A}"/>
    <cellStyle name="40% - Accent6 3 6 4" xfId="10482" xr:uid="{D9C7A407-8B1C-4131-B802-6547C241EBD6}"/>
    <cellStyle name="40% - Accent6 3 7" xfId="2357" xr:uid="{00000000-0005-0000-0000-000057070000}"/>
    <cellStyle name="40% - Accent6 3 7 2" xfId="6663" xr:uid="{00000000-0005-0000-0000-000058070000}"/>
    <cellStyle name="40% - Accent6 3 7 2 2" xfId="15113" xr:uid="{0BD72894-FC13-4327-BC52-07F71758944C}"/>
    <cellStyle name="40% - Accent6 3 7 3" xfId="10895" xr:uid="{8EF66832-0588-4975-BE2A-7A34EB9EA6CD}"/>
    <cellStyle name="40% - Accent6 3 8" xfId="4597" xr:uid="{00000000-0005-0000-0000-000059070000}"/>
    <cellStyle name="40% - Accent6 3 8 2" xfId="13047" xr:uid="{C976C778-ADB9-4E6C-80F1-7805B2469321}"/>
    <cellStyle name="40% - Accent6 3 9" xfId="8829" xr:uid="{5B2D79F3-C6BA-4550-89BA-D86D98FA6E6F}"/>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88C34D25-5F7B-41A4-B4BB-9B6F63D0ACF3}"/>
    <cellStyle name="40% - Accent6 4 2 2 3" xfId="11390" xr:uid="{20AC9CE1-45A2-4D7F-8667-DEB055AE6E53}"/>
    <cellStyle name="40% - Accent6 4 2 3" xfId="5013" xr:uid="{00000000-0005-0000-0000-00005E070000}"/>
    <cellStyle name="40% - Accent6 4 2 3 2" xfId="13463" xr:uid="{D63AFF31-E938-48B4-9F7B-795849AFB4C3}"/>
    <cellStyle name="40% - Accent6 4 2 4" xfId="9245" xr:uid="{892E5CC7-DCE8-4E67-A441-68C4BA33111A}"/>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40EF0C4C-5BD3-459E-AC09-5DC6410582F8}"/>
    <cellStyle name="40% - Accent6 4 3 2 3" xfId="11803" xr:uid="{49DA2CC5-300E-4FBF-A759-AEFA0F16F7A9}"/>
    <cellStyle name="40% - Accent6 4 3 3" xfId="5426" xr:uid="{00000000-0005-0000-0000-000062070000}"/>
    <cellStyle name="40% - Accent6 4 3 3 2" xfId="13876" xr:uid="{A7E0B48B-6ADA-4932-B621-7E605093AD6F}"/>
    <cellStyle name="40% - Accent6 4 3 4" xfId="9658" xr:uid="{B5A4A0FA-5469-4C43-A13F-76AE86824CC4}"/>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87F09C97-F98D-4994-8DD3-6CAAB7B5C3C4}"/>
    <cellStyle name="40% - Accent6 4 4 2 3" xfId="12216" xr:uid="{305CD507-CF22-4DF4-A877-C6CBD812123E}"/>
    <cellStyle name="40% - Accent6 4 4 3" xfId="5839" xr:uid="{00000000-0005-0000-0000-000066070000}"/>
    <cellStyle name="40% - Accent6 4 4 3 2" xfId="14289" xr:uid="{E5CD4A80-1230-43FB-B2FE-693D10256BC0}"/>
    <cellStyle name="40% - Accent6 4 4 4" xfId="10071" xr:uid="{4AB279A8-7490-4DBF-81F0-D39A7D76C3A1}"/>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2965AA8B-1BC7-42EF-9EA6-C02CA62A1120}"/>
    <cellStyle name="40% - Accent6 4 5 2 3" xfId="12629" xr:uid="{27D78A8C-717B-49FB-BFA5-BEBC415BDA36}"/>
    <cellStyle name="40% - Accent6 4 5 3" xfId="6252" xr:uid="{00000000-0005-0000-0000-00006A070000}"/>
    <cellStyle name="40% - Accent6 4 5 3 2" xfId="14702" xr:uid="{0BAB0C8B-D23E-4325-BD89-5787DB7B7F02}"/>
    <cellStyle name="40% - Accent6 4 5 4" xfId="10484" xr:uid="{EC01D102-E48E-42DB-A275-C30FB4D21B87}"/>
    <cellStyle name="40% - Accent6 4 6" xfId="2359" xr:uid="{00000000-0005-0000-0000-00006B070000}"/>
    <cellStyle name="40% - Accent6 4 6 2" xfId="6665" xr:uid="{00000000-0005-0000-0000-00006C070000}"/>
    <cellStyle name="40% - Accent6 4 6 2 2" xfId="15115" xr:uid="{FF0E0A17-83DF-442D-9957-8404AFDE76EF}"/>
    <cellStyle name="40% - Accent6 4 6 3" xfId="10897" xr:uid="{D84CBFBF-1119-4A6A-B7F6-74F8C68C4F56}"/>
    <cellStyle name="40% - Accent6 4 7" xfId="4599" xr:uid="{00000000-0005-0000-0000-00006D070000}"/>
    <cellStyle name="40% - Accent6 4 7 2" xfId="13049" xr:uid="{0316E48D-D37D-4817-AC70-A85514F669CD}"/>
    <cellStyle name="40% - Accent6 4 8" xfId="8831" xr:uid="{19B8B586-2E95-4523-A88C-EFB6CBA7FD8B}"/>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920746BA-02A5-4729-8C1B-19B65184C13B}"/>
    <cellStyle name="40% - Accent6 5 2 3" xfId="11383" xr:uid="{D883B102-0854-48F1-B000-E059422E43F6}"/>
    <cellStyle name="40% - Accent6 5 3" xfId="5006" xr:uid="{00000000-0005-0000-0000-000071070000}"/>
    <cellStyle name="40% - Accent6 5 3 2" xfId="13456" xr:uid="{D3A999C1-CD6C-4931-8ED1-7793036793F7}"/>
    <cellStyle name="40% - Accent6 5 4" xfId="9238" xr:uid="{760AEB24-06F5-448D-A028-D96ECBDF95F2}"/>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273B423A-0739-45FF-9AB5-B5F6B6AA8298}"/>
    <cellStyle name="40% - Accent6 6 2 3" xfId="11796" xr:uid="{AAE18AED-178D-4EC6-870D-207AE60DDEE5}"/>
    <cellStyle name="40% - Accent6 6 3" xfId="5419" xr:uid="{00000000-0005-0000-0000-000075070000}"/>
    <cellStyle name="40% - Accent6 6 3 2" xfId="13869" xr:uid="{8117C0C4-B9A6-4D63-A53C-0F8BB1AAAB3F}"/>
    <cellStyle name="40% - Accent6 6 4" xfId="9651" xr:uid="{E006C20F-36BF-4782-A030-51A564DC519F}"/>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18D53024-0A30-46EB-9C89-6619C059395D}"/>
    <cellStyle name="40% - Accent6 7 2 3" xfId="12209" xr:uid="{5BC6A4AD-1CA6-432F-8764-8B05D29B4482}"/>
    <cellStyle name="40% - Accent6 7 3" xfId="5832" xr:uid="{00000000-0005-0000-0000-000079070000}"/>
    <cellStyle name="40% - Accent6 7 3 2" xfId="14282" xr:uid="{6B1B8629-777B-4FDD-8D8C-0B2C0E4AF3BA}"/>
    <cellStyle name="40% - Accent6 7 4" xfId="10064" xr:uid="{88113DD3-1BBC-4186-B72B-C6058E51BE44}"/>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6B3903FA-EFEA-47A1-8461-6D081525F289}"/>
    <cellStyle name="40% - Accent6 8 2 3" xfId="12622" xr:uid="{E0C5616B-0B7D-4028-A89D-32F4C6DF98E5}"/>
    <cellStyle name="40% - Accent6 8 3" xfId="6245" xr:uid="{00000000-0005-0000-0000-00007D070000}"/>
    <cellStyle name="40% - Accent6 8 3 2" xfId="14695" xr:uid="{A1E7D679-C060-400A-A9AD-CFE05B30E4F3}"/>
    <cellStyle name="40% - Accent6 8 4" xfId="10477" xr:uid="{518E2A00-9D3D-422E-9C65-971A3727585B}"/>
    <cellStyle name="40% - Accent6 9" xfId="2352" xr:uid="{00000000-0005-0000-0000-00007E070000}"/>
    <cellStyle name="40% - Accent6 9 2" xfId="6658" xr:uid="{00000000-0005-0000-0000-00007F070000}"/>
    <cellStyle name="40% - Accent6 9 2 2" xfId="15108" xr:uid="{CBA84A54-3C30-471A-8B11-7339E5BA0156}"/>
    <cellStyle name="40% - Accent6 9 3" xfId="10890" xr:uid="{79E70D45-02D6-4F32-8668-A7CE49F992E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C640A2AF-09FB-404F-A93A-7F436ED16FEB}"/>
    <cellStyle name="Comma 4 2 2 2 10 3" xfId="11215" xr:uid="{12742311-7439-4184-93A0-AAB190FB2E8E}"/>
    <cellStyle name="Comma 4 2 2 2 11" xfId="4600" xr:uid="{00000000-0005-0000-0000-0000A3070000}"/>
    <cellStyle name="Comma 4 2 2 2 11 2" xfId="13050" xr:uid="{39C652AF-CCBC-42B1-8D29-1772C90F995C}"/>
    <cellStyle name="Comma 4 2 2 2 12" xfId="8832" xr:uid="{847C689F-DFF4-46E2-B764-C0A7F14E5699}"/>
    <cellStyle name="Comma 4 2 2 2 2" xfId="129" xr:uid="{00000000-0005-0000-0000-0000A4070000}"/>
    <cellStyle name="Comma 4 2 2 2 2 10" xfId="4601" xr:uid="{00000000-0005-0000-0000-0000A5070000}"/>
    <cellStyle name="Comma 4 2 2 2 2 10 2" xfId="13051" xr:uid="{027F5A2C-207B-4A80-A9CF-BE389D8F4459}"/>
    <cellStyle name="Comma 4 2 2 2 2 11" xfId="8833" xr:uid="{72F5A626-AC6B-4EE6-B2FD-A6A1E78A3639}"/>
    <cellStyle name="Comma 4 2 2 2 2 2" xfId="130" xr:uid="{00000000-0005-0000-0000-0000A6070000}"/>
    <cellStyle name="Comma 4 2 2 2 2 2 10" xfId="8834" xr:uid="{CFD01F9D-2D9C-4567-AA95-698123F4EC25}"/>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225D7282-3FD8-45D1-8257-72C91EF5851A}"/>
    <cellStyle name="Comma 4 2 2 2 2 2 2 2 3" xfId="11393" xr:uid="{5AAE915F-E887-4C3B-B27B-6C956EBD7C6E}"/>
    <cellStyle name="Comma 4 2 2 2 2 2 2 3" xfId="5016" xr:uid="{00000000-0005-0000-0000-0000AA070000}"/>
    <cellStyle name="Comma 4 2 2 2 2 2 2 3 2" xfId="13466" xr:uid="{220A2298-41BD-4981-BB0B-55EB0EF33B6D}"/>
    <cellStyle name="Comma 4 2 2 2 2 2 2 4" xfId="9248" xr:uid="{BDE26CA0-C6A6-49E2-871C-819A2DBD6963}"/>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CA9D3293-5AA4-4781-BC27-CA2B9CB2D775}"/>
    <cellStyle name="Comma 4 2 2 2 2 2 3 2 3" xfId="11806" xr:uid="{F167BE0A-9638-4BEC-9C74-A0A01702E8F7}"/>
    <cellStyle name="Comma 4 2 2 2 2 2 3 3" xfId="5429" xr:uid="{00000000-0005-0000-0000-0000AE070000}"/>
    <cellStyle name="Comma 4 2 2 2 2 2 3 3 2" xfId="13879" xr:uid="{3FBCF5CC-C342-4326-A63E-29DD9A3F8417}"/>
    <cellStyle name="Comma 4 2 2 2 2 2 3 4" xfId="9661" xr:uid="{299FDBB5-D7AC-4AD2-A03A-1C1A3916CBF2}"/>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25CB2DE4-3969-456D-A649-53E6135596D0}"/>
    <cellStyle name="Comma 4 2 2 2 2 2 4 2 3" xfId="12219" xr:uid="{BA479B40-5BC3-4771-A397-A626FCDA2018}"/>
    <cellStyle name="Comma 4 2 2 2 2 2 4 3" xfId="5842" xr:uid="{00000000-0005-0000-0000-0000B2070000}"/>
    <cellStyle name="Comma 4 2 2 2 2 2 4 3 2" xfId="14292" xr:uid="{CFF497BE-4E9C-493A-9941-ADCCCBC50790}"/>
    <cellStyle name="Comma 4 2 2 2 2 2 4 4" xfId="10074" xr:uid="{C6AC8573-2C65-4B99-A750-A213487DD458}"/>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3DB17CEE-3D61-4CD3-BAA1-586AA019E938}"/>
    <cellStyle name="Comma 4 2 2 2 2 2 5 2 3" xfId="12632" xr:uid="{98FFB570-D827-4E48-BD28-95E3D16382C6}"/>
    <cellStyle name="Comma 4 2 2 2 2 2 5 3" xfId="6255" xr:uid="{00000000-0005-0000-0000-0000B6070000}"/>
    <cellStyle name="Comma 4 2 2 2 2 2 5 3 2" xfId="14705" xr:uid="{CEAB032D-BC66-47D8-903A-38CE8DB43441}"/>
    <cellStyle name="Comma 4 2 2 2 2 2 5 4" xfId="10487" xr:uid="{FD7A608E-CDD8-4EB6-B6D5-C5856CB7B6C6}"/>
    <cellStyle name="Comma 4 2 2 2 2 2 6" xfId="2384" xr:uid="{00000000-0005-0000-0000-0000B7070000}"/>
    <cellStyle name="Comma 4 2 2 2 2 2 6 2" xfId="6668" xr:uid="{00000000-0005-0000-0000-0000B8070000}"/>
    <cellStyle name="Comma 4 2 2 2 2 2 6 2 2" xfId="15118" xr:uid="{E725AE5D-E8E9-440D-B222-5585D06C1A70}"/>
    <cellStyle name="Comma 4 2 2 2 2 2 6 3" xfId="10900" xr:uid="{43BA4A86-2E6C-486E-9D8F-6AB1B2715B04}"/>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8975C124-27CF-4133-828C-BB8760D762A8}"/>
    <cellStyle name="Comma 4 2 2 2 2 2 8 3" xfId="11217" xr:uid="{9E2B1912-172F-49FF-97D3-B21BDBD6B04A}"/>
    <cellStyle name="Comma 4 2 2 2 2 2 9" xfId="4602" xr:uid="{00000000-0005-0000-0000-0000BC070000}"/>
    <cellStyle name="Comma 4 2 2 2 2 2 9 2" xfId="13052" xr:uid="{B93FDE78-B4AC-456F-B094-8DE187D8DB1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133396B4-262B-4851-BAF4-ED7C67E0509B}"/>
    <cellStyle name="Comma 4 2 2 2 2 3 2 3" xfId="11392" xr:uid="{F04B7797-F363-4C3B-95E5-EFA3CB5CD842}"/>
    <cellStyle name="Comma 4 2 2 2 2 3 3" xfId="5015" xr:uid="{00000000-0005-0000-0000-0000C0070000}"/>
    <cellStyle name="Comma 4 2 2 2 2 3 3 2" xfId="13465" xr:uid="{D643F063-81F8-4E84-8E97-39469BC3C462}"/>
    <cellStyle name="Comma 4 2 2 2 2 3 4" xfId="9247" xr:uid="{69170283-4396-4154-9855-8C9A4B4FA806}"/>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A8983D07-4A57-4E06-991E-070DE54D778E}"/>
    <cellStyle name="Comma 4 2 2 2 2 4 2 3" xfId="11805" xr:uid="{D5E2408E-D05E-4195-B174-2A09B2BBE6B6}"/>
    <cellStyle name="Comma 4 2 2 2 2 4 3" xfId="5428" xr:uid="{00000000-0005-0000-0000-0000C4070000}"/>
    <cellStyle name="Comma 4 2 2 2 2 4 3 2" xfId="13878" xr:uid="{2F3C3E36-C0B7-435F-8068-E300AA3B3497}"/>
    <cellStyle name="Comma 4 2 2 2 2 4 4" xfId="9660" xr:uid="{B8024E68-B3BD-43B6-9808-A52D67C69774}"/>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D139ADA9-4A2C-4958-9AFE-C822BA5D8C10}"/>
    <cellStyle name="Comma 4 2 2 2 2 5 2 3" xfId="12218" xr:uid="{94CEA040-87B8-43C5-A2A9-AF17F5CA6FE6}"/>
    <cellStyle name="Comma 4 2 2 2 2 5 3" xfId="5841" xr:uid="{00000000-0005-0000-0000-0000C8070000}"/>
    <cellStyle name="Comma 4 2 2 2 2 5 3 2" xfId="14291" xr:uid="{B9798A8D-0CEB-4D05-BEC2-D6CF191E5C89}"/>
    <cellStyle name="Comma 4 2 2 2 2 5 4" xfId="10073" xr:uid="{8C678D24-6FBA-4DF4-9E33-291F3FC71FA2}"/>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A60386E1-92EE-4CB2-95CB-08C71BA059C2}"/>
    <cellStyle name="Comma 4 2 2 2 2 6 2 3" xfId="12631" xr:uid="{DF154784-BA9D-40D8-815D-E51D0BF287DB}"/>
    <cellStyle name="Comma 4 2 2 2 2 6 3" xfId="6254" xr:uid="{00000000-0005-0000-0000-0000CC070000}"/>
    <cellStyle name="Comma 4 2 2 2 2 6 3 2" xfId="14704" xr:uid="{DF1B077D-DD70-4EEC-9FAB-197209AB9D3B}"/>
    <cellStyle name="Comma 4 2 2 2 2 6 4" xfId="10486" xr:uid="{11F600EE-2A3F-461B-84AB-D575EE5F3732}"/>
    <cellStyle name="Comma 4 2 2 2 2 7" xfId="2383" xr:uid="{00000000-0005-0000-0000-0000CD070000}"/>
    <cellStyle name="Comma 4 2 2 2 2 7 2" xfId="6667" xr:uid="{00000000-0005-0000-0000-0000CE070000}"/>
    <cellStyle name="Comma 4 2 2 2 2 7 2 2" xfId="15117" xr:uid="{E1D4AE08-07C2-44F7-81CE-76CE514A885A}"/>
    <cellStyle name="Comma 4 2 2 2 2 7 3" xfId="10899" xr:uid="{CCAE2B54-140F-40F3-AE80-F6FEDE46E55E}"/>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95502C95-F9E9-4728-B64F-2E5A12DA0709}"/>
    <cellStyle name="Comma 4 2 2 2 2 9 3" xfId="11216" xr:uid="{D9F028C4-721A-4FA5-8380-A0802ED522CA}"/>
    <cellStyle name="Comma 4 2 2 2 3" xfId="131" xr:uid="{00000000-0005-0000-0000-0000D2070000}"/>
    <cellStyle name="Comma 4 2 2 2 3 10" xfId="8835" xr:uid="{8A347EF7-8D50-415F-94BC-50FD67B497C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3FD22E35-D4BA-4182-B790-5E15B8A16AE6}"/>
    <cellStyle name="Comma 4 2 2 2 3 2 2 3" xfId="11394" xr:uid="{78102A53-9BB9-473A-BEE4-47C86273E455}"/>
    <cellStyle name="Comma 4 2 2 2 3 2 3" xfId="5017" xr:uid="{00000000-0005-0000-0000-0000D6070000}"/>
    <cellStyle name="Comma 4 2 2 2 3 2 3 2" xfId="13467" xr:uid="{071C957C-8CAF-4AD0-B84F-951E38A97345}"/>
    <cellStyle name="Comma 4 2 2 2 3 2 4" xfId="9249" xr:uid="{AA276398-E817-473A-9013-52188AA9266E}"/>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F606DA3E-7BD7-4868-BC50-66D21E2EE8DC}"/>
    <cellStyle name="Comma 4 2 2 2 3 3 2 3" xfId="11807" xr:uid="{E452C473-0F14-4378-B55B-4BC9BFE1583B}"/>
    <cellStyle name="Comma 4 2 2 2 3 3 3" xfId="5430" xr:uid="{00000000-0005-0000-0000-0000DA070000}"/>
    <cellStyle name="Comma 4 2 2 2 3 3 3 2" xfId="13880" xr:uid="{CE8486E2-370B-4BE6-85F9-73A89907BBDC}"/>
    <cellStyle name="Comma 4 2 2 2 3 3 4" xfId="9662" xr:uid="{81BCBE14-7DF5-4F16-90EE-BE231700EAB7}"/>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8BEE2C89-F7D7-4064-98FD-24BFF482ADBD}"/>
    <cellStyle name="Comma 4 2 2 2 3 4 2 3" xfId="12220" xr:uid="{2BA31211-C579-468C-AE4B-3C0FAE95C169}"/>
    <cellStyle name="Comma 4 2 2 2 3 4 3" xfId="5843" xr:uid="{00000000-0005-0000-0000-0000DE070000}"/>
    <cellStyle name="Comma 4 2 2 2 3 4 3 2" xfId="14293" xr:uid="{50A3A1CB-CC18-4794-9241-81E55D6572BE}"/>
    <cellStyle name="Comma 4 2 2 2 3 4 4" xfId="10075" xr:uid="{84BC7805-B9A4-44E9-89CD-54D17222E3AF}"/>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99CF0F67-250D-40A3-9784-7A1F61CE5597}"/>
    <cellStyle name="Comma 4 2 2 2 3 5 2 3" xfId="12633" xr:uid="{3D287A90-379D-45C1-8765-7B31B2994506}"/>
    <cellStyle name="Comma 4 2 2 2 3 5 3" xfId="6256" xr:uid="{00000000-0005-0000-0000-0000E2070000}"/>
    <cellStyle name="Comma 4 2 2 2 3 5 3 2" xfId="14706" xr:uid="{6089810E-36D8-4309-AC50-C75E73C79375}"/>
    <cellStyle name="Comma 4 2 2 2 3 5 4" xfId="10488" xr:uid="{C7130FD9-7F19-444B-9CFE-98AAB511DBD1}"/>
    <cellStyle name="Comma 4 2 2 2 3 6" xfId="2385" xr:uid="{00000000-0005-0000-0000-0000E3070000}"/>
    <cellStyle name="Comma 4 2 2 2 3 6 2" xfId="6669" xr:uid="{00000000-0005-0000-0000-0000E4070000}"/>
    <cellStyle name="Comma 4 2 2 2 3 6 2 2" xfId="15119" xr:uid="{D9C059F8-C60C-4413-AA85-5FC6DCC087FD}"/>
    <cellStyle name="Comma 4 2 2 2 3 6 3" xfId="10901" xr:uid="{873C8784-FD24-4E11-9938-5304822A6926}"/>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D1BC64A8-963D-423C-8D54-F886744C7C32}"/>
    <cellStyle name="Comma 4 2 2 2 3 8 3" xfId="11218" xr:uid="{6428D860-5E38-4C09-BF8D-F230B9A4A8D1}"/>
    <cellStyle name="Comma 4 2 2 2 3 9" xfId="4603" xr:uid="{00000000-0005-0000-0000-0000E8070000}"/>
    <cellStyle name="Comma 4 2 2 2 3 9 2" xfId="13053" xr:uid="{15D86E4F-8888-466A-9A51-515896313AF6}"/>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AD21F2CF-40D5-47DE-AC76-3E42FA827182}"/>
    <cellStyle name="Comma 4 2 2 2 4 2 3" xfId="11391" xr:uid="{B6676013-E89C-4B00-A6ED-6AA0D33957DD}"/>
    <cellStyle name="Comma 4 2 2 2 4 3" xfId="5014" xr:uid="{00000000-0005-0000-0000-0000EC070000}"/>
    <cellStyle name="Comma 4 2 2 2 4 3 2" xfId="13464" xr:uid="{F0CBCCD6-5894-40E3-B6CF-B4DA6EF0B571}"/>
    <cellStyle name="Comma 4 2 2 2 4 4" xfId="9246" xr:uid="{0ACA3E46-8AAB-4F9D-9AEF-591BA71E42A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85FD37B0-69BD-45BB-B9A9-0FB83DD9AAAF}"/>
    <cellStyle name="Comma 4 2 2 2 5 2 3" xfId="11804" xr:uid="{F37CF1AF-150F-49FE-BC66-5F8B81A4B96D}"/>
    <cellStyle name="Comma 4 2 2 2 5 3" xfId="5427" xr:uid="{00000000-0005-0000-0000-0000F0070000}"/>
    <cellStyle name="Comma 4 2 2 2 5 3 2" xfId="13877" xr:uid="{79B31E93-3AD2-4ACD-B6F8-34D4DA5FBC2F}"/>
    <cellStyle name="Comma 4 2 2 2 5 4" xfId="9659" xr:uid="{4E0A7293-BE49-4C32-ACAD-7B1931864CEC}"/>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8B0C0EC6-5A7C-43F7-BC3F-FA1D0331ABAA}"/>
    <cellStyle name="Comma 4 2 2 2 6 2 3" xfId="12217" xr:uid="{2A98AA0F-4B77-4F80-83C8-CA2376FFA170}"/>
    <cellStyle name="Comma 4 2 2 2 6 3" xfId="5840" xr:uid="{00000000-0005-0000-0000-0000F4070000}"/>
    <cellStyle name="Comma 4 2 2 2 6 3 2" xfId="14290" xr:uid="{72F15EBB-3B97-4977-8019-BE19958682AF}"/>
    <cellStyle name="Comma 4 2 2 2 6 4" xfId="10072" xr:uid="{825BB05A-F35C-4411-AD2E-EC37353FDDDC}"/>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65EEDA30-6907-4089-B01F-F3D8ED3304F2}"/>
    <cellStyle name="Comma 4 2 2 2 7 2 3" xfId="12630" xr:uid="{09BF1DDF-CA07-476D-B245-99291245A971}"/>
    <cellStyle name="Comma 4 2 2 2 7 3" xfId="6253" xr:uid="{00000000-0005-0000-0000-0000F8070000}"/>
    <cellStyle name="Comma 4 2 2 2 7 3 2" xfId="14703" xr:uid="{B8EAE3F5-65C1-4FF5-9E5C-EA5E04057DFA}"/>
    <cellStyle name="Comma 4 2 2 2 7 4" xfId="10485" xr:uid="{949C5219-7AD2-4E8B-90E6-2C8A527DD372}"/>
    <cellStyle name="Comma 4 2 2 2 8" xfId="2382" xr:uid="{00000000-0005-0000-0000-0000F9070000}"/>
    <cellStyle name="Comma 4 2 2 2 8 2" xfId="6666" xr:uid="{00000000-0005-0000-0000-0000FA070000}"/>
    <cellStyle name="Comma 4 2 2 2 8 2 2" xfId="15116" xr:uid="{817FEAF4-2893-494B-AFC1-917869159ED0}"/>
    <cellStyle name="Comma 4 2 2 2 8 3" xfId="10898" xr:uid="{94924944-584D-4392-8654-8E91D2D1E788}"/>
    <cellStyle name="Comma 4 2 2 2 9" xfId="2381" xr:uid="{00000000-0005-0000-0000-0000FB070000}"/>
    <cellStyle name="Comma 4 2 2 3" xfId="132" xr:uid="{00000000-0005-0000-0000-0000FC070000}"/>
    <cellStyle name="Comma 4 2 2 3 10" xfId="4604" xr:uid="{00000000-0005-0000-0000-0000FD070000}"/>
    <cellStyle name="Comma 4 2 2 3 10 2" xfId="13054" xr:uid="{27C64443-4DD6-406F-99C7-0F64C44D627C}"/>
    <cellStyle name="Comma 4 2 2 3 11" xfId="8836" xr:uid="{4BFBCC1D-29F1-4AB1-A4EE-23078CB5FCFE}"/>
    <cellStyle name="Comma 4 2 2 3 2" xfId="133" xr:uid="{00000000-0005-0000-0000-0000FE070000}"/>
    <cellStyle name="Comma 4 2 2 3 2 10" xfId="8837" xr:uid="{6B688F5A-BEED-458C-A3BD-8F62468B853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F69E389B-59EB-4BB6-9F51-1735A026D027}"/>
    <cellStyle name="Comma 4 2 2 3 2 2 2 3" xfId="11396" xr:uid="{48C803F0-A86E-49B9-BD72-4B1FC58DF09A}"/>
    <cellStyle name="Comma 4 2 2 3 2 2 3" xfId="5019" xr:uid="{00000000-0005-0000-0000-000002080000}"/>
    <cellStyle name="Comma 4 2 2 3 2 2 3 2" xfId="13469" xr:uid="{1AA55DE5-2560-41D0-9CE3-4CF59FED39AD}"/>
    <cellStyle name="Comma 4 2 2 3 2 2 4" xfId="9251" xr:uid="{82C36187-E3CE-4D81-A576-323B65071A7A}"/>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BB0A6B39-DE6A-402B-8DF7-F2109BBE7640}"/>
    <cellStyle name="Comma 4 2 2 3 2 3 2 3" xfId="11809" xr:uid="{AE2963F0-1544-4B61-9ACB-7D52F54167E8}"/>
    <cellStyle name="Comma 4 2 2 3 2 3 3" xfId="5432" xr:uid="{00000000-0005-0000-0000-000006080000}"/>
    <cellStyle name="Comma 4 2 2 3 2 3 3 2" xfId="13882" xr:uid="{CF55F9D6-F660-4805-8B35-2C2D868BB3B7}"/>
    <cellStyle name="Comma 4 2 2 3 2 3 4" xfId="9664" xr:uid="{0DEE7F15-6291-44D3-A2CB-3BEC307F52B4}"/>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38C2D7BF-32C7-4CA0-8D10-257C5A098CF8}"/>
    <cellStyle name="Comma 4 2 2 3 2 4 2 3" xfId="12222" xr:uid="{51EB9260-058E-49DB-89C1-59F67EE4EB75}"/>
    <cellStyle name="Comma 4 2 2 3 2 4 3" xfId="5845" xr:uid="{00000000-0005-0000-0000-00000A080000}"/>
    <cellStyle name="Comma 4 2 2 3 2 4 3 2" xfId="14295" xr:uid="{391308F7-A20B-40C0-9CE5-7C303DFABABC}"/>
    <cellStyle name="Comma 4 2 2 3 2 4 4" xfId="10077" xr:uid="{3945878A-4394-4DC1-A114-7832EDFC8ABA}"/>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D51792B8-7C30-44ED-9857-E9A39C150A1D}"/>
    <cellStyle name="Comma 4 2 2 3 2 5 2 3" xfId="12635" xr:uid="{38AF8215-56C7-4C5C-BDED-2FD4BCAB8F67}"/>
    <cellStyle name="Comma 4 2 2 3 2 5 3" xfId="6258" xr:uid="{00000000-0005-0000-0000-00000E080000}"/>
    <cellStyle name="Comma 4 2 2 3 2 5 3 2" xfId="14708" xr:uid="{2234A8CA-BBE4-4805-8F00-F75060F7A873}"/>
    <cellStyle name="Comma 4 2 2 3 2 5 4" xfId="10490" xr:uid="{DF62832D-2E36-426B-B757-9924A98E4549}"/>
    <cellStyle name="Comma 4 2 2 3 2 6" xfId="2387" xr:uid="{00000000-0005-0000-0000-00000F080000}"/>
    <cellStyle name="Comma 4 2 2 3 2 6 2" xfId="6671" xr:uid="{00000000-0005-0000-0000-000010080000}"/>
    <cellStyle name="Comma 4 2 2 3 2 6 2 2" xfId="15121" xr:uid="{5C284190-95AF-42C9-815B-28EFD4021093}"/>
    <cellStyle name="Comma 4 2 2 3 2 6 3" xfId="10903" xr:uid="{5A76B28E-2C14-4CB6-8989-60F4110F997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63546EEE-801D-4563-8B35-8E881FF8BB06}"/>
    <cellStyle name="Comma 4 2 2 3 2 8 3" xfId="11220" xr:uid="{76838E05-01F3-4F93-AABB-159DF50B1073}"/>
    <cellStyle name="Comma 4 2 2 3 2 9" xfId="4605" xr:uid="{00000000-0005-0000-0000-000014080000}"/>
    <cellStyle name="Comma 4 2 2 3 2 9 2" xfId="13055" xr:uid="{A4F79FD2-8F06-411A-AAAA-96E855654560}"/>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FAB005A4-1092-47FA-92E0-AC87B2CC1826}"/>
    <cellStyle name="Comma 4 2 2 3 3 2 3" xfId="11395" xr:uid="{BF9CDC9D-C4CC-4330-9EAE-6A76AF16026D}"/>
    <cellStyle name="Comma 4 2 2 3 3 3" xfId="5018" xr:uid="{00000000-0005-0000-0000-000018080000}"/>
    <cellStyle name="Comma 4 2 2 3 3 3 2" xfId="13468" xr:uid="{9FB93F17-451B-40B2-81B6-0961B365C7E8}"/>
    <cellStyle name="Comma 4 2 2 3 3 4" xfId="9250" xr:uid="{B58A1453-F91F-4913-8120-7286E1469D6F}"/>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E71384BF-BDD6-444F-A680-5E5220A29FE1}"/>
    <cellStyle name="Comma 4 2 2 3 4 2 3" xfId="11808" xr:uid="{281CA38F-6214-4D50-A4A6-ABDCFAC36104}"/>
    <cellStyle name="Comma 4 2 2 3 4 3" xfId="5431" xr:uid="{00000000-0005-0000-0000-00001C080000}"/>
    <cellStyle name="Comma 4 2 2 3 4 3 2" xfId="13881" xr:uid="{9C97C257-E37D-42E9-80C1-1A54C5872CFD}"/>
    <cellStyle name="Comma 4 2 2 3 4 4" xfId="9663" xr:uid="{1184A36C-B2DA-4450-A2F3-FB040D79A9AC}"/>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CADBBF03-2A06-44A5-9C5B-60DD4A32F897}"/>
    <cellStyle name="Comma 4 2 2 3 5 2 3" xfId="12221" xr:uid="{5F993E4B-4424-4D4E-8353-793B8B3EB8F5}"/>
    <cellStyle name="Comma 4 2 2 3 5 3" xfId="5844" xr:uid="{00000000-0005-0000-0000-000020080000}"/>
    <cellStyle name="Comma 4 2 2 3 5 3 2" xfId="14294" xr:uid="{8C67176C-74D5-4C9D-A9D1-64F8FAC721DD}"/>
    <cellStyle name="Comma 4 2 2 3 5 4" xfId="10076" xr:uid="{5AD6274E-66C1-413F-BAD0-8A0D62FC03BA}"/>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91B1DF8B-3A0E-416A-B6B1-4F4E4F209C6B}"/>
    <cellStyle name="Comma 4 2 2 3 6 2 3" xfId="12634" xr:uid="{224F3A29-0B3F-4E6B-859C-F9CC09D79B98}"/>
    <cellStyle name="Comma 4 2 2 3 6 3" xfId="6257" xr:uid="{00000000-0005-0000-0000-000024080000}"/>
    <cellStyle name="Comma 4 2 2 3 6 3 2" xfId="14707" xr:uid="{9B19A10A-8746-4C62-87E6-295C1584BA6A}"/>
    <cellStyle name="Comma 4 2 2 3 6 4" xfId="10489" xr:uid="{BFEA23AB-DF45-4993-9696-933C6D5E8F75}"/>
    <cellStyle name="Comma 4 2 2 3 7" xfId="2386" xr:uid="{00000000-0005-0000-0000-000025080000}"/>
    <cellStyle name="Comma 4 2 2 3 7 2" xfId="6670" xr:uid="{00000000-0005-0000-0000-000026080000}"/>
    <cellStyle name="Comma 4 2 2 3 7 2 2" xfId="15120" xr:uid="{97994FA8-59CE-4B5E-85EB-DEB7DF7868AF}"/>
    <cellStyle name="Comma 4 2 2 3 7 3" xfId="10902" xr:uid="{C79E50AB-80BA-4411-B7D3-F94E231072FB}"/>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ED22B70E-A672-48DB-9966-8F573650E839}"/>
    <cellStyle name="Comma 4 2 2 3 9 3" xfId="11219" xr:uid="{E01D9C45-CE37-4150-8111-D7E4CF956D88}"/>
    <cellStyle name="Comma 4 2 2 4" xfId="134" xr:uid="{00000000-0005-0000-0000-00002A080000}"/>
    <cellStyle name="Comma 4 2 2 4 10" xfId="8838" xr:uid="{330763B7-0A5D-4529-A66E-BB4DA014FBA6}"/>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31ED7F4A-6E5B-44A1-B89D-7B8EC80F264D}"/>
    <cellStyle name="Comma 4 2 2 4 2 2 3" xfId="11397" xr:uid="{386AAD6B-5B29-4FCD-90FE-861D786D272F}"/>
    <cellStyle name="Comma 4 2 2 4 2 3" xfId="5020" xr:uid="{00000000-0005-0000-0000-00002E080000}"/>
    <cellStyle name="Comma 4 2 2 4 2 3 2" xfId="13470" xr:uid="{25D908F5-86DB-407F-8422-7BA56884B3A2}"/>
    <cellStyle name="Comma 4 2 2 4 2 4" xfId="9252" xr:uid="{9D3AC6A2-77B4-4177-962A-5CAC4B09353B}"/>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9EA411FD-331D-4549-9522-B6344F98B7BB}"/>
    <cellStyle name="Comma 4 2 2 4 3 2 3" xfId="11810" xr:uid="{DE19BE57-EAB8-4EA9-8D5A-3BAD4080C652}"/>
    <cellStyle name="Comma 4 2 2 4 3 3" xfId="5433" xr:uid="{00000000-0005-0000-0000-000032080000}"/>
    <cellStyle name="Comma 4 2 2 4 3 3 2" xfId="13883" xr:uid="{26840041-E644-48B4-8817-8F5AB7564DA7}"/>
    <cellStyle name="Comma 4 2 2 4 3 4" xfId="9665" xr:uid="{17E45CC6-296B-43E0-A196-3357928605A2}"/>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F54C7265-77E7-4C31-AB1E-FFE64A114EF4}"/>
    <cellStyle name="Comma 4 2 2 4 4 2 3" xfId="12223" xr:uid="{55FB05F7-09B4-4EE4-A007-5B274D74C4E9}"/>
    <cellStyle name="Comma 4 2 2 4 4 3" xfId="5846" xr:uid="{00000000-0005-0000-0000-000036080000}"/>
    <cellStyle name="Comma 4 2 2 4 4 3 2" xfId="14296" xr:uid="{D01457E8-7C66-4332-89B6-C39C77AD3338}"/>
    <cellStyle name="Comma 4 2 2 4 4 4" xfId="10078" xr:uid="{E7741D04-CF85-4BF9-9D0A-5A979128D521}"/>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C466EA25-8D32-4040-B725-598EBDA93903}"/>
    <cellStyle name="Comma 4 2 2 4 5 2 3" xfId="12636" xr:uid="{DC0ECBE7-1CB6-465F-9342-8A5D16F041D6}"/>
    <cellStyle name="Comma 4 2 2 4 5 3" xfId="6259" xr:uid="{00000000-0005-0000-0000-00003A080000}"/>
    <cellStyle name="Comma 4 2 2 4 5 3 2" xfId="14709" xr:uid="{15F113F9-DAEB-4CEE-9313-62BB3AB6E92F}"/>
    <cellStyle name="Comma 4 2 2 4 5 4" xfId="10491" xr:uid="{B3B3E9F6-36D4-406B-904A-54EB8C562747}"/>
    <cellStyle name="Comma 4 2 2 4 6" xfId="2388" xr:uid="{00000000-0005-0000-0000-00003B080000}"/>
    <cellStyle name="Comma 4 2 2 4 6 2" xfId="6672" xr:uid="{00000000-0005-0000-0000-00003C080000}"/>
    <cellStyle name="Comma 4 2 2 4 6 2 2" xfId="15122" xr:uid="{B419707E-69D3-4018-A8AF-1D8583412EDF}"/>
    <cellStyle name="Comma 4 2 2 4 6 3" xfId="10904" xr:uid="{85F86481-7E97-443B-B8E0-80121B11C3F6}"/>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A4433A58-2B70-4088-9E55-A3BF6D6E54B3}"/>
    <cellStyle name="Comma 4 2 2 4 8 3" xfId="11221" xr:uid="{EE08E45E-54DB-4FCB-BF36-BB7F67CDF3A2}"/>
    <cellStyle name="Comma 4 2 2 4 9" xfId="4606" xr:uid="{00000000-0005-0000-0000-000040080000}"/>
    <cellStyle name="Comma 4 2 2 4 9 2" xfId="13056" xr:uid="{584BE364-4E4D-43A5-BBDB-0C87AB412E52}"/>
    <cellStyle name="Comma 4 2 2 5" xfId="135" xr:uid="{00000000-0005-0000-0000-000041080000}"/>
    <cellStyle name="Comma 4 2 2 5 10" xfId="8839" xr:uid="{9A60B713-003A-4C8A-AC0C-BD5CF3A2D05D}"/>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D12E3DD7-5AAD-4603-AB49-038588DDE66C}"/>
    <cellStyle name="Comma 4 2 2 5 2 2 3" xfId="11398" xr:uid="{14A57C87-D524-4C6C-8DBE-7677FD2DB4D0}"/>
    <cellStyle name="Comma 4 2 2 5 2 3" xfId="5021" xr:uid="{00000000-0005-0000-0000-000045080000}"/>
    <cellStyle name="Comma 4 2 2 5 2 3 2" xfId="13471" xr:uid="{A3E24A40-29B1-40A5-A787-D6845B33C346}"/>
    <cellStyle name="Comma 4 2 2 5 2 4" xfId="9253" xr:uid="{285FF197-4432-476D-83E3-6DF00286E27C}"/>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AE92A835-6DDF-463C-932F-55D45E8EBA6A}"/>
    <cellStyle name="Comma 4 2 2 5 3 2 3" xfId="11811" xr:uid="{3FE1AB2E-34AF-4900-ACE2-A047CCBE4DE7}"/>
    <cellStyle name="Comma 4 2 2 5 3 3" xfId="5434" xr:uid="{00000000-0005-0000-0000-000049080000}"/>
    <cellStyle name="Comma 4 2 2 5 3 3 2" xfId="13884" xr:uid="{114FE7E5-48EC-47EE-8924-7C9B07EE088D}"/>
    <cellStyle name="Comma 4 2 2 5 3 4" xfId="9666" xr:uid="{500C9952-63BD-46BB-B67C-9539550B6982}"/>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4384AE83-0024-4828-AEA3-90BBFF2C4A29}"/>
    <cellStyle name="Comma 4 2 2 5 4 2 3" xfId="12224" xr:uid="{68D8383F-7888-48B4-B4EB-15FB81FE61CA}"/>
    <cellStyle name="Comma 4 2 2 5 4 3" xfId="5847" xr:uid="{00000000-0005-0000-0000-00004D080000}"/>
    <cellStyle name="Comma 4 2 2 5 4 3 2" xfId="14297" xr:uid="{93D83CC7-909A-49A6-98D6-A1FC42A93019}"/>
    <cellStyle name="Comma 4 2 2 5 4 4" xfId="10079" xr:uid="{43BE1B09-B0F1-4B49-8550-C962A3AAFB32}"/>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BCF1F68A-FAC5-4C69-AE49-2ACBDF48DD7D}"/>
    <cellStyle name="Comma 4 2 2 5 5 2 3" xfId="12637" xr:uid="{FF03DAA7-ED07-4AEC-B7D2-249C297FF11B}"/>
    <cellStyle name="Comma 4 2 2 5 5 3" xfId="6260" xr:uid="{00000000-0005-0000-0000-000051080000}"/>
    <cellStyle name="Comma 4 2 2 5 5 3 2" xfId="14710" xr:uid="{69FE5DDC-7A81-430C-8407-AB550C9D7B9F}"/>
    <cellStyle name="Comma 4 2 2 5 5 4" xfId="10492" xr:uid="{2642518E-5971-46DD-AD63-2EB4A1DEC24C}"/>
    <cellStyle name="Comma 4 2 2 5 6" xfId="2389" xr:uid="{00000000-0005-0000-0000-000052080000}"/>
    <cellStyle name="Comma 4 2 2 5 6 2" xfId="6673" xr:uid="{00000000-0005-0000-0000-000053080000}"/>
    <cellStyle name="Comma 4 2 2 5 6 2 2" xfId="15123" xr:uid="{B71E9A4E-967D-4B56-AF4B-FDFACECD57D2}"/>
    <cellStyle name="Comma 4 2 2 5 6 3" xfId="10905" xr:uid="{C80463DE-A3DC-4A51-B930-1E5A27622980}"/>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749A75D5-ED81-4C5D-8DF4-C68E63C10722}"/>
    <cellStyle name="Comma 4 2 2 5 8 3" xfId="11222" xr:uid="{D5EEC7A5-005B-4EFE-BFA9-A93D28BB76AF}"/>
    <cellStyle name="Comma 4 2 2 5 9" xfId="4607" xr:uid="{00000000-0005-0000-0000-000057080000}"/>
    <cellStyle name="Comma 4 2 2 5 9 2" xfId="13057" xr:uid="{E37D0809-3054-471A-9FF6-026F26BF76DE}"/>
    <cellStyle name="Comma 4 2 3" xfId="136" xr:uid="{00000000-0005-0000-0000-000058080000}"/>
    <cellStyle name="Comma 4 2 3 10" xfId="2768" xr:uid="{00000000-0005-0000-0000-000059080000}"/>
    <cellStyle name="Comma 4 2 3 10 2" xfId="6991" xr:uid="{00000000-0005-0000-0000-00005A080000}"/>
    <cellStyle name="Comma 4 2 3 10 2 2" xfId="15441" xr:uid="{D041BB72-5D4A-4ACB-9093-143A2849BED0}"/>
    <cellStyle name="Comma 4 2 3 10 3" xfId="11223" xr:uid="{C99B26D3-B52E-46BB-A121-0A94C1D521DB}"/>
    <cellStyle name="Comma 4 2 3 11" xfId="4608" xr:uid="{00000000-0005-0000-0000-00005B080000}"/>
    <cellStyle name="Comma 4 2 3 11 2" xfId="13058" xr:uid="{8BE34EB3-F85A-44BB-973A-D250181A1714}"/>
    <cellStyle name="Comma 4 2 3 12" xfId="8840" xr:uid="{2632F217-F862-4730-8481-82D6EFB8E321}"/>
    <cellStyle name="Comma 4 2 3 2" xfId="137" xr:uid="{00000000-0005-0000-0000-00005C080000}"/>
    <cellStyle name="Comma 4 2 3 2 10" xfId="4609" xr:uid="{00000000-0005-0000-0000-00005D080000}"/>
    <cellStyle name="Comma 4 2 3 2 10 2" xfId="13059" xr:uid="{2DED5791-F627-4317-9D60-D2F053EE77C4}"/>
    <cellStyle name="Comma 4 2 3 2 11" xfId="8841" xr:uid="{FA3073C8-04BC-44C7-B7FC-960829CE4FB1}"/>
    <cellStyle name="Comma 4 2 3 2 2" xfId="138" xr:uid="{00000000-0005-0000-0000-00005E080000}"/>
    <cellStyle name="Comma 4 2 3 2 2 10" xfId="8842" xr:uid="{AAD438FB-4DF6-4CF8-A31C-C6FFA1CEEF2A}"/>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E3DC881C-3000-4401-B151-2EF261B07F36}"/>
    <cellStyle name="Comma 4 2 3 2 2 2 2 3" xfId="11401" xr:uid="{523332E7-D009-4F02-ABB8-9D80DBAB946D}"/>
    <cellStyle name="Comma 4 2 3 2 2 2 3" xfId="5024" xr:uid="{00000000-0005-0000-0000-000062080000}"/>
    <cellStyle name="Comma 4 2 3 2 2 2 3 2" xfId="13474" xr:uid="{1DDEB3F0-A5BD-438E-A0DB-1C610E836577}"/>
    <cellStyle name="Comma 4 2 3 2 2 2 4" xfId="9256" xr:uid="{60F96530-300B-466A-8675-50B64F2B645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7EA3429F-C4AB-4316-9F41-B6662DA69D81}"/>
    <cellStyle name="Comma 4 2 3 2 2 3 2 3" xfId="11814" xr:uid="{C43B7A4B-61AE-4C96-8DC4-2F067016FDB2}"/>
    <cellStyle name="Comma 4 2 3 2 2 3 3" xfId="5437" xr:uid="{00000000-0005-0000-0000-000066080000}"/>
    <cellStyle name="Comma 4 2 3 2 2 3 3 2" xfId="13887" xr:uid="{12B475D2-0FB9-416F-884C-04CA99A4A562}"/>
    <cellStyle name="Comma 4 2 3 2 2 3 4" xfId="9669" xr:uid="{78715C8F-70E9-416C-B954-08E1A69B9926}"/>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C169DC41-3F01-46E0-B780-6696DC7A8829}"/>
    <cellStyle name="Comma 4 2 3 2 2 4 2 3" xfId="12227" xr:uid="{B3C185E2-0DA8-4A59-B8E8-25F148F2DCFC}"/>
    <cellStyle name="Comma 4 2 3 2 2 4 3" xfId="5850" xr:uid="{00000000-0005-0000-0000-00006A080000}"/>
    <cellStyle name="Comma 4 2 3 2 2 4 3 2" xfId="14300" xr:uid="{E03D784D-066D-4AEE-B992-3BFD1392D7AB}"/>
    <cellStyle name="Comma 4 2 3 2 2 4 4" xfId="10082" xr:uid="{A2B7680D-04FE-440D-A447-FB38030F7C1D}"/>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4B04BEBA-A306-4D7B-BD6E-904C6D4AD8AC}"/>
    <cellStyle name="Comma 4 2 3 2 2 5 2 3" xfId="12640" xr:uid="{C40E2FF1-7C2E-4461-88AC-A9627BE02DCC}"/>
    <cellStyle name="Comma 4 2 3 2 2 5 3" xfId="6263" xr:uid="{00000000-0005-0000-0000-00006E080000}"/>
    <cellStyle name="Comma 4 2 3 2 2 5 3 2" xfId="14713" xr:uid="{6289166B-AEE7-48CE-85B5-95CEBF3A4F21}"/>
    <cellStyle name="Comma 4 2 3 2 2 5 4" xfId="10495" xr:uid="{3CCC8FD7-B823-4374-859A-6385C8EFFABE}"/>
    <cellStyle name="Comma 4 2 3 2 2 6" xfId="2392" xr:uid="{00000000-0005-0000-0000-00006F080000}"/>
    <cellStyle name="Comma 4 2 3 2 2 6 2" xfId="6676" xr:uid="{00000000-0005-0000-0000-000070080000}"/>
    <cellStyle name="Comma 4 2 3 2 2 6 2 2" xfId="15126" xr:uid="{1AA8E614-D6E3-46DA-9F96-49BD2D5554D0}"/>
    <cellStyle name="Comma 4 2 3 2 2 6 3" xfId="10908" xr:uid="{CFBBF5D6-75B0-4C7A-9153-29B67153B68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59A5896F-A296-4478-915F-FC08419B6948}"/>
    <cellStyle name="Comma 4 2 3 2 2 8 3" xfId="11225" xr:uid="{88FA53F3-ADCA-4DFE-A4C1-34A61A1DB44B}"/>
    <cellStyle name="Comma 4 2 3 2 2 9" xfId="4610" xr:uid="{00000000-0005-0000-0000-000074080000}"/>
    <cellStyle name="Comma 4 2 3 2 2 9 2" xfId="13060" xr:uid="{C73933F3-D13B-4D48-B2D7-C1541EB51152}"/>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DC475B94-8521-4AAE-981B-8E48091FF68D}"/>
    <cellStyle name="Comma 4 2 3 2 3 2 3" xfId="11400" xr:uid="{8DDADB3E-5A52-4736-B1E8-70E728410437}"/>
    <cellStyle name="Comma 4 2 3 2 3 3" xfId="5023" xr:uid="{00000000-0005-0000-0000-000078080000}"/>
    <cellStyle name="Comma 4 2 3 2 3 3 2" xfId="13473" xr:uid="{50C93693-AA2B-4FFB-8FC5-4BC18A9C0CE2}"/>
    <cellStyle name="Comma 4 2 3 2 3 4" xfId="9255" xr:uid="{6A7F0034-9B0B-4CB7-8C2A-AA0A1BB7C4B7}"/>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32D91670-9C8A-46B9-85C5-7D068C9C4A6E}"/>
    <cellStyle name="Comma 4 2 3 2 4 2 3" xfId="11813" xr:uid="{4EF19849-66A5-4DC9-ADFE-0EF9595AAFFD}"/>
    <cellStyle name="Comma 4 2 3 2 4 3" xfId="5436" xr:uid="{00000000-0005-0000-0000-00007C080000}"/>
    <cellStyle name="Comma 4 2 3 2 4 3 2" xfId="13886" xr:uid="{DE1A4CB0-85BF-401C-9D50-E5146E232430}"/>
    <cellStyle name="Comma 4 2 3 2 4 4" xfId="9668" xr:uid="{1A5EA39D-E55D-4BA0-B9C3-2E2EB9CC0C08}"/>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91EEA233-632A-414B-9780-40E79FE2251D}"/>
    <cellStyle name="Comma 4 2 3 2 5 2 3" xfId="12226" xr:uid="{6161F840-7BF7-4086-BC3E-0AD4B0C75C0B}"/>
    <cellStyle name="Comma 4 2 3 2 5 3" xfId="5849" xr:uid="{00000000-0005-0000-0000-000080080000}"/>
    <cellStyle name="Comma 4 2 3 2 5 3 2" xfId="14299" xr:uid="{32BE73CE-FA38-46E1-BE4C-90C30679E32A}"/>
    <cellStyle name="Comma 4 2 3 2 5 4" xfId="10081" xr:uid="{7CDB5D22-BC55-433C-A1E0-E086CED6475A}"/>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A28F5D05-CE7D-48D9-A98D-B7A89A1771C0}"/>
    <cellStyle name="Comma 4 2 3 2 6 2 3" xfId="12639" xr:uid="{19E65947-D4E3-4FFF-BB4B-F0D438F1E25A}"/>
    <cellStyle name="Comma 4 2 3 2 6 3" xfId="6262" xr:uid="{00000000-0005-0000-0000-000084080000}"/>
    <cellStyle name="Comma 4 2 3 2 6 3 2" xfId="14712" xr:uid="{5DF2A8C8-0C63-4B50-9CF5-E3C0B8A97ABE}"/>
    <cellStyle name="Comma 4 2 3 2 6 4" xfId="10494" xr:uid="{01DD39EE-0806-4D7D-A796-0721FD6A492F}"/>
    <cellStyle name="Comma 4 2 3 2 7" xfId="2391" xr:uid="{00000000-0005-0000-0000-000085080000}"/>
    <cellStyle name="Comma 4 2 3 2 7 2" xfId="6675" xr:uid="{00000000-0005-0000-0000-000086080000}"/>
    <cellStyle name="Comma 4 2 3 2 7 2 2" xfId="15125" xr:uid="{FE52FC43-A4FB-4046-941D-99410221286E}"/>
    <cellStyle name="Comma 4 2 3 2 7 3" xfId="10907" xr:uid="{693C9903-2FA5-4FEC-B7E7-B5C5FF1294AE}"/>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7E9BD55B-3167-4F84-B05B-A2E98A9FB06F}"/>
    <cellStyle name="Comma 4 2 3 2 9 3" xfId="11224" xr:uid="{30F53FDB-C3C5-4D0F-BBA1-192A8BD58114}"/>
    <cellStyle name="Comma 4 2 3 3" xfId="139" xr:uid="{00000000-0005-0000-0000-00008A080000}"/>
    <cellStyle name="Comma 4 2 3 3 10" xfId="8843" xr:uid="{69950410-7CD6-42F6-B886-34F30084A225}"/>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677CE5FB-A1EA-48AE-8489-7CA627A0749B}"/>
    <cellStyle name="Comma 4 2 3 3 2 2 3" xfId="11402" xr:uid="{5439910D-C1F1-4C03-BFBF-86A041ABEC04}"/>
    <cellStyle name="Comma 4 2 3 3 2 3" xfId="5025" xr:uid="{00000000-0005-0000-0000-00008E080000}"/>
    <cellStyle name="Comma 4 2 3 3 2 3 2" xfId="13475" xr:uid="{3E4AD94D-C572-44E1-8424-BD8A65E1F558}"/>
    <cellStyle name="Comma 4 2 3 3 2 4" xfId="9257" xr:uid="{4DF4DD01-008B-466A-84ED-5AAFF072F8BD}"/>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0AB7C425-580F-4B2A-96DF-3CD9ECA2E19F}"/>
    <cellStyle name="Comma 4 2 3 3 3 2 3" xfId="11815" xr:uid="{3E01D896-B7D2-41AA-BB61-B67EA11614ED}"/>
    <cellStyle name="Comma 4 2 3 3 3 3" xfId="5438" xr:uid="{00000000-0005-0000-0000-000092080000}"/>
    <cellStyle name="Comma 4 2 3 3 3 3 2" xfId="13888" xr:uid="{0C0689DB-F27D-4852-98DB-34459C8A9BC7}"/>
    <cellStyle name="Comma 4 2 3 3 3 4" xfId="9670" xr:uid="{F3A0B40F-ED52-4EA1-98E4-BBFA84DE2679}"/>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59A85D2E-B8F5-4CFC-B8B9-ADFD5FB07083}"/>
    <cellStyle name="Comma 4 2 3 3 4 2 3" xfId="12228" xr:uid="{7C37EBEE-C8F7-4978-AE32-3A8321BA5E88}"/>
    <cellStyle name="Comma 4 2 3 3 4 3" xfId="5851" xr:uid="{00000000-0005-0000-0000-000096080000}"/>
    <cellStyle name="Comma 4 2 3 3 4 3 2" xfId="14301" xr:uid="{5DA17BB8-6B18-4585-A2EE-CBC2E04E32FB}"/>
    <cellStyle name="Comma 4 2 3 3 4 4" xfId="10083" xr:uid="{8E145474-C8E1-47D7-A04D-6A9EA3E9E189}"/>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F4800EA5-D0A5-4320-8156-FBEBF616C797}"/>
    <cellStyle name="Comma 4 2 3 3 5 2 3" xfId="12641" xr:uid="{1CA3AB84-3E26-4F02-A312-788B8AC5F602}"/>
    <cellStyle name="Comma 4 2 3 3 5 3" xfId="6264" xr:uid="{00000000-0005-0000-0000-00009A080000}"/>
    <cellStyle name="Comma 4 2 3 3 5 3 2" xfId="14714" xr:uid="{F34D1560-35DA-41BE-A097-D7E47D9799E7}"/>
    <cellStyle name="Comma 4 2 3 3 5 4" xfId="10496" xr:uid="{ECC28EA9-266F-4361-9B5D-326EC681414F}"/>
    <cellStyle name="Comma 4 2 3 3 6" xfId="2393" xr:uid="{00000000-0005-0000-0000-00009B080000}"/>
    <cellStyle name="Comma 4 2 3 3 6 2" xfId="6677" xr:uid="{00000000-0005-0000-0000-00009C080000}"/>
    <cellStyle name="Comma 4 2 3 3 6 2 2" xfId="15127" xr:uid="{0F7FB674-7F28-4F69-9DA8-C18C0BCA75B1}"/>
    <cellStyle name="Comma 4 2 3 3 6 3" xfId="10909" xr:uid="{5BF3787B-D4C8-4051-ABEC-73769814FEBC}"/>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838DA8F2-F3C4-4887-9BA7-CDF85DE40DBC}"/>
    <cellStyle name="Comma 4 2 3 3 8 3" xfId="11226" xr:uid="{29EDBD7B-03FB-4A82-8D97-457BFA885DC3}"/>
    <cellStyle name="Comma 4 2 3 3 9" xfId="4611" xr:uid="{00000000-0005-0000-0000-0000A0080000}"/>
    <cellStyle name="Comma 4 2 3 3 9 2" xfId="13061" xr:uid="{43A08A6B-1AC0-4E23-96C2-8D541D70E76B}"/>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69C9884B-05C3-404C-B358-4380ADCB81BD}"/>
    <cellStyle name="Comma 4 2 3 4 2 3" xfId="11399" xr:uid="{4EFF37D3-0234-456C-BA2A-0A0F167907F5}"/>
    <cellStyle name="Comma 4 2 3 4 3" xfId="5022" xr:uid="{00000000-0005-0000-0000-0000A4080000}"/>
    <cellStyle name="Comma 4 2 3 4 3 2" xfId="13472" xr:uid="{1E2D22D1-081B-469F-A040-3E543A0B4FC8}"/>
    <cellStyle name="Comma 4 2 3 4 4" xfId="9254" xr:uid="{A72B2CDD-DA3A-40CD-AD3B-F89CCD30172D}"/>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B1602842-396F-4FC7-A971-91C5B02B403E}"/>
    <cellStyle name="Comma 4 2 3 5 2 3" xfId="11812" xr:uid="{20EDA765-7F07-4366-8D93-E065F20F0099}"/>
    <cellStyle name="Comma 4 2 3 5 3" xfId="5435" xr:uid="{00000000-0005-0000-0000-0000A8080000}"/>
    <cellStyle name="Comma 4 2 3 5 3 2" xfId="13885" xr:uid="{EAEDC293-DB5F-4225-85D7-A5C912B8FC26}"/>
    <cellStyle name="Comma 4 2 3 5 4" xfId="9667" xr:uid="{86935747-A19A-41A0-86CF-7412801B538C}"/>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09CE5166-2C60-4667-ACC0-7B82A6E5A334}"/>
    <cellStyle name="Comma 4 2 3 6 2 3" xfId="12225" xr:uid="{83FE130D-5E96-48D0-9E0C-1706D1860942}"/>
    <cellStyle name="Comma 4 2 3 6 3" xfId="5848" xr:uid="{00000000-0005-0000-0000-0000AC080000}"/>
    <cellStyle name="Comma 4 2 3 6 3 2" xfId="14298" xr:uid="{B541983A-0629-410D-A41D-6709EC5B4F89}"/>
    <cellStyle name="Comma 4 2 3 6 4" xfId="10080" xr:uid="{808F9991-E552-4A2E-BDC2-7D28BF98E262}"/>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367C2848-7574-4E1B-9EF7-42C39BE1781B}"/>
    <cellStyle name="Comma 4 2 3 7 2 3" xfId="12638" xr:uid="{EACDCA33-0FBC-42F7-BE45-581ED19FC319}"/>
    <cellStyle name="Comma 4 2 3 7 3" xfId="6261" xr:uid="{00000000-0005-0000-0000-0000B0080000}"/>
    <cellStyle name="Comma 4 2 3 7 3 2" xfId="14711" xr:uid="{AA23D0CE-AFE8-44F4-9F6F-BC8A116141FA}"/>
    <cellStyle name="Comma 4 2 3 7 4" xfId="10493" xr:uid="{6BEDFAE2-FCB0-4DE4-A98B-D753E02C8CCC}"/>
    <cellStyle name="Comma 4 2 3 8" xfId="2390" xr:uid="{00000000-0005-0000-0000-0000B1080000}"/>
    <cellStyle name="Comma 4 2 3 8 2" xfId="6674" xr:uid="{00000000-0005-0000-0000-0000B2080000}"/>
    <cellStyle name="Comma 4 2 3 8 2 2" xfId="15124" xr:uid="{CB0D319D-5BD2-41B3-9C5A-3626EA39DBCD}"/>
    <cellStyle name="Comma 4 2 3 8 3" xfId="10906" xr:uid="{D46F9785-E920-4E27-AA78-7153BB35E19C}"/>
    <cellStyle name="Comma 4 2 3 9" xfId="2373" xr:uid="{00000000-0005-0000-0000-0000B3080000}"/>
    <cellStyle name="Comma 4 2 4" xfId="140" xr:uid="{00000000-0005-0000-0000-0000B4080000}"/>
    <cellStyle name="Comma 4 2 4 10" xfId="4612" xr:uid="{00000000-0005-0000-0000-0000B5080000}"/>
    <cellStyle name="Comma 4 2 4 10 2" xfId="13062" xr:uid="{2D55E875-2E60-4FCB-8E36-02ADF26B046E}"/>
    <cellStyle name="Comma 4 2 4 11" xfId="8844" xr:uid="{AB5F8788-6EE4-4E75-8956-A88FF167CBDD}"/>
    <cellStyle name="Comma 4 2 4 2" xfId="141" xr:uid="{00000000-0005-0000-0000-0000B6080000}"/>
    <cellStyle name="Comma 4 2 4 2 10" xfId="8845" xr:uid="{9B9F60E5-39C1-463F-B56B-F1BDB15242D2}"/>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0CEBE1D6-7D70-48FD-A6F3-6CE37429D4A7}"/>
    <cellStyle name="Comma 4 2 4 2 2 2 3" xfId="11404" xr:uid="{1B4E003E-DEF8-45DE-91FD-F973E68E788A}"/>
    <cellStyle name="Comma 4 2 4 2 2 3" xfId="5027" xr:uid="{00000000-0005-0000-0000-0000BA080000}"/>
    <cellStyle name="Comma 4 2 4 2 2 3 2" xfId="13477" xr:uid="{8DCAB01B-2BED-460F-9F12-472AB2DFC29A}"/>
    <cellStyle name="Comma 4 2 4 2 2 4" xfId="9259" xr:uid="{8723169B-2045-4A74-A865-01A2FADF3E2D}"/>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AEE6D1E3-418F-4E9E-98DC-03082A147655}"/>
    <cellStyle name="Comma 4 2 4 2 3 2 3" xfId="11817" xr:uid="{18C2AEAD-371E-4008-A023-60EACA8EE4E9}"/>
    <cellStyle name="Comma 4 2 4 2 3 3" xfId="5440" xr:uid="{00000000-0005-0000-0000-0000BE080000}"/>
    <cellStyle name="Comma 4 2 4 2 3 3 2" xfId="13890" xr:uid="{AEFC18AE-6B59-4375-A60A-D0410221A930}"/>
    <cellStyle name="Comma 4 2 4 2 3 4" xfId="9672" xr:uid="{7F529EC8-E566-426A-A6AF-65328E85B103}"/>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CCD91BF0-5B16-45D1-B556-12595035FA38}"/>
    <cellStyle name="Comma 4 2 4 2 4 2 3" xfId="12230" xr:uid="{ABDAA911-55B9-4A0B-BCF2-2875D53483E9}"/>
    <cellStyle name="Comma 4 2 4 2 4 3" xfId="5853" xr:uid="{00000000-0005-0000-0000-0000C2080000}"/>
    <cellStyle name="Comma 4 2 4 2 4 3 2" xfId="14303" xr:uid="{62DA42FA-6B71-429F-A700-86B85F87599D}"/>
    <cellStyle name="Comma 4 2 4 2 4 4" xfId="10085" xr:uid="{A77D3590-1C77-404A-92D6-EAD625E49078}"/>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2626C996-8514-44FB-8095-B462156E75D1}"/>
    <cellStyle name="Comma 4 2 4 2 5 2 3" xfId="12643" xr:uid="{ED131631-F428-49A8-AD89-2C11D7F06945}"/>
    <cellStyle name="Comma 4 2 4 2 5 3" xfId="6266" xr:uid="{00000000-0005-0000-0000-0000C6080000}"/>
    <cellStyle name="Comma 4 2 4 2 5 3 2" xfId="14716" xr:uid="{258A823D-3CF1-454F-B057-5CA746CB89F9}"/>
    <cellStyle name="Comma 4 2 4 2 5 4" xfId="10498" xr:uid="{225A3538-DA3E-4B29-AD32-6E0E7C55BD83}"/>
    <cellStyle name="Comma 4 2 4 2 6" xfId="2395" xr:uid="{00000000-0005-0000-0000-0000C7080000}"/>
    <cellStyle name="Comma 4 2 4 2 6 2" xfId="6679" xr:uid="{00000000-0005-0000-0000-0000C8080000}"/>
    <cellStyle name="Comma 4 2 4 2 6 2 2" xfId="15129" xr:uid="{1058754F-2553-4A5F-A020-00ACE2D6759F}"/>
    <cellStyle name="Comma 4 2 4 2 6 3" xfId="10911" xr:uid="{7A327816-D4BC-4AC7-BAEC-19772DE883B7}"/>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31C6E27C-2403-441B-A27F-120C2360CDD3}"/>
    <cellStyle name="Comma 4 2 4 2 8 3" xfId="11228" xr:uid="{1B784649-F926-4902-ABC6-4B4242A150A5}"/>
    <cellStyle name="Comma 4 2 4 2 9" xfId="4613" xr:uid="{00000000-0005-0000-0000-0000CC080000}"/>
    <cellStyle name="Comma 4 2 4 2 9 2" xfId="13063" xr:uid="{3B452E33-09C4-45DC-B91E-D9A6D304B500}"/>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EE4D8C48-9768-48CB-9611-E7C8DE6BB1A4}"/>
    <cellStyle name="Comma 4 2 4 3 2 3" xfId="11403" xr:uid="{1DEDC751-BFDE-49F9-9099-71A0ED9D8051}"/>
    <cellStyle name="Comma 4 2 4 3 3" xfId="5026" xr:uid="{00000000-0005-0000-0000-0000D0080000}"/>
    <cellStyle name="Comma 4 2 4 3 3 2" xfId="13476" xr:uid="{62D28414-8096-408D-9AC5-C3BD80DBDF3A}"/>
    <cellStyle name="Comma 4 2 4 3 4" xfId="9258" xr:uid="{B745BAB9-2BDC-4406-8C49-3E97035A5C45}"/>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3948301E-7D6C-4A2C-B6FF-F1C6E59B7F46}"/>
    <cellStyle name="Comma 4 2 4 4 2 3" xfId="11816" xr:uid="{A5DC4C0F-DE09-44BE-A3E4-8FD70317DA9E}"/>
    <cellStyle name="Comma 4 2 4 4 3" xfId="5439" xr:uid="{00000000-0005-0000-0000-0000D4080000}"/>
    <cellStyle name="Comma 4 2 4 4 3 2" xfId="13889" xr:uid="{ACAB76BE-D1C1-46E3-9276-179D36849F1E}"/>
    <cellStyle name="Comma 4 2 4 4 4" xfId="9671" xr:uid="{A25E1CA4-7DE0-4B7F-8373-235AEDB0259D}"/>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05876298-F3D0-47A2-B1F4-EBCE0A328663}"/>
    <cellStyle name="Comma 4 2 4 5 2 3" xfId="12229" xr:uid="{EC91EF49-CE07-4E49-ADAB-6476C9913226}"/>
    <cellStyle name="Comma 4 2 4 5 3" xfId="5852" xr:uid="{00000000-0005-0000-0000-0000D8080000}"/>
    <cellStyle name="Comma 4 2 4 5 3 2" xfId="14302" xr:uid="{EFCDEE38-B638-4532-8D02-D827704E7121}"/>
    <cellStyle name="Comma 4 2 4 5 4" xfId="10084" xr:uid="{ECC207D8-097B-4BEE-929A-EAAE30612C9E}"/>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BE51ED87-B852-4688-ABC3-0BC6AB6DDDBB}"/>
    <cellStyle name="Comma 4 2 4 6 2 3" xfId="12642" xr:uid="{9824BD0A-DD81-4CAD-8C8A-B21791EA1BEB}"/>
    <cellStyle name="Comma 4 2 4 6 3" xfId="6265" xr:uid="{00000000-0005-0000-0000-0000DC080000}"/>
    <cellStyle name="Comma 4 2 4 6 3 2" xfId="14715" xr:uid="{7F591896-BE03-43F1-8738-86963F0041BE}"/>
    <cellStyle name="Comma 4 2 4 6 4" xfId="10497" xr:uid="{45740D37-DC3B-469B-8E24-AED758D6A383}"/>
    <cellStyle name="Comma 4 2 4 7" xfId="2394" xr:uid="{00000000-0005-0000-0000-0000DD080000}"/>
    <cellStyle name="Comma 4 2 4 7 2" xfId="6678" xr:uid="{00000000-0005-0000-0000-0000DE080000}"/>
    <cellStyle name="Comma 4 2 4 7 2 2" xfId="15128" xr:uid="{318C4966-9DC9-48E2-B809-B2E82267ED84}"/>
    <cellStyle name="Comma 4 2 4 7 3" xfId="10910" xr:uid="{A70B474A-B008-4406-BD76-AA50785E382D}"/>
    <cellStyle name="Comma 4 2 4 8" xfId="2369" xr:uid="{00000000-0005-0000-0000-0000DF080000}"/>
    <cellStyle name="Comma 4 2 4 9" xfId="2772" xr:uid="{00000000-0005-0000-0000-0000E0080000}"/>
    <cellStyle name="Comma 4 2 4 9 2" xfId="6995" xr:uid="{00000000-0005-0000-0000-0000E1080000}"/>
    <cellStyle name="Comma 4 2 4 9 2 2" xfId="15445" xr:uid="{464E2C3B-6563-467F-BFAF-7D05171C04A1}"/>
    <cellStyle name="Comma 4 2 4 9 3" xfId="11227" xr:uid="{F60BD781-2A6B-4623-B054-1574CF8875F4}"/>
    <cellStyle name="Comma 4 2 5" xfId="142" xr:uid="{00000000-0005-0000-0000-0000E2080000}"/>
    <cellStyle name="Comma 4 2 5 10" xfId="8846" xr:uid="{B153B987-C376-4DB8-95C6-A32DBDD3EE89}"/>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52FE84DB-BE6A-46FF-86B7-BDF6395FA849}"/>
    <cellStyle name="Comma 4 2 5 2 2 3" xfId="11405" xr:uid="{EB222025-B03A-463C-B111-28DB9B4426F6}"/>
    <cellStyle name="Comma 4 2 5 2 3" xfId="5028" xr:uid="{00000000-0005-0000-0000-0000E6080000}"/>
    <cellStyle name="Comma 4 2 5 2 3 2" xfId="13478" xr:uid="{A1F54CEC-7F6E-497E-8BE0-00DF1D32B654}"/>
    <cellStyle name="Comma 4 2 5 2 4" xfId="9260" xr:uid="{3C412EF2-4E03-4AF0-86C8-3C26843D4CBE}"/>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FBCC7302-8E69-4FC0-AB8B-A84CD244A787}"/>
    <cellStyle name="Comma 4 2 5 3 2 3" xfId="11818" xr:uid="{A1489ADA-F966-4C56-B66F-069E898E4BAC}"/>
    <cellStyle name="Comma 4 2 5 3 3" xfId="5441" xr:uid="{00000000-0005-0000-0000-0000EA080000}"/>
    <cellStyle name="Comma 4 2 5 3 3 2" xfId="13891" xr:uid="{ABBD3A9E-B60A-4ADB-909C-E6BC5EB81F8D}"/>
    <cellStyle name="Comma 4 2 5 3 4" xfId="9673" xr:uid="{7D41C1F8-E1D6-4E5F-8504-292B0427917D}"/>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2FCCBA30-E5C5-4B7A-B3F5-A234816E9123}"/>
    <cellStyle name="Comma 4 2 5 4 2 3" xfId="12231" xr:uid="{7B6342B2-D40D-4AD2-8602-D8FBAE9DEA2A}"/>
    <cellStyle name="Comma 4 2 5 4 3" xfId="5854" xr:uid="{00000000-0005-0000-0000-0000EE080000}"/>
    <cellStyle name="Comma 4 2 5 4 3 2" xfId="14304" xr:uid="{CF443515-D497-468B-A909-76451EA7DF00}"/>
    <cellStyle name="Comma 4 2 5 4 4" xfId="10086" xr:uid="{8B7357C6-D086-4EBF-82AD-24EDD0CE272C}"/>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29D7CAFD-16E1-4C35-89EE-5E0F24E282E3}"/>
    <cellStyle name="Comma 4 2 5 5 2 3" xfId="12644" xr:uid="{B509B5A5-5F07-42AC-8498-9FB5E2B7E412}"/>
    <cellStyle name="Comma 4 2 5 5 3" xfId="6267" xr:uid="{00000000-0005-0000-0000-0000F2080000}"/>
    <cellStyle name="Comma 4 2 5 5 3 2" xfId="14717" xr:uid="{0C145D5D-6171-4482-8CCD-4506E5C71868}"/>
    <cellStyle name="Comma 4 2 5 5 4" xfId="10499" xr:uid="{67453FF6-B345-412A-A10C-5C19F8CC65B1}"/>
    <cellStyle name="Comma 4 2 5 6" xfId="2396" xr:uid="{00000000-0005-0000-0000-0000F3080000}"/>
    <cellStyle name="Comma 4 2 5 6 2" xfId="6680" xr:uid="{00000000-0005-0000-0000-0000F4080000}"/>
    <cellStyle name="Comma 4 2 5 6 2 2" xfId="15130" xr:uid="{564C808E-F973-403A-8FE2-F288350FB491}"/>
    <cellStyle name="Comma 4 2 5 6 3" xfId="10912" xr:uid="{27D473D0-F07B-4150-9D67-3A4B02BEE964}"/>
    <cellStyle name="Comma 4 2 5 7" xfId="2367" xr:uid="{00000000-0005-0000-0000-0000F5080000}"/>
    <cellStyle name="Comma 4 2 5 8" xfId="2774" xr:uid="{00000000-0005-0000-0000-0000F6080000}"/>
    <cellStyle name="Comma 4 2 5 8 2" xfId="6997" xr:uid="{00000000-0005-0000-0000-0000F7080000}"/>
    <cellStyle name="Comma 4 2 5 8 2 2" xfId="15447" xr:uid="{6066D3A0-83A1-4851-8F0D-3ABD19CAED72}"/>
    <cellStyle name="Comma 4 2 5 8 3" xfId="11229" xr:uid="{48EE83F3-8775-42EC-875D-1D3B4B5DC9D0}"/>
    <cellStyle name="Comma 4 2 5 9" xfId="4614" xr:uid="{00000000-0005-0000-0000-0000F8080000}"/>
    <cellStyle name="Comma 4 2 5 9 2" xfId="13064" xr:uid="{3467827D-39A5-41BF-B1D4-5F67FED5B6D7}"/>
    <cellStyle name="Comma 4 2 6" xfId="143" xr:uid="{00000000-0005-0000-0000-0000F9080000}"/>
    <cellStyle name="Comma 4 2 6 10" xfId="8847" xr:uid="{65AC1EF7-0D85-47C8-85A1-1E2AB8448F55}"/>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212D5CE7-00F1-4023-9514-2AFB4EDC270A}"/>
    <cellStyle name="Comma 4 2 6 2 2 3" xfId="11406" xr:uid="{53E59D94-2C8E-43BB-93A2-8D28E292922D}"/>
    <cellStyle name="Comma 4 2 6 2 3" xfId="5029" xr:uid="{00000000-0005-0000-0000-0000FD080000}"/>
    <cellStyle name="Comma 4 2 6 2 3 2" xfId="13479" xr:uid="{2649C926-7607-444E-810F-64307F417A8F}"/>
    <cellStyle name="Comma 4 2 6 2 4" xfId="9261" xr:uid="{AD359396-50F6-4067-8E41-FADD16DBC894}"/>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D0EB824A-DABD-4AAE-A954-250437AF6067}"/>
    <cellStyle name="Comma 4 2 6 3 2 3" xfId="11819" xr:uid="{1D7D2569-8DE1-4AB3-A6E7-BE89E10BE175}"/>
    <cellStyle name="Comma 4 2 6 3 3" xfId="5442" xr:uid="{00000000-0005-0000-0000-000001090000}"/>
    <cellStyle name="Comma 4 2 6 3 3 2" xfId="13892" xr:uid="{C7CA2F99-7477-4299-B4E9-C1C93D4C52EB}"/>
    <cellStyle name="Comma 4 2 6 3 4" xfId="9674" xr:uid="{E6FD1544-83B2-4F4B-ADBB-54C7C19BE811}"/>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E5C9E5C1-FDFD-4D0D-9B3A-4F9147531D61}"/>
    <cellStyle name="Comma 4 2 6 4 2 3" xfId="12232" xr:uid="{C0F7EA93-272C-420F-9ECA-254759D4246F}"/>
    <cellStyle name="Comma 4 2 6 4 3" xfId="5855" xr:uid="{00000000-0005-0000-0000-000005090000}"/>
    <cellStyle name="Comma 4 2 6 4 3 2" xfId="14305" xr:uid="{8497720B-15EB-4C79-8B6F-95562279DEF3}"/>
    <cellStyle name="Comma 4 2 6 4 4" xfId="10087" xr:uid="{4D0E7D52-7E68-4AD2-B904-5E2EA5DCA9A1}"/>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999E4BE3-81E1-4679-AD90-46066DE8B326}"/>
    <cellStyle name="Comma 4 2 6 5 2 3" xfId="12645" xr:uid="{7CF6252F-2E33-4FC2-8AF4-922ACC51ED20}"/>
    <cellStyle name="Comma 4 2 6 5 3" xfId="6268" xr:uid="{00000000-0005-0000-0000-000009090000}"/>
    <cellStyle name="Comma 4 2 6 5 3 2" xfId="14718" xr:uid="{7F22FB83-946F-47ED-8EDB-84CA7BE05A81}"/>
    <cellStyle name="Comma 4 2 6 5 4" xfId="10500" xr:uid="{A48FF1FE-F85A-4E77-8B23-627421807C33}"/>
    <cellStyle name="Comma 4 2 6 6" xfId="2397" xr:uid="{00000000-0005-0000-0000-00000A090000}"/>
    <cellStyle name="Comma 4 2 6 6 2" xfId="6681" xr:uid="{00000000-0005-0000-0000-00000B090000}"/>
    <cellStyle name="Comma 4 2 6 6 2 2" xfId="15131" xr:uid="{4ED5C15C-2A4C-4635-8CBB-251036223799}"/>
    <cellStyle name="Comma 4 2 6 6 3" xfId="10913" xr:uid="{8DE79C77-F29E-4E6F-8729-456543EC3F45}"/>
    <cellStyle name="Comma 4 2 6 7" xfId="2366" xr:uid="{00000000-0005-0000-0000-00000C090000}"/>
    <cellStyle name="Comma 4 2 6 8" xfId="2775" xr:uid="{00000000-0005-0000-0000-00000D090000}"/>
    <cellStyle name="Comma 4 2 6 8 2" xfId="6998" xr:uid="{00000000-0005-0000-0000-00000E090000}"/>
    <cellStyle name="Comma 4 2 6 8 2 2" xfId="15448" xr:uid="{B223B9D7-5C42-4EB8-B0D8-34643B486979}"/>
    <cellStyle name="Comma 4 2 6 8 3" xfId="11230" xr:uid="{4E1141DF-CAC9-49C5-A034-C3155CDC0A52}"/>
    <cellStyle name="Comma 4 2 6 9" xfId="4615" xr:uid="{00000000-0005-0000-0000-00000F090000}"/>
    <cellStyle name="Comma 4 2 6 9 2" xfId="13065" xr:uid="{026278CC-481B-40F7-8708-FC02D8D0F92C}"/>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0626AB3D-3425-4935-BBB6-F6A36A292FFD}"/>
    <cellStyle name="Comma 4 3 2 10 3" xfId="11231" xr:uid="{95B0C4FA-F1A3-4C71-B996-8BC48E5AAC84}"/>
    <cellStyle name="Comma 4 3 2 11" xfId="4616" xr:uid="{00000000-0005-0000-0000-000014090000}"/>
    <cellStyle name="Comma 4 3 2 11 2" xfId="13066" xr:uid="{DC8B8AAF-1F0E-4AD0-AD53-105AC990C558}"/>
    <cellStyle name="Comma 4 3 2 12" xfId="8848" xr:uid="{368B49F1-C9E8-46EB-9877-50C0913AEA42}"/>
    <cellStyle name="Comma 4 3 2 2" xfId="146" xr:uid="{00000000-0005-0000-0000-000015090000}"/>
    <cellStyle name="Comma 4 3 2 2 10" xfId="4617" xr:uid="{00000000-0005-0000-0000-000016090000}"/>
    <cellStyle name="Comma 4 3 2 2 10 2" xfId="13067" xr:uid="{77FCD9C5-822B-44D8-831C-28C4E8217E56}"/>
    <cellStyle name="Comma 4 3 2 2 11" xfId="8849" xr:uid="{3EF58E35-0EF7-4A2F-A1CF-7EF73F9A39EF}"/>
    <cellStyle name="Comma 4 3 2 2 2" xfId="147" xr:uid="{00000000-0005-0000-0000-000017090000}"/>
    <cellStyle name="Comma 4 3 2 2 2 10" xfId="8850" xr:uid="{3D198C2A-5B0D-4B84-83F0-845A2D41191D}"/>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F8E7E826-CBFB-4CD7-984D-4DDF6F896BBD}"/>
    <cellStyle name="Comma 4 3 2 2 2 2 2 3" xfId="11409" xr:uid="{44ABAFA1-F7A6-4146-A14D-B221AE2CF634}"/>
    <cellStyle name="Comma 4 3 2 2 2 2 3" xfId="5032" xr:uid="{00000000-0005-0000-0000-00001B090000}"/>
    <cellStyle name="Comma 4 3 2 2 2 2 3 2" xfId="13482" xr:uid="{90879366-EFFC-42E3-BB1A-5652E85C90C8}"/>
    <cellStyle name="Comma 4 3 2 2 2 2 4" xfId="9264" xr:uid="{D5425CB0-90D9-4C2D-BF41-88A2B4E8D86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7463EE0B-E542-413E-91B8-4FFC728D07FD}"/>
    <cellStyle name="Comma 4 3 2 2 2 3 2 3" xfId="11822" xr:uid="{6353F44A-7222-4DAD-9BDE-B791FD466343}"/>
    <cellStyle name="Comma 4 3 2 2 2 3 3" xfId="5445" xr:uid="{00000000-0005-0000-0000-00001F090000}"/>
    <cellStyle name="Comma 4 3 2 2 2 3 3 2" xfId="13895" xr:uid="{77F82196-BF98-43E0-B4D1-E70CB28F600A}"/>
    <cellStyle name="Comma 4 3 2 2 2 3 4" xfId="9677" xr:uid="{FC432331-B027-4FB1-A191-451E1451CD7D}"/>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8893D5DF-E15F-4862-9212-D3A573FFE504}"/>
    <cellStyle name="Comma 4 3 2 2 2 4 2 3" xfId="12235" xr:uid="{68E29A5F-A8B8-408A-BA08-86BF0C9947F8}"/>
    <cellStyle name="Comma 4 3 2 2 2 4 3" xfId="5858" xr:uid="{00000000-0005-0000-0000-000023090000}"/>
    <cellStyle name="Comma 4 3 2 2 2 4 3 2" xfId="14308" xr:uid="{ECCA965F-30F7-4CAE-B1B4-6FD4CC49519D}"/>
    <cellStyle name="Comma 4 3 2 2 2 4 4" xfId="10090" xr:uid="{4C5F3803-3477-42E0-9A83-81CE4011F382}"/>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8BDBF14F-2129-4601-910E-80816D6491AA}"/>
    <cellStyle name="Comma 4 3 2 2 2 5 2 3" xfId="12648" xr:uid="{07A0AA88-07D2-48AB-B8D6-FCE749939001}"/>
    <cellStyle name="Comma 4 3 2 2 2 5 3" xfId="6271" xr:uid="{00000000-0005-0000-0000-000027090000}"/>
    <cellStyle name="Comma 4 3 2 2 2 5 3 2" xfId="14721" xr:uid="{0C4342D6-1966-4216-9106-0A5F06500529}"/>
    <cellStyle name="Comma 4 3 2 2 2 5 4" xfId="10503" xr:uid="{18A03E09-0D46-4EDC-BB95-EFB2647D0664}"/>
    <cellStyle name="Comma 4 3 2 2 2 6" xfId="2400" xr:uid="{00000000-0005-0000-0000-000028090000}"/>
    <cellStyle name="Comma 4 3 2 2 2 6 2" xfId="6684" xr:uid="{00000000-0005-0000-0000-000029090000}"/>
    <cellStyle name="Comma 4 3 2 2 2 6 2 2" xfId="15134" xr:uid="{423064C0-F949-4E97-B23F-A6D57BE78B78}"/>
    <cellStyle name="Comma 4 3 2 2 2 6 3" xfId="10916" xr:uid="{0AFFB1E0-6236-4B59-A816-75E9F6A3D2A0}"/>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F7B0D547-CB2B-43A0-91D8-87E9BCD86A85}"/>
    <cellStyle name="Comma 4 3 2 2 2 8 3" xfId="11233" xr:uid="{223DA4F2-C25E-44E5-B720-0952D598269B}"/>
    <cellStyle name="Comma 4 3 2 2 2 9" xfId="4618" xr:uid="{00000000-0005-0000-0000-00002D090000}"/>
    <cellStyle name="Comma 4 3 2 2 2 9 2" xfId="13068" xr:uid="{B4E417B7-B3A1-417A-85DC-CA06FE7954C2}"/>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B0783E7C-BCEF-46D4-B800-2A51913A4696}"/>
    <cellStyle name="Comma 4 3 2 2 3 2 3" xfId="11408" xr:uid="{0CD1C1DD-0D81-4946-B339-5C7EB7A06B11}"/>
    <cellStyle name="Comma 4 3 2 2 3 3" xfId="5031" xr:uid="{00000000-0005-0000-0000-000031090000}"/>
    <cellStyle name="Comma 4 3 2 2 3 3 2" xfId="13481" xr:uid="{1C9CB99D-4587-4427-B854-25E5E7AB516E}"/>
    <cellStyle name="Comma 4 3 2 2 3 4" xfId="9263" xr:uid="{3E85BF25-334A-4F97-B113-92D9F134A279}"/>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F962393F-5479-4C44-AEE5-29C5B8B2FE9F}"/>
    <cellStyle name="Comma 4 3 2 2 4 2 3" xfId="11821" xr:uid="{24CD8278-056E-437F-9931-013010A4CA06}"/>
    <cellStyle name="Comma 4 3 2 2 4 3" xfId="5444" xr:uid="{00000000-0005-0000-0000-000035090000}"/>
    <cellStyle name="Comma 4 3 2 2 4 3 2" xfId="13894" xr:uid="{1D72C55C-2188-4B6F-81DA-CEC32E8F6DF9}"/>
    <cellStyle name="Comma 4 3 2 2 4 4" xfId="9676" xr:uid="{CC6B05BA-7874-444A-8BE3-79DBB5E7A37C}"/>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DD957F41-9F02-4F91-8916-D9B54D53284D}"/>
    <cellStyle name="Comma 4 3 2 2 5 2 3" xfId="12234" xr:uid="{F0C3D4FB-F3E8-436E-B301-9C865162B99F}"/>
    <cellStyle name="Comma 4 3 2 2 5 3" xfId="5857" xr:uid="{00000000-0005-0000-0000-000039090000}"/>
    <cellStyle name="Comma 4 3 2 2 5 3 2" xfId="14307" xr:uid="{8129278F-E86D-42C5-9245-3BCCB51D7A99}"/>
    <cellStyle name="Comma 4 3 2 2 5 4" xfId="10089" xr:uid="{7CF090D2-0F50-4B7D-B32C-8A2748A28ACC}"/>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19FF6C63-7B96-41CC-B21C-B453C080C4CE}"/>
    <cellStyle name="Comma 4 3 2 2 6 2 3" xfId="12647" xr:uid="{9CBFFDE0-EF4E-4335-BC48-C497D2A3D910}"/>
    <cellStyle name="Comma 4 3 2 2 6 3" xfId="6270" xr:uid="{00000000-0005-0000-0000-00003D090000}"/>
    <cellStyle name="Comma 4 3 2 2 6 3 2" xfId="14720" xr:uid="{41D7B3C7-8581-4827-94CE-A6E5532930B5}"/>
    <cellStyle name="Comma 4 3 2 2 6 4" xfId="10502" xr:uid="{8CACA0A2-195E-4E42-AD33-E9105772E162}"/>
    <cellStyle name="Comma 4 3 2 2 7" xfId="2399" xr:uid="{00000000-0005-0000-0000-00003E090000}"/>
    <cellStyle name="Comma 4 3 2 2 7 2" xfId="6683" xr:uid="{00000000-0005-0000-0000-00003F090000}"/>
    <cellStyle name="Comma 4 3 2 2 7 2 2" xfId="15133" xr:uid="{7FE749B0-D27F-463E-8E68-ED657CE03D72}"/>
    <cellStyle name="Comma 4 3 2 2 7 3" xfId="10915" xr:uid="{CE39AF31-8EAE-48D8-AF82-6ED0D7F8FFC1}"/>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88278A9D-5D7F-435D-B234-85BFC60C9500}"/>
    <cellStyle name="Comma 4 3 2 2 9 3" xfId="11232" xr:uid="{5D768EA2-628C-4723-9516-0E89EFC9C023}"/>
    <cellStyle name="Comma 4 3 2 3" xfId="148" xr:uid="{00000000-0005-0000-0000-000043090000}"/>
    <cellStyle name="Comma 4 3 2 3 10" xfId="8851" xr:uid="{467D27C3-B462-4A0C-805B-472897185B7E}"/>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9DC89F6D-E051-4A37-8174-8CDD275876A7}"/>
    <cellStyle name="Comma 4 3 2 3 2 2 3" xfId="11410" xr:uid="{B0C8DDA7-3180-4AD6-9198-7B44ABA02B6D}"/>
    <cellStyle name="Comma 4 3 2 3 2 3" xfId="5033" xr:uid="{00000000-0005-0000-0000-000047090000}"/>
    <cellStyle name="Comma 4 3 2 3 2 3 2" xfId="13483" xr:uid="{DA447911-4388-47B4-9AFE-927441BB1906}"/>
    <cellStyle name="Comma 4 3 2 3 2 4" xfId="9265" xr:uid="{AF5E6197-A80D-4A66-A24D-9E36A2F119A0}"/>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283326B1-273A-4EA1-BEAE-C9E1E42B6B45}"/>
    <cellStyle name="Comma 4 3 2 3 3 2 3" xfId="11823" xr:uid="{062A5036-8636-4EED-B0E3-1901E8075367}"/>
    <cellStyle name="Comma 4 3 2 3 3 3" xfId="5446" xr:uid="{00000000-0005-0000-0000-00004B090000}"/>
    <cellStyle name="Comma 4 3 2 3 3 3 2" xfId="13896" xr:uid="{DC3E66ED-27C1-4795-A554-AFF14A14D4E5}"/>
    <cellStyle name="Comma 4 3 2 3 3 4" xfId="9678" xr:uid="{C8BAB2E7-CF32-4814-AAC1-5E5AF9F080BC}"/>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79EE92B9-09F8-4815-BF54-6262B48FF290}"/>
    <cellStyle name="Comma 4 3 2 3 4 2 3" xfId="12236" xr:uid="{212302D0-9835-45B3-B472-EBC7F12D6CD3}"/>
    <cellStyle name="Comma 4 3 2 3 4 3" xfId="5859" xr:uid="{00000000-0005-0000-0000-00004F090000}"/>
    <cellStyle name="Comma 4 3 2 3 4 3 2" xfId="14309" xr:uid="{3CCDF3A1-BCE1-4073-A1CF-A71CD2204D6D}"/>
    <cellStyle name="Comma 4 3 2 3 4 4" xfId="10091" xr:uid="{B6692E5E-695B-4264-9D77-F7AA67E792B2}"/>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261D8F98-6CAF-48F4-AA38-E2AB7661A9CD}"/>
    <cellStyle name="Comma 4 3 2 3 5 2 3" xfId="12649" xr:uid="{89BA6001-A154-42A7-80F5-0C5A456D720C}"/>
    <cellStyle name="Comma 4 3 2 3 5 3" xfId="6272" xr:uid="{00000000-0005-0000-0000-000053090000}"/>
    <cellStyle name="Comma 4 3 2 3 5 3 2" xfId="14722" xr:uid="{B8B6E53F-D895-4D95-A59B-96EE5D5B873E}"/>
    <cellStyle name="Comma 4 3 2 3 5 4" xfId="10504" xr:uid="{43BEFEC1-D2B4-4FD8-88E4-48CBF0B347B2}"/>
    <cellStyle name="Comma 4 3 2 3 6" xfId="2401" xr:uid="{00000000-0005-0000-0000-000054090000}"/>
    <cellStyle name="Comma 4 3 2 3 6 2" xfId="6685" xr:uid="{00000000-0005-0000-0000-000055090000}"/>
    <cellStyle name="Comma 4 3 2 3 6 2 2" xfId="15135" xr:uid="{404C264B-F45B-479C-8EC0-C1D01CCA1176}"/>
    <cellStyle name="Comma 4 3 2 3 6 3" xfId="10917" xr:uid="{48E0FEDE-447A-494A-9C25-00AD284E50FB}"/>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F5579F3F-3F72-4F1A-A9C5-6BC670219A18}"/>
    <cellStyle name="Comma 4 3 2 3 8 3" xfId="11234" xr:uid="{ECFF928D-C1CB-4602-BF68-10B534D07698}"/>
    <cellStyle name="Comma 4 3 2 3 9" xfId="4619" xr:uid="{00000000-0005-0000-0000-000059090000}"/>
    <cellStyle name="Comma 4 3 2 3 9 2" xfId="13069" xr:uid="{0AE8C74C-8C31-44C9-B2D9-40731BA2E17F}"/>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2248CA87-8CB8-47A1-A721-696D83050534}"/>
    <cellStyle name="Comma 4 3 2 4 2 3" xfId="11407" xr:uid="{528CCD16-A61C-489E-92A3-AD44F8CA666A}"/>
    <cellStyle name="Comma 4 3 2 4 3" xfId="5030" xr:uid="{00000000-0005-0000-0000-00005D090000}"/>
    <cellStyle name="Comma 4 3 2 4 3 2" xfId="13480" xr:uid="{ED79AE03-DC19-4E63-B83E-727F5C1A9817}"/>
    <cellStyle name="Comma 4 3 2 4 4" xfId="9262" xr:uid="{01B9FC5A-E933-4D4B-8486-FBD2ECB172EE}"/>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748A254D-450B-4163-A1E0-09345BC762EA}"/>
    <cellStyle name="Comma 4 3 2 5 2 3" xfId="11820" xr:uid="{EB524E11-ABDA-44DD-95C9-405AF1C07F25}"/>
    <cellStyle name="Comma 4 3 2 5 3" xfId="5443" xr:uid="{00000000-0005-0000-0000-000061090000}"/>
    <cellStyle name="Comma 4 3 2 5 3 2" xfId="13893" xr:uid="{A473A13E-B57B-4C0D-A019-53E79DFFC44D}"/>
    <cellStyle name="Comma 4 3 2 5 4" xfId="9675" xr:uid="{8B739F7F-7A90-4026-93A1-911818887CFF}"/>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14925E06-F714-477F-A2F4-0FD468D791FF}"/>
    <cellStyle name="Comma 4 3 2 6 2 3" xfId="12233" xr:uid="{AA72E30F-FB6B-47E5-B4AC-D76726C54AD1}"/>
    <cellStyle name="Comma 4 3 2 6 3" xfId="5856" xr:uid="{00000000-0005-0000-0000-000065090000}"/>
    <cellStyle name="Comma 4 3 2 6 3 2" xfId="14306" xr:uid="{CBDD00DD-BF36-4A7F-8CC6-C0FC2C2EB8F0}"/>
    <cellStyle name="Comma 4 3 2 6 4" xfId="10088" xr:uid="{A789BA0B-5580-448A-B420-4A4EA09DD55D}"/>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B7BFE64A-48E8-456B-BCD7-44716B6602C5}"/>
    <cellStyle name="Comma 4 3 2 7 2 3" xfId="12646" xr:uid="{14F94363-6220-4DFA-88C2-25C67965EE7E}"/>
    <cellStyle name="Comma 4 3 2 7 3" xfId="6269" xr:uid="{00000000-0005-0000-0000-000069090000}"/>
    <cellStyle name="Comma 4 3 2 7 3 2" xfId="14719" xr:uid="{2BF58F8F-7565-4C76-A662-8A970FACB651}"/>
    <cellStyle name="Comma 4 3 2 7 4" xfId="10501" xr:uid="{5EB0AC72-0D84-4FD9-B09C-1E78B31FB476}"/>
    <cellStyle name="Comma 4 3 2 8" xfId="2398" xr:uid="{00000000-0005-0000-0000-00006A090000}"/>
    <cellStyle name="Comma 4 3 2 8 2" xfId="6682" xr:uid="{00000000-0005-0000-0000-00006B090000}"/>
    <cellStyle name="Comma 4 3 2 8 2 2" xfId="15132" xr:uid="{69444E11-192A-4D35-A5C2-37A591DE7E8F}"/>
    <cellStyle name="Comma 4 3 2 8 3" xfId="10914" xr:uid="{B7F31134-6D58-41BA-B8AB-B05C292F4710}"/>
    <cellStyle name="Comma 4 3 2 9" xfId="2365" xr:uid="{00000000-0005-0000-0000-00006C090000}"/>
    <cellStyle name="Comma 4 3 3" xfId="149" xr:uid="{00000000-0005-0000-0000-00006D090000}"/>
    <cellStyle name="Comma 4 3 3 10" xfId="4620" xr:uid="{00000000-0005-0000-0000-00006E090000}"/>
    <cellStyle name="Comma 4 3 3 10 2" xfId="13070" xr:uid="{6F377A7D-5B3B-47B0-BF6B-E2342C161360}"/>
    <cellStyle name="Comma 4 3 3 11" xfId="8852" xr:uid="{427C3B98-1A26-4D38-B7D4-F8F4EC9FE36E}"/>
    <cellStyle name="Comma 4 3 3 2" xfId="150" xr:uid="{00000000-0005-0000-0000-00006F090000}"/>
    <cellStyle name="Comma 4 3 3 2 10" xfId="8853" xr:uid="{D83A7D34-5FE3-43D4-AE3B-D5EA5B55ECEC}"/>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2BEBDD89-7B5D-4723-BCD5-7B34E77E07AE}"/>
    <cellStyle name="Comma 4 3 3 2 2 2 3" xfId="11412" xr:uid="{FA1B9BB3-76FF-469E-95E9-8B97AD5E03B9}"/>
    <cellStyle name="Comma 4 3 3 2 2 3" xfId="5035" xr:uid="{00000000-0005-0000-0000-000073090000}"/>
    <cellStyle name="Comma 4 3 3 2 2 3 2" xfId="13485" xr:uid="{69FCD6BA-9BBB-4D54-B017-473BAD3CD19F}"/>
    <cellStyle name="Comma 4 3 3 2 2 4" xfId="9267" xr:uid="{AA96A6A7-CE49-419D-B90A-4414E899BF0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914C0AA5-5C83-45A7-932C-25DE30F3716A}"/>
    <cellStyle name="Comma 4 3 3 2 3 2 3" xfId="11825" xr:uid="{516141E8-8AAD-434B-B00D-60814982B78F}"/>
    <cellStyle name="Comma 4 3 3 2 3 3" xfId="5448" xr:uid="{00000000-0005-0000-0000-000077090000}"/>
    <cellStyle name="Comma 4 3 3 2 3 3 2" xfId="13898" xr:uid="{75F8DD84-EDAB-4FBE-B9AC-202DDD64B527}"/>
    <cellStyle name="Comma 4 3 3 2 3 4" xfId="9680" xr:uid="{33762CAA-D4F7-4471-AFBA-FFBB04ED1193}"/>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DD963033-7934-4D76-B092-844C67531178}"/>
    <cellStyle name="Comma 4 3 3 2 4 2 3" xfId="12238" xr:uid="{0E4D12FA-DC8D-403F-ACC8-9E58796BB1E0}"/>
    <cellStyle name="Comma 4 3 3 2 4 3" xfId="5861" xr:uid="{00000000-0005-0000-0000-00007B090000}"/>
    <cellStyle name="Comma 4 3 3 2 4 3 2" xfId="14311" xr:uid="{D3CD6AFE-AFBA-42DF-90A6-8C5787065389}"/>
    <cellStyle name="Comma 4 3 3 2 4 4" xfId="10093" xr:uid="{C268E385-BA72-4EB4-B11E-C6ADBFB87CA5}"/>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A7DEF3BC-79BA-4FF2-8B6E-49A6D5863FB0}"/>
    <cellStyle name="Comma 4 3 3 2 5 2 3" xfId="12651" xr:uid="{249E88DF-0103-42E2-9A93-64324F7C3A0B}"/>
    <cellStyle name="Comma 4 3 3 2 5 3" xfId="6274" xr:uid="{00000000-0005-0000-0000-00007F090000}"/>
    <cellStyle name="Comma 4 3 3 2 5 3 2" xfId="14724" xr:uid="{E8CF6A35-F391-4B6E-AFED-1B2B44E55855}"/>
    <cellStyle name="Comma 4 3 3 2 5 4" xfId="10506" xr:uid="{9F866477-8BEF-4556-9100-F82953A91E94}"/>
    <cellStyle name="Comma 4 3 3 2 6" xfId="2403" xr:uid="{00000000-0005-0000-0000-000080090000}"/>
    <cellStyle name="Comma 4 3 3 2 6 2" xfId="6687" xr:uid="{00000000-0005-0000-0000-000081090000}"/>
    <cellStyle name="Comma 4 3 3 2 6 2 2" xfId="15137" xr:uid="{A0D14AD2-DFF8-41E2-A1E7-6F66A3C6FFA0}"/>
    <cellStyle name="Comma 4 3 3 2 6 3" xfId="10919" xr:uid="{A16269E4-BF0B-44F1-B024-6EFE395D6A74}"/>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FD5FA354-AB9A-4A5A-8F63-ABB48E5FD3B0}"/>
    <cellStyle name="Comma 4 3 3 2 8 3" xfId="11236" xr:uid="{A9F3C0ED-65FC-4C2A-BA8C-437ADD28AC74}"/>
    <cellStyle name="Comma 4 3 3 2 9" xfId="4621" xr:uid="{00000000-0005-0000-0000-000085090000}"/>
    <cellStyle name="Comma 4 3 3 2 9 2" xfId="13071" xr:uid="{2BDE4BB4-16EA-4529-B378-DC86E2DACEB7}"/>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C1CA12E9-11C2-416E-B3DA-BCD6CEBDBDD7}"/>
    <cellStyle name="Comma 4 3 3 3 2 3" xfId="11411" xr:uid="{EE000138-8679-4478-BEE3-827BE81EADE3}"/>
    <cellStyle name="Comma 4 3 3 3 3" xfId="5034" xr:uid="{00000000-0005-0000-0000-000089090000}"/>
    <cellStyle name="Comma 4 3 3 3 3 2" xfId="13484" xr:uid="{D27619C6-83F6-4322-84CC-174A881B9BAF}"/>
    <cellStyle name="Comma 4 3 3 3 4" xfId="9266" xr:uid="{6D910F66-899D-4E61-BFF7-9152546E6CE2}"/>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B07287E4-8281-443D-A268-AEE839F7A3D4}"/>
    <cellStyle name="Comma 4 3 3 4 2 3" xfId="11824" xr:uid="{DA829E6B-D8F2-421C-B46D-18E875892A7F}"/>
    <cellStyle name="Comma 4 3 3 4 3" xfId="5447" xr:uid="{00000000-0005-0000-0000-00008D090000}"/>
    <cellStyle name="Comma 4 3 3 4 3 2" xfId="13897" xr:uid="{556347BE-0CFF-4377-A54D-CD7377BA6C6E}"/>
    <cellStyle name="Comma 4 3 3 4 4" xfId="9679" xr:uid="{438455D7-A507-48B0-8793-7F2359DDF53A}"/>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F03BA11B-C0AD-45D8-986A-0629684422DF}"/>
    <cellStyle name="Comma 4 3 3 5 2 3" xfId="12237" xr:uid="{444E5468-2A1E-468F-B483-8D1B4169D181}"/>
    <cellStyle name="Comma 4 3 3 5 3" xfId="5860" xr:uid="{00000000-0005-0000-0000-000091090000}"/>
    <cellStyle name="Comma 4 3 3 5 3 2" xfId="14310" xr:uid="{72A4AE6E-FB40-4F0C-9D31-AD5AEABF66D8}"/>
    <cellStyle name="Comma 4 3 3 5 4" xfId="10092" xr:uid="{5E1F0D5E-0FC3-424E-B8D0-0CB97912FD3D}"/>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D65692C3-2947-42B9-96CB-9A6D51D8914D}"/>
    <cellStyle name="Comma 4 3 3 6 2 3" xfId="12650" xr:uid="{BD965F4C-E9D0-4E28-9791-D020ED47B798}"/>
    <cellStyle name="Comma 4 3 3 6 3" xfId="6273" xr:uid="{00000000-0005-0000-0000-000095090000}"/>
    <cellStyle name="Comma 4 3 3 6 3 2" xfId="14723" xr:uid="{A0780BE8-1C0A-431D-98CB-84ED77E8500D}"/>
    <cellStyle name="Comma 4 3 3 6 4" xfId="10505" xr:uid="{571ACCA3-E099-4628-84DF-350A1587A143}"/>
    <cellStyle name="Comma 4 3 3 7" xfId="2402" xr:uid="{00000000-0005-0000-0000-000096090000}"/>
    <cellStyle name="Comma 4 3 3 7 2" xfId="6686" xr:uid="{00000000-0005-0000-0000-000097090000}"/>
    <cellStyle name="Comma 4 3 3 7 2 2" xfId="15136" xr:uid="{BFC760B0-19F3-4EBF-B573-D6F20EB0F898}"/>
    <cellStyle name="Comma 4 3 3 7 3" xfId="10918" xr:uid="{8BEE03EB-4E0F-4842-B778-ACB92297430B}"/>
    <cellStyle name="Comma 4 3 3 8" xfId="2361" xr:uid="{00000000-0005-0000-0000-000098090000}"/>
    <cellStyle name="Comma 4 3 3 9" xfId="2780" xr:uid="{00000000-0005-0000-0000-000099090000}"/>
    <cellStyle name="Comma 4 3 3 9 2" xfId="7003" xr:uid="{00000000-0005-0000-0000-00009A090000}"/>
    <cellStyle name="Comma 4 3 3 9 2 2" xfId="15453" xr:uid="{2743504C-91A4-45D2-B67E-9D1DD7846A7A}"/>
    <cellStyle name="Comma 4 3 3 9 3" xfId="11235" xr:uid="{2C700204-CD7C-43DB-A370-F7B9B85069E3}"/>
    <cellStyle name="Comma 4 3 4" xfId="151" xr:uid="{00000000-0005-0000-0000-00009B090000}"/>
    <cellStyle name="Comma 4 3 4 10" xfId="8854" xr:uid="{38F61E77-F8DB-4918-BF88-223D3A50003E}"/>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D56D8D3B-521D-4A9D-8F08-E1134A59449B}"/>
    <cellStyle name="Comma 4 3 4 2 2 3" xfId="11413" xr:uid="{C005563E-998D-4800-B893-0A49AB51B750}"/>
    <cellStyle name="Comma 4 3 4 2 3" xfId="5036" xr:uid="{00000000-0005-0000-0000-00009F090000}"/>
    <cellStyle name="Comma 4 3 4 2 3 2" xfId="13486" xr:uid="{C5A44005-758A-48A9-BB81-7ADC151D30C7}"/>
    <cellStyle name="Comma 4 3 4 2 4" xfId="9268" xr:uid="{6FC9FA12-8BAA-46BC-A28E-3A06BFBCEB5F}"/>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3DBCC54B-67AA-47FB-BD69-61AF910CDB9E}"/>
    <cellStyle name="Comma 4 3 4 3 2 3" xfId="11826" xr:uid="{3D8C0BB5-311B-42FA-8B59-5E85E10334DD}"/>
    <cellStyle name="Comma 4 3 4 3 3" xfId="5449" xr:uid="{00000000-0005-0000-0000-0000A3090000}"/>
    <cellStyle name="Comma 4 3 4 3 3 2" xfId="13899" xr:uid="{531FD9A1-57C3-46D4-8DD1-ACBC812289C0}"/>
    <cellStyle name="Comma 4 3 4 3 4" xfId="9681" xr:uid="{92C5F5E8-7E8A-4B43-9AF8-1B942FACEEAA}"/>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3DEF4CE9-C77E-4F8B-A9DD-3830474A3DBF}"/>
    <cellStyle name="Comma 4 3 4 4 2 3" xfId="12239" xr:uid="{C88FB093-477A-46E8-A9DB-AD61A3FECE74}"/>
    <cellStyle name="Comma 4 3 4 4 3" xfId="5862" xr:uid="{00000000-0005-0000-0000-0000A7090000}"/>
    <cellStyle name="Comma 4 3 4 4 3 2" xfId="14312" xr:uid="{B9CE60D3-749D-40F2-ADCD-70DE17DFA4A9}"/>
    <cellStyle name="Comma 4 3 4 4 4" xfId="10094" xr:uid="{FEB11239-3F12-4A41-9F77-A46836FA697A}"/>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561DB1A5-EB39-4684-8D72-AE5F17BECBC5}"/>
    <cellStyle name="Comma 4 3 4 5 2 3" xfId="12652" xr:uid="{4BC776EE-DEEF-4DF6-A234-602CE6D17FA6}"/>
    <cellStyle name="Comma 4 3 4 5 3" xfId="6275" xr:uid="{00000000-0005-0000-0000-0000AB090000}"/>
    <cellStyle name="Comma 4 3 4 5 3 2" xfId="14725" xr:uid="{6D521DD0-C172-4C4A-9C04-0AEA893DCCFF}"/>
    <cellStyle name="Comma 4 3 4 5 4" xfId="10507" xr:uid="{01B39BF7-7F6A-4C18-B24D-FE973FA24181}"/>
    <cellStyle name="Comma 4 3 4 6" xfId="2404" xr:uid="{00000000-0005-0000-0000-0000AC090000}"/>
    <cellStyle name="Comma 4 3 4 6 2" xfId="6688" xr:uid="{00000000-0005-0000-0000-0000AD090000}"/>
    <cellStyle name="Comma 4 3 4 6 2 2" xfId="15138" xr:uid="{9E808BC2-DF9A-4406-B068-B65EC181B751}"/>
    <cellStyle name="Comma 4 3 4 6 3" xfId="10920" xr:uid="{B547C52A-BCFB-4412-9032-EA7612E12AAD}"/>
    <cellStyle name="Comma 4 3 4 7" xfId="2700" xr:uid="{00000000-0005-0000-0000-0000AE090000}"/>
    <cellStyle name="Comma 4 3 4 8" xfId="2782" xr:uid="{00000000-0005-0000-0000-0000AF090000}"/>
    <cellStyle name="Comma 4 3 4 8 2" xfId="7005" xr:uid="{00000000-0005-0000-0000-0000B0090000}"/>
    <cellStyle name="Comma 4 3 4 8 2 2" xfId="15455" xr:uid="{3F65B921-22CF-4E6E-B779-747F5A721D8C}"/>
    <cellStyle name="Comma 4 3 4 8 3" xfId="11237" xr:uid="{02F4A68E-3CCA-44B2-ABBD-546583AED337}"/>
    <cellStyle name="Comma 4 3 4 9" xfId="4622" xr:uid="{00000000-0005-0000-0000-0000B1090000}"/>
    <cellStyle name="Comma 4 3 4 9 2" xfId="13072" xr:uid="{6952A9D2-B269-47DE-8EFA-02FF88A71672}"/>
    <cellStyle name="Comma 4 3 5" xfId="152" xr:uid="{00000000-0005-0000-0000-0000B2090000}"/>
    <cellStyle name="Comma 4 3 5 10" xfId="8855" xr:uid="{DC1C9BDA-E3DF-4F08-9659-D96B78169834}"/>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6508BCD2-9178-431F-BBCB-930CA853F785}"/>
    <cellStyle name="Comma 4 3 5 2 2 3" xfId="11414" xr:uid="{6B8DCE1C-DE01-4B47-8785-C3634DC89DC2}"/>
    <cellStyle name="Comma 4 3 5 2 3" xfId="5037" xr:uid="{00000000-0005-0000-0000-0000B6090000}"/>
    <cellStyle name="Comma 4 3 5 2 3 2" xfId="13487" xr:uid="{7CC45249-B5BB-4E67-AED8-ED94DEDF8926}"/>
    <cellStyle name="Comma 4 3 5 2 4" xfId="9269" xr:uid="{C85F3217-14DD-47E1-947E-53812CAF0F27}"/>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B9F94795-09CC-48E0-BF51-156F9A4E8412}"/>
    <cellStyle name="Comma 4 3 5 3 2 3" xfId="11827" xr:uid="{7B2E4F70-A5AD-4740-9FAC-CD70FE3100E3}"/>
    <cellStyle name="Comma 4 3 5 3 3" xfId="5450" xr:uid="{00000000-0005-0000-0000-0000BA090000}"/>
    <cellStyle name="Comma 4 3 5 3 3 2" xfId="13900" xr:uid="{2319ED48-4FAF-493E-AA71-520C53D148AB}"/>
    <cellStyle name="Comma 4 3 5 3 4" xfId="9682" xr:uid="{45A552A8-10B3-4E40-AB7D-E55135D3FD32}"/>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9BDA5AEB-60D2-449E-B8E8-02E93D303BCE}"/>
    <cellStyle name="Comma 4 3 5 4 2 3" xfId="12240" xr:uid="{8B3FF587-DF77-4903-80DA-E84B70AF6BCA}"/>
    <cellStyle name="Comma 4 3 5 4 3" xfId="5863" xr:uid="{00000000-0005-0000-0000-0000BE090000}"/>
    <cellStyle name="Comma 4 3 5 4 3 2" xfId="14313" xr:uid="{18707A20-F7EA-4FD2-AAFD-79E8EEB5A05D}"/>
    <cellStyle name="Comma 4 3 5 4 4" xfId="10095" xr:uid="{C86FAF95-8C70-4E0B-B4D9-1F746084EB8E}"/>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E5A16133-2B9B-4A64-904D-9E30B02BF6F6}"/>
    <cellStyle name="Comma 4 3 5 5 2 3" xfId="12653" xr:uid="{0A09BF2C-3B52-436C-A382-B1A9201D8C44}"/>
    <cellStyle name="Comma 4 3 5 5 3" xfId="6276" xr:uid="{00000000-0005-0000-0000-0000C2090000}"/>
    <cellStyle name="Comma 4 3 5 5 3 2" xfId="14726" xr:uid="{E7F68207-B29A-470E-A499-ACBD6875500A}"/>
    <cellStyle name="Comma 4 3 5 5 4" xfId="10508" xr:uid="{6C3AE836-09DA-4E8F-A1F5-AA2B4B459B70}"/>
    <cellStyle name="Comma 4 3 5 6" xfId="2405" xr:uid="{00000000-0005-0000-0000-0000C3090000}"/>
    <cellStyle name="Comma 4 3 5 6 2" xfId="6689" xr:uid="{00000000-0005-0000-0000-0000C4090000}"/>
    <cellStyle name="Comma 4 3 5 6 2 2" xfId="15139" xr:uid="{770368BE-48AE-4B19-885C-BF50520008F0}"/>
    <cellStyle name="Comma 4 3 5 6 3" xfId="10921" xr:uid="{7D937C65-594A-40CB-A6A8-BC698716ED69}"/>
    <cellStyle name="Comma 4 3 5 7" xfId="2701" xr:uid="{00000000-0005-0000-0000-0000C5090000}"/>
    <cellStyle name="Comma 4 3 5 8" xfId="2783" xr:uid="{00000000-0005-0000-0000-0000C6090000}"/>
    <cellStyle name="Comma 4 3 5 8 2" xfId="7006" xr:uid="{00000000-0005-0000-0000-0000C7090000}"/>
    <cellStyle name="Comma 4 3 5 8 2 2" xfId="15456" xr:uid="{4D3A28D9-5A6E-4BFD-A4EF-9948B3223775}"/>
    <cellStyle name="Comma 4 3 5 8 3" xfId="11238" xr:uid="{A05F2CB7-4770-4648-ACED-53C81706AEE1}"/>
    <cellStyle name="Comma 4 3 5 9" xfId="4623" xr:uid="{00000000-0005-0000-0000-0000C8090000}"/>
    <cellStyle name="Comma 4 3 5 9 2" xfId="13073" xr:uid="{8636DBCE-1AC9-4EF3-818A-A092C96D5DA8}"/>
    <cellStyle name="Comma 4 4" xfId="153" xr:uid="{00000000-0005-0000-0000-0000C9090000}"/>
    <cellStyle name="Comma 4 4 10" xfId="2784" xr:uid="{00000000-0005-0000-0000-0000CA090000}"/>
    <cellStyle name="Comma 4 4 10 2" xfId="7007" xr:uid="{00000000-0005-0000-0000-0000CB090000}"/>
    <cellStyle name="Comma 4 4 10 2 2" xfId="15457" xr:uid="{05B0ABBD-3F08-405C-9476-13C1FBFC9110}"/>
    <cellStyle name="Comma 4 4 10 3" xfId="11239" xr:uid="{D5686794-7E3D-4F41-B9F4-90C77BBBFD93}"/>
    <cellStyle name="Comma 4 4 11" xfId="4624" xr:uid="{00000000-0005-0000-0000-0000CC090000}"/>
    <cellStyle name="Comma 4 4 11 2" xfId="13074" xr:uid="{474021C0-ABA0-4D38-B2CD-41A3BFADECA6}"/>
    <cellStyle name="Comma 4 4 12" xfId="8856" xr:uid="{67CECE81-12AC-44E1-9162-47FDC23C8F49}"/>
    <cellStyle name="Comma 4 4 2" xfId="154" xr:uid="{00000000-0005-0000-0000-0000CD090000}"/>
    <cellStyle name="Comma 4 4 2 10" xfId="4625" xr:uid="{00000000-0005-0000-0000-0000CE090000}"/>
    <cellStyle name="Comma 4 4 2 10 2" xfId="13075" xr:uid="{DB458B5E-15E0-4DB3-8DF8-7256E50422D1}"/>
    <cellStyle name="Comma 4 4 2 11" xfId="8857" xr:uid="{8674AF57-CE05-4533-AC55-580B55699949}"/>
    <cellStyle name="Comma 4 4 2 2" xfId="155" xr:uid="{00000000-0005-0000-0000-0000CF090000}"/>
    <cellStyle name="Comma 4 4 2 2 10" xfId="8858" xr:uid="{84C73780-7CFB-45F0-A734-F98885515C6E}"/>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0AA01B61-52AD-4755-9482-804DFA71A803}"/>
    <cellStyle name="Comma 4 4 2 2 2 2 3" xfId="11417" xr:uid="{DDCF2422-DAFF-438F-B662-520DE7635D4B}"/>
    <cellStyle name="Comma 4 4 2 2 2 3" xfId="5040" xr:uid="{00000000-0005-0000-0000-0000D3090000}"/>
    <cellStyle name="Comma 4 4 2 2 2 3 2" xfId="13490" xr:uid="{952DD537-37F8-43E0-AE1F-765A9E0D8125}"/>
    <cellStyle name="Comma 4 4 2 2 2 4" xfId="9272" xr:uid="{7A462B35-DA65-482B-AC08-A9BDA1E7823C}"/>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19BB6A5C-F635-438B-B1FB-A76F140C9E48}"/>
    <cellStyle name="Comma 4 4 2 2 3 2 3" xfId="11830" xr:uid="{BCA608CE-9EB6-46E1-B341-A0C8C004CF55}"/>
    <cellStyle name="Comma 4 4 2 2 3 3" xfId="5453" xr:uid="{00000000-0005-0000-0000-0000D7090000}"/>
    <cellStyle name="Comma 4 4 2 2 3 3 2" xfId="13903" xr:uid="{1F83D04D-EDED-440E-B3B2-E08BA53F681E}"/>
    <cellStyle name="Comma 4 4 2 2 3 4" xfId="9685" xr:uid="{1A4C9206-5BCF-4CFF-95BA-09D1DF5AE73B}"/>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CC8BD1E5-1F7F-4365-B1EC-284BF8425FDF}"/>
    <cellStyle name="Comma 4 4 2 2 4 2 3" xfId="12243" xr:uid="{40C113B0-3918-42F0-96A8-DE3B4F0D43C2}"/>
    <cellStyle name="Comma 4 4 2 2 4 3" xfId="5866" xr:uid="{00000000-0005-0000-0000-0000DB090000}"/>
    <cellStyle name="Comma 4 4 2 2 4 3 2" xfId="14316" xr:uid="{AE999B45-F3D4-4E33-A723-EEAD9791930E}"/>
    <cellStyle name="Comma 4 4 2 2 4 4" xfId="10098" xr:uid="{16618958-E2E8-48CD-BA70-07D2364B00FE}"/>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1B68B61E-AB3E-475F-91FE-869EA7DAED65}"/>
    <cellStyle name="Comma 4 4 2 2 5 2 3" xfId="12656" xr:uid="{03BD070D-9884-4E56-B829-462784F29CFE}"/>
    <cellStyle name="Comma 4 4 2 2 5 3" xfId="6279" xr:uid="{00000000-0005-0000-0000-0000DF090000}"/>
    <cellStyle name="Comma 4 4 2 2 5 3 2" xfId="14729" xr:uid="{02224A70-11B8-4139-A67F-9FBB4A3366BB}"/>
    <cellStyle name="Comma 4 4 2 2 5 4" xfId="10511" xr:uid="{AE81C730-B674-4D20-9280-04C89734B83F}"/>
    <cellStyle name="Comma 4 4 2 2 6" xfId="2408" xr:uid="{00000000-0005-0000-0000-0000E0090000}"/>
    <cellStyle name="Comma 4 4 2 2 6 2" xfId="6692" xr:uid="{00000000-0005-0000-0000-0000E1090000}"/>
    <cellStyle name="Comma 4 4 2 2 6 2 2" xfId="15142" xr:uid="{E8E9F81D-F386-46A0-9A7B-BBBF98596F5A}"/>
    <cellStyle name="Comma 4 4 2 2 6 3" xfId="10924" xr:uid="{A377384A-ED3F-4042-8144-7916F47B06F3}"/>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639E8901-6E28-430B-BB5F-96E9DB019801}"/>
    <cellStyle name="Comma 4 4 2 2 8 3" xfId="11241" xr:uid="{2E007ABF-033D-4765-B197-C14797430AA1}"/>
    <cellStyle name="Comma 4 4 2 2 9" xfId="4626" xr:uid="{00000000-0005-0000-0000-0000E5090000}"/>
    <cellStyle name="Comma 4 4 2 2 9 2" xfId="13076" xr:uid="{44E61289-1D4D-4B89-83A3-7121D66B01EC}"/>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05EC613E-0086-457C-8994-7B900DDC52F5}"/>
    <cellStyle name="Comma 4 4 2 3 2 3" xfId="11416" xr:uid="{B7C038D9-C3CB-4237-855A-C2CE3F6EB1E9}"/>
    <cellStyle name="Comma 4 4 2 3 3" xfId="5039" xr:uid="{00000000-0005-0000-0000-0000E9090000}"/>
    <cellStyle name="Comma 4 4 2 3 3 2" xfId="13489" xr:uid="{C1AF243C-D401-43DB-AD37-F60FABD3FFB0}"/>
    <cellStyle name="Comma 4 4 2 3 4" xfId="9271" xr:uid="{B7F09F17-952F-4EF5-B5C1-01E05E07D8B5}"/>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FC35BD14-8E3D-469B-B0CB-51FBF988C29F}"/>
    <cellStyle name="Comma 4 4 2 4 2 3" xfId="11829" xr:uid="{287E6283-6653-48D1-89C6-D5987EA6AF18}"/>
    <cellStyle name="Comma 4 4 2 4 3" xfId="5452" xr:uid="{00000000-0005-0000-0000-0000ED090000}"/>
    <cellStyle name="Comma 4 4 2 4 3 2" xfId="13902" xr:uid="{36791639-D187-458F-856D-59B2A6A7CF3B}"/>
    <cellStyle name="Comma 4 4 2 4 4" xfId="9684" xr:uid="{5F657236-7510-42AA-BB99-6E400FE00772}"/>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0D304217-96F0-4CBE-BE35-AC9947D37BD1}"/>
    <cellStyle name="Comma 4 4 2 5 2 3" xfId="12242" xr:uid="{19699315-AE4A-41B4-9182-E679306DF5C9}"/>
    <cellStyle name="Comma 4 4 2 5 3" xfId="5865" xr:uid="{00000000-0005-0000-0000-0000F1090000}"/>
    <cellStyle name="Comma 4 4 2 5 3 2" xfId="14315" xr:uid="{89651CA9-BBEA-4FFD-853B-B3D08676959E}"/>
    <cellStyle name="Comma 4 4 2 5 4" xfId="10097" xr:uid="{07367EDF-A3FB-4219-9035-C104CCB99AA7}"/>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2D84E232-96D4-40D2-AB8D-1F2936D7AA99}"/>
    <cellStyle name="Comma 4 4 2 6 2 3" xfId="12655" xr:uid="{B4C4AFE0-4FB6-448F-B425-854BB6C87F16}"/>
    <cellStyle name="Comma 4 4 2 6 3" xfId="6278" xr:uid="{00000000-0005-0000-0000-0000F5090000}"/>
    <cellStyle name="Comma 4 4 2 6 3 2" xfId="14728" xr:uid="{58A9A77A-5653-4981-B827-5767A0247339}"/>
    <cellStyle name="Comma 4 4 2 6 4" xfId="10510" xr:uid="{C54D67FE-FF1F-45BB-B623-69E5E71FF5F4}"/>
    <cellStyle name="Comma 4 4 2 7" xfId="2407" xr:uid="{00000000-0005-0000-0000-0000F6090000}"/>
    <cellStyle name="Comma 4 4 2 7 2" xfId="6691" xr:uid="{00000000-0005-0000-0000-0000F7090000}"/>
    <cellStyle name="Comma 4 4 2 7 2 2" xfId="15141" xr:uid="{C4C1A6BE-0699-4C83-9216-F48DDAB40C9D}"/>
    <cellStyle name="Comma 4 4 2 7 3" xfId="10923" xr:uid="{095CB48B-9863-4E82-9265-6DE84EB9B73F}"/>
    <cellStyle name="Comma 4 4 2 8" xfId="2703" xr:uid="{00000000-0005-0000-0000-0000F8090000}"/>
    <cellStyle name="Comma 4 4 2 9" xfId="2785" xr:uid="{00000000-0005-0000-0000-0000F9090000}"/>
    <cellStyle name="Comma 4 4 2 9 2" xfId="7008" xr:uid="{00000000-0005-0000-0000-0000FA090000}"/>
    <cellStyle name="Comma 4 4 2 9 2 2" xfId="15458" xr:uid="{227D95B7-8EA7-4559-8971-EB942988568C}"/>
    <cellStyle name="Comma 4 4 2 9 3" xfId="11240" xr:uid="{633BBB8E-5185-44E0-8CCC-7956BB0EBBBB}"/>
    <cellStyle name="Comma 4 4 3" xfId="156" xr:uid="{00000000-0005-0000-0000-0000FB090000}"/>
    <cellStyle name="Comma 4 4 3 10" xfId="8859" xr:uid="{E550D483-F49D-43F1-95F4-469B9C085C28}"/>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F2C3B80C-4406-455F-94B3-950DC7B2BECD}"/>
    <cellStyle name="Comma 4 4 3 2 2 3" xfId="11418" xr:uid="{50064558-4703-42F6-B88C-B798C08BE55E}"/>
    <cellStyle name="Comma 4 4 3 2 3" xfId="5041" xr:uid="{00000000-0005-0000-0000-0000FF090000}"/>
    <cellStyle name="Comma 4 4 3 2 3 2" xfId="13491" xr:uid="{C0035F91-4906-4964-A0B3-B25AC0F21586}"/>
    <cellStyle name="Comma 4 4 3 2 4" xfId="9273" xr:uid="{1E544D6B-B5F0-4BD3-9CFB-D6BF2BCF35CE}"/>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FC59C676-0AC6-4751-9C56-806F909F9948}"/>
    <cellStyle name="Comma 4 4 3 3 2 3" xfId="11831" xr:uid="{8BAA3892-CBA0-40E8-9745-17847569F33C}"/>
    <cellStyle name="Comma 4 4 3 3 3" xfId="5454" xr:uid="{00000000-0005-0000-0000-0000030A0000}"/>
    <cellStyle name="Comma 4 4 3 3 3 2" xfId="13904" xr:uid="{53590E82-3DE2-43BF-90F5-F71D5A2EF3F0}"/>
    <cellStyle name="Comma 4 4 3 3 4" xfId="9686" xr:uid="{6E84602B-77A3-48C5-9450-F0540502872B}"/>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30159D0F-8ECA-49A7-BEC0-91036F4C1B55}"/>
    <cellStyle name="Comma 4 4 3 4 2 3" xfId="12244" xr:uid="{F4688C9A-8FFD-4EA9-BF11-EF67213B1C56}"/>
    <cellStyle name="Comma 4 4 3 4 3" xfId="5867" xr:uid="{00000000-0005-0000-0000-0000070A0000}"/>
    <cellStyle name="Comma 4 4 3 4 3 2" xfId="14317" xr:uid="{350949CF-D637-4B90-897C-3F87315E7AB1}"/>
    <cellStyle name="Comma 4 4 3 4 4" xfId="10099" xr:uid="{D7C1C237-86DB-43F1-8E39-BB40F06B60FE}"/>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E1E3E05E-FBB2-4BA4-8E9F-73C913B92218}"/>
    <cellStyle name="Comma 4 4 3 5 2 3" xfId="12657" xr:uid="{FF9FF4C1-4496-4BF6-A984-CCF678DB4F40}"/>
    <cellStyle name="Comma 4 4 3 5 3" xfId="6280" xr:uid="{00000000-0005-0000-0000-00000B0A0000}"/>
    <cellStyle name="Comma 4 4 3 5 3 2" xfId="14730" xr:uid="{9C3DE749-CE54-4DF7-B5BA-922999832377}"/>
    <cellStyle name="Comma 4 4 3 5 4" xfId="10512" xr:uid="{F78AF0DD-1D55-41F1-8071-828E8DED70C8}"/>
    <cellStyle name="Comma 4 4 3 6" xfId="2409" xr:uid="{00000000-0005-0000-0000-00000C0A0000}"/>
    <cellStyle name="Comma 4 4 3 6 2" xfId="6693" xr:uid="{00000000-0005-0000-0000-00000D0A0000}"/>
    <cellStyle name="Comma 4 4 3 6 2 2" xfId="15143" xr:uid="{A4FA5734-7D45-49BD-9629-85DD9DA33811}"/>
    <cellStyle name="Comma 4 4 3 6 3" xfId="10925" xr:uid="{FB76DFEC-D036-4F41-BDD1-2E471EB3CF24}"/>
    <cellStyle name="Comma 4 4 3 7" xfId="2705" xr:uid="{00000000-0005-0000-0000-00000E0A0000}"/>
    <cellStyle name="Comma 4 4 3 8" xfId="2787" xr:uid="{00000000-0005-0000-0000-00000F0A0000}"/>
    <cellStyle name="Comma 4 4 3 8 2" xfId="7010" xr:uid="{00000000-0005-0000-0000-0000100A0000}"/>
    <cellStyle name="Comma 4 4 3 8 2 2" xfId="15460" xr:uid="{848DA13A-78A2-41B5-94D6-DEBF031AC197}"/>
    <cellStyle name="Comma 4 4 3 8 3" xfId="11242" xr:uid="{926EBC9D-E51F-4EDE-952D-D9E073E03834}"/>
    <cellStyle name="Comma 4 4 3 9" xfId="4627" xr:uid="{00000000-0005-0000-0000-0000110A0000}"/>
    <cellStyle name="Comma 4 4 3 9 2" xfId="13077" xr:uid="{7FCF2D6B-41D2-41EA-A1C9-BC9C9DC023E5}"/>
    <cellStyle name="Comma 4 4 4" xfId="690" xr:uid="{00000000-0005-0000-0000-0000120A0000}"/>
    <cellStyle name="Comma 4 4 4 2" xfId="2961" xr:uid="{00000000-0005-0000-0000-0000130A0000}"/>
    <cellStyle name="Comma 4 4 4 2 2" xfId="7183" xr:uid="{00000000-0005-0000-0000-0000140A0000}"/>
    <cellStyle name="Comma 4 4 4 2 2 2" xfId="15633" xr:uid="{C31E8A58-F03A-4983-B34B-7EEC4DD03360}"/>
    <cellStyle name="Comma 4 4 4 2 3" xfId="11415" xr:uid="{C0D3150A-15DA-447D-97AB-13F07B6F8AAC}"/>
    <cellStyle name="Comma 4 4 4 3" xfId="5038" xr:uid="{00000000-0005-0000-0000-0000150A0000}"/>
    <cellStyle name="Comma 4 4 4 3 2" xfId="13488" xr:uid="{5FC66FCB-F868-4C8E-A819-A16CEB076512}"/>
    <cellStyle name="Comma 4 4 4 4" xfId="9270" xr:uid="{01A351C2-2D5C-4C88-A746-7B04E2810880}"/>
    <cellStyle name="Comma 4 4 5" xfId="1143" xr:uid="{00000000-0005-0000-0000-0000160A0000}"/>
    <cellStyle name="Comma 4 4 5 2" xfId="3374" xr:uid="{00000000-0005-0000-0000-0000170A0000}"/>
    <cellStyle name="Comma 4 4 5 2 2" xfId="7596" xr:uid="{00000000-0005-0000-0000-0000180A0000}"/>
    <cellStyle name="Comma 4 4 5 2 2 2" xfId="16046" xr:uid="{1A6B8869-10CB-4396-B72C-DFA08F316B0D}"/>
    <cellStyle name="Comma 4 4 5 2 3" xfId="11828" xr:uid="{E2F22707-A45E-43CB-9B5F-BC58178A0CAE}"/>
    <cellStyle name="Comma 4 4 5 3" xfId="5451" xr:uid="{00000000-0005-0000-0000-0000190A0000}"/>
    <cellStyle name="Comma 4 4 5 3 2" xfId="13901" xr:uid="{94674A3A-9F8E-4F0B-9B21-8BF04D64CE15}"/>
    <cellStyle name="Comma 4 4 5 4" xfId="9683" xr:uid="{C820B395-A3B3-48A7-84DE-377532DC4952}"/>
    <cellStyle name="Comma 4 4 6" xfId="1557" xr:uid="{00000000-0005-0000-0000-00001A0A0000}"/>
    <cellStyle name="Comma 4 4 6 2" xfId="3787" xr:uid="{00000000-0005-0000-0000-00001B0A0000}"/>
    <cellStyle name="Comma 4 4 6 2 2" xfId="8009" xr:uid="{00000000-0005-0000-0000-00001C0A0000}"/>
    <cellStyle name="Comma 4 4 6 2 2 2" xfId="16459" xr:uid="{9AB3E195-3E73-418E-B35B-0ACD91513B6C}"/>
    <cellStyle name="Comma 4 4 6 2 3" xfId="12241" xr:uid="{93B6F0C2-F209-48D7-B43C-17CB8BD73058}"/>
    <cellStyle name="Comma 4 4 6 3" xfId="5864" xr:uid="{00000000-0005-0000-0000-00001D0A0000}"/>
    <cellStyle name="Comma 4 4 6 3 2" xfId="14314" xr:uid="{F47C17E5-EAAE-4148-87CA-189240BF1FEB}"/>
    <cellStyle name="Comma 4 4 6 4" xfId="10096" xr:uid="{0EAA2EAA-5239-4542-B3A8-26D73AACA346}"/>
    <cellStyle name="Comma 4 4 7" xfId="1971" xr:uid="{00000000-0005-0000-0000-00001E0A0000}"/>
    <cellStyle name="Comma 4 4 7 2" xfId="4200" xr:uid="{00000000-0005-0000-0000-00001F0A0000}"/>
    <cellStyle name="Comma 4 4 7 2 2" xfId="8422" xr:uid="{00000000-0005-0000-0000-0000200A0000}"/>
    <cellStyle name="Comma 4 4 7 2 2 2" xfId="16872" xr:uid="{CDF42968-5AC9-4CAB-B25D-903A4DCCA1E8}"/>
    <cellStyle name="Comma 4 4 7 2 3" xfId="12654" xr:uid="{B7628232-E47C-4809-BAE2-74427E167330}"/>
    <cellStyle name="Comma 4 4 7 3" xfId="6277" xr:uid="{00000000-0005-0000-0000-0000210A0000}"/>
    <cellStyle name="Comma 4 4 7 3 2" xfId="14727" xr:uid="{78C2F303-2341-43B6-836C-3CFE0D2D12BE}"/>
    <cellStyle name="Comma 4 4 7 4" xfId="10509" xr:uid="{E69779F4-FC7B-448F-B306-B334C625999D}"/>
    <cellStyle name="Comma 4 4 8" xfId="2406" xr:uid="{00000000-0005-0000-0000-0000220A0000}"/>
    <cellStyle name="Comma 4 4 8 2" xfId="6690" xr:uid="{00000000-0005-0000-0000-0000230A0000}"/>
    <cellStyle name="Comma 4 4 8 2 2" xfId="15140" xr:uid="{D2D10896-373E-46B1-A968-8E1F4BD6B4C8}"/>
    <cellStyle name="Comma 4 4 8 3" xfId="10922" xr:uid="{3AB2E8E4-D66E-4639-A2AF-1B5E546A0831}"/>
    <cellStyle name="Comma 4 4 9" xfId="2702" xr:uid="{00000000-0005-0000-0000-0000240A0000}"/>
    <cellStyle name="Comma 4 5" xfId="157" xr:uid="{00000000-0005-0000-0000-0000250A0000}"/>
    <cellStyle name="Comma 4 5 10" xfId="4628" xr:uid="{00000000-0005-0000-0000-0000260A0000}"/>
    <cellStyle name="Comma 4 5 10 2" xfId="13078" xr:uid="{F8A048EF-91E0-401E-8778-5A7F9101BF1F}"/>
    <cellStyle name="Comma 4 5 11" xfId="8860" xr:uid="{873E5A56-CAF7-454E-AA53-50A17E7A1F9F}"/>
    <cellStyle name="Comma 4 5 2" xfId="158" xr:uid="{00000000-0005-0000-0000-0000270A0000}"/>
    <cellStyle name="Comma 4 5 2 10" xfId="8861" xr:uid="{3D834F55-197E-4757-B8A5-03DC78C705BD}"/>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118CBF66-443D-4821-A04D-40C7B88C3BC5}"/>
    <cellStyle name="Comma 4 5 2 2 2 3" xfId="11420" xr:uid="{42A51C50-9F3D-40DC-9866-58AC27E6106A}"/>
    <cellStyle name="Comma 4 5 2 2 3" xfId="5043" xr:uid="{00000000-0005-0000-0000-00002B0A0000}"/>
    <cellStyle name="Comma 4 5 2 2 3 2" xfId="13493" xr:uid="{30F184CC-9EA5-46C7-A431-8B1334D355D1}"/>
    <cellStyle name="Comma 4 5 2 2 4" xfId="9275" xr:uid="{4ECC58AF-1A14-414D-BE97-B537E86B381B}"/>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5821F8EE-2E0A-4569-B32F-F0EDEF315280}"/>
    <cellStyle name="Comma 4 5 2 3 2 3" xfId="11833" xr:uid="{C250A12B-9F88-45FD-8BFA-81C1B1BEA550}"/>
    <cellStyle name="Comma 4 5 2 3 3" xfId="5456" xr:uid="{00000000-0005-0000-0000-00002F0A0000}"/>
    <cellStyle name="Comma 4 5 2 3 3 2" xfId="13906" xr:uid="{CAA8B78C-B08C-4053-B5E1-487BEFCBBBBF}"/>
    <cellStyle name="Comma 4 5 2 3 4" xfId="9688" xr:uid="{1D23B6DF-6AF8-4643-8FB7-B9A295A87FB6}"/>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DC640119-625A-4505-8C0C-ED8A9E142CED}"/>
    <cellStyle name="Comma 4 5 2 4 2 3" xfId="12246" xr:uid="{0F794923-83D7-42C1-B099-7500EFDA6175}"/>
    <cellStyle name="Comma 4 5 2 4 3" xfId="5869" xr:uid="{00000000-0005-0000-0000-0000330A0000}"/>
    <cellStyle name="Comma 4 5 2 4 3 2" xfId="14319" xr:uid="{47165667-E879-4CC3-9A41-7075F20E60EF}"/>
    <cellStyle name="Comma 4 5 2 4 4" xfId="10101" xr:uid="{B3A666CD-99A4-47A2-8934-A3083FE34C08}"/>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3D4948D2-F07D-4B6E-B3F6-E8633742796B}"/>
    <cellStyle name="Comma 4 5 2 5 2 3" xfId="12659" xr:uid="{C24A9C74-DFB8-440E-BD6D-E4994639DACD}"/>
    <cellStyle name="Comma 4 5 2 5 3" xfId="6282" xr:uid="{00000000-0005-0000-0000-0000370A0000}"/>
    <cellStyle name="Comma 4 5 2 5 3 2" xfId="14732" xr:uid="{89EA8756-F561-4113-B8B6-4B91614D0BC0}"/>
    <cellStyle name="Comma 4 5 2 5 4" xfId="10514" xr:uid="{46699152-0829-42EC-A39D-AF6106AB1427}"/>
    <cellStyle name="Comma 4 5 2 6" xfId="2411" xr:uid="{00000000-0005-0000-0000-0000380A0000}"/>
    <cellStyle name="Comma 4 5 2 6 2" xfId="6695" xr:uid="{00000000-0005-0000-0000-0000390A0000}"/>
    <cellStyle name="Comma 4 5 2 6 2 2" xfId="15145" xr:uid="{FE860D34-9D54-4D4A-9DAC-E36406066B93}"/>
    <cellStyle name="Comma 4 5 2 6 3" xfId="10927" xr:uid="{145BAF28-1092-4574-B7A1-D476DA56F949}"/>
    <cellStyle name="Comma 4 5 2 7" xfId="2707" xr:uid="{00000000-0005-0000-0000-00003A0A0000}"/>
    <cellStyle name="Comma 4 5 2 8" xfId="2789" xr:uid="{00000000-0005-0000-0000-00003B0A0000}"/>
    <cellStyle name="Comma 4 5 2 8 2" xfId="7012" xr:uid="{00000000-0005-0000-0000-00003C0A0000}"/>
    <cellStyle name="Comma 4 5 2 8 2 2" xfId="15462" xr:uid="{DF020728-B23D-4AD6-AE1B-AC93A04EF0D3}"/>
    <cellStyle name="Comma 4 5 2 8 3" xfId="11244" xr:uid="{79B509CA-6A35-4362-B614-F1D17BF61848}"/>
    <cellStyle name="Comma 4 5 2 9" xfId="4629" xr:uid="{00000000-0005-0000-0000-00003D0A0000}"/>
    <cellStyle name="Comma 4 5 2 9 2" xfId="13079" xr:uid="{38AE899C-DD81-4E1D-A57F-93EF6839083E}"/>
    <cellStyle name="Comma 4 5 3" xfId="694" xr:uid="{00000000-0005-0000-0000-00003E0A0000}"/>
    <cellStyle name="Comma 4 5 3 2" xfId="2965" xr:uid="{00000000-0005-0000-0000-00003F0A0000}"/>
    <cellStyle name="Comma 4 5 3 2 2" xfId="7187" xr:uid="{00000000-0005-0000-0000-0000400A0000}"/>
    <cellStyle name="Comma 4 5 3 2 2 2" xfId="15637" xr:uid="{31F59B72-8A04-406C-A6B0-A8E98E004D86}"/>
    <cellStyle name="Comma 4 5 3 2 3" xfId="11419" xr:uid="{6378F836-B58B-4547-B693-A01DBDC4368C}"/>
    <cellStyle name="Comma 4 5 3 3" xfId="5042" xr:uid="{00000000-0005-0000-0000-0000410A0000}"/>
    <cellStyle name="Comma 4 5 3 3 2" xfId="13492" xr:uid="{543FFD25-7352-46E8-9507-CD5A1C0FF642}"/>
    <cellStyle name="Comma 4 5 3 4" xfId="9274" xr:uid="{AA2D1AD5-6874-471D-8CB9-9400A3D7AED8}"/>
    <cellStyle name="Comma 4 5 4" xfId="1147" xr:uid="{00000000-0005-0000-0000-0000420A0000}"/>
    <cellStyle name="Comma 4 5 4 2" xfId="3378" xr:uid="{00000000-0005-0000-0000-0000430A0000}"/>
    <cellStyle name="Comma 4 5 4 2 2" xfId="7600" xr:uid="{00000000-0005-0000-0000-0000440A0000}"/>
    <cellStyle name="Comma 4 5 4 2 2 2" xfId="16050" xr:uid="{90F2284C-FE63-4891-8C5A-A7484B1188DD}"/>
    <cellStyle name="Comma 4 5 4 2 3" xfId="11832" xr:uid="{63B8CC8D-BFDB-4D5A-BA18-8B251BFD6296}"/>
    <cellStyle name="Comma 4 5 4 3" xfId="5455" xr:uid="{00000000-0005-0000-0000-0000450A0000}"/>
    <cellStyle name="Comma 4 5 4 3 2" xfId="13905" xr:uid="{16EC9B71-FA1E-4936-8A37-0644C927E077}"/>
    <cellStyle name="Comma 4 5 4 4" xfId="9687" xr:uid="{25BC0CBE-37F7-4AB3-8D8F-82F7148C792A}"/>
    <cellStyle name="Comma 4 5 5" xfId="1561" xr:uid="{00000000-0005-0000-0000-0000460A0000}"/>
    <cellStyle name="Comma 4 5 5 2" xfId="3791" xr:uid="{00000000-0005-0000-0000-0000470A0000}"/>
    <cellStyle name="Comma 4 5 5 2 2" xfId="8013" xr:uid="{00000000-0005-0000-0000-0000480A0000}"/>
    <cellStyle name="Comma 4 5 5 2 2 2" xfId="16463" xr:uid="{DCFCF973-6AB9-4563-BA9C-EFA8A30D4814}"/>
    <cellStyle name="Comma 4 5 5 2 3" xfId="12245" xr:uid="{4D2713C9-6547-45A7-A0FC-60F9DB059CCF}"/>
    <cellStyle name="Comma 4 5 5 3" xfId="5868" xr:uid="{00000000-0005-0000-0000-0000490A0000}"/>
    <cellStyle name="Comma 4 5 5 3 2" xfId="14318" xr:uid="{A5615E4D-1EB7-4883-AB18-FBC0C240807D}"/>
    <cellStyle name="Comma 4 5 5 4" xfId="10100" xr:uid="{DFA926F0-ADEF-4E4F-86E5-15CA07D06E62}"/>
    <cellStyle name="Comma 4 5 6" xfId="1975" xr:uid="{00000000-0005-0000-0000-00004A0A0000}"/>
    <cellStyle name="Comma 4 5 6 2" xfId="4204" xr:uid="{00000000-0005-0000-0000-00004B0A0000}"/>
    <cellStyle name="Comma 4 5 6 2 2" xfId="8426" xr:uid="{00000000-0005-0000-0000-00004C0A0000}"/>
    <cellStyle name="Comma 4 5 6 2 2 2" xfId="16876" xr:uid="{A4638190-ADB7-4877-B958-346FC26A6F99}"/>
    <cellStyle name="Comma 4 5 6 2 3" xfId="12658" xr:uid="{3CEC2352-64D7-433B-A76B-DEE2024FF0EB}"/>
    <cellStyle name="Comma 4 5 6 3" xfId="6281" xr:uid="{00000000-0005-0000-0000-00004D0A0000}"/>
    <cellStyle name="Comma 4 5 6 3 2" xfId="14731" xr:uid="{7464D7E1-3869-4BA8-AD0C-2E138B732A90}"/>
    <cellStyle name="Comma 4 5 6 4" xfId="10513" xr:uid="{896BE2D4-F197-4B73-B190-EB314341E28B}"/>
    <cellStyle name="Comma 4 5 7" xfId="2410" xr:uid="{00000000-0005-0000-0000-00004E0A0000}"/>
    <cellStyle name="Comma 4 5 7 2" xfId="6694" xr:uid="{00000000-0005-0000-0000-00004F0A0000}"/>
    <cellStyle name="Comma 4 5 7 2 2" xfId="15144" xr:uid="{B7D3D2A4-2147-486D-AB5F-FC9DA4109699}"/>
    <cellStyle name="Comma 4 5 7 3" xfId="10926" xr:uid="{D945E3FF-EF88-447C-9017-8E4B96745B81}"/>
    <cellStyle name="Comma 4 5 8" xfId="2706" xr:uid="{00000000-0005-0000-0000-0000500A0000}"/>
    <cellStyle name="Comma 4 5 9" xfId="2788" xr:uid="{00000000-0005-0000-0000-0000510A0000}"/>
    <cellStyle name="Comma 4 5 9 2" xfId="7011" xr:uid="{00000000-0005-0000-0000-0000520A0000}"/>
    <cellStyle name="Comma 4 5 9 2 2" xfId="15461" xr:uid="{3AF95D1B-FD59-4A35-BB8C-E2F0BC9257BA}"/>
    <cellStyle name="Comma 4 5 9 3" xfId="11243" xr:uid="{AD1721FE-FF37-42FC-B575-F87FCA20096D}"/>
    <cellStyle name="Comma 4 6" xfId="159" xr:uid="{00000000-0005-0000-0000-0000530A0000}"/>
    <cellStyle name="Comma 4 6 10" xfId="8862" xr:uid="{4B053FEB-A173-420F-B6D1-6323156F1AB5}"/>
    <cellStyle name="Comma 4 6 2" xfId="696" xr:uid="{00000000-0005-0000-0000-0000540A0000}"/>
    <cellStyle name="Comma 4 6 2 2" xfId="2967" xr:uid="{00000000-0005-0000-0000-0000550A0000}"/>
    <cellStyle name="Comma 4 6 2 2 2" xfId="7189" xr:uid="{00000000-0005-0000-0000-0000560A0000}"/>
    <cellStyle name="Comma 4 6 2 2 2 2" xfId="15639" xr:uid="{B6801D11-68E7-437C-86B2-025A9EF602FF}"/>
    <cellStyle name="Comma 4 6 2 2 3" xfId="11421" xr:uid="{F3146EEF-331F-47FD-8ABF-9C64EB1FE3EC}"/>
    <cellStyle name="Comma 4 6 2 3" xfId="5044" xr:uid="{00000000-0005-0000-0000-0000570A0000}"/>
    <cellStyle name="Comma 4 6 2 3 2" xfId="13494" xr:uid="{D32AB7B7-3F66-4D18-821C-AE438E76F50C}"/>
    <cellStyle name="Comma 4 6 2 4" xfId="9276" xr:uid="{E5621C4B-3285-4C6B-8D73-58D3D687FE8C}"/>
    <cellStyle name="Comma 4 6 3" xfId="1149" xr:uid="{00000000-0005-0000-0000-0000580A0000}"/>
    <cellStyle name="Comma 4 6 3 2" xfId="3380" xr:uid="{00000000-0005-0000-0000-0000590A0000}"/>
    <cellStyle name="Comma 4 6 3 2 2" xfId="7602" xr:uid="{00000000-0005-0000-0000-00005A0A0000}"/>
    <cellStyle name="Comma 4 6 3 2 2 2" xfId="16052" xr:uid="{BA22E877-BC54-459C-AAE0-D2D68D1673A9}"/>
    <cellStyle name="Comma 4 6 3 2 3" xfId="11834" xr:uid="{76E5BBCB-4BF9-481D-A551-8DE639B63E91}"/>
    <cellStyle name="Comma 4 6 3 3" xfId="5457" xr:uid="{00000000-0005-0000-0000-00005B0A0000}"/>
    <cellStyle name="Comma 4 6 3 3 2" xfId="13907" xr:uid="{366372CD-A319-4750-8F31-1D6264139291}"/>
    <cellStyle name="Comma 4 6 3 4" xfId="9689" xr:uid="{6008A442-8DC8-446D-851A-D4790E8CDAD4}"/>
    <cellStyle name="Comma 4 6 4" xfId="1563" xr:uid="{00000000-0005-0000-0000-00005C0A0000}"/>
    <cellStyle name="Comma 4 6 4 2" xfId="3793" xr:uid="{00000000-0005-0000-0000-00005D0A0000}"/>
    <cellStyle name="Comma 4 6 4 2 2" xfId="8015" xr:uid="{00000000-0005-0000-0000-00005E0A0000}"/>
    <cellStyle name="Comma 4 6 4 2 2 2" xfId="16465" xr:uid="{E678AA57-C5D3-42C5-9D1C-223DBDCC1014}"/>
    <cellStyle name="Comma 4 6 4 2 3" xfId="12247" xr:uid="{4F2F0CEB-04B4-48AB-B114-CF39242AEADF}"/>
    <cellStyle name="Comma 4 6 4 3" xfId="5870" xr:uid="{00000000-0005-0000-0000-00005F0A0000}"/>
    <cellStyle name="Comma 4 6 4 3 2" xfId="14320" xr:uid="{76F19AA9-18DD-48E0-8987-6AF19502326A}"/>
    <cellStyle name="Comma 4 6 4 4" xfId="10102" xr:uid="{93D6D65C-F837-42DC-BEBF-8AD7CAB06E8D}"/>
    <cellStyle name="Comma 4 6 5" xfId="1977" xr:uid="{00000000-0005-0000-0000-0000600A0000}"/>
    <cellStyle name="Comma 4 6 5 2" xfId="4206" xr:uid="{00000000-0005-0000-0000-0000610A0000}"/>
    <cellStyle name="Comma 4 6 5 2 2" xfId="8428" xr:uid="{00000000-0005-0000-0000-0000620A0000}"/>
    <cellStyle name="Comma 4 6 5 2 2 2" xfId="16878" xr:uid="{8F55605D-D887-4079-AF78-9740E7354DBC}"/>
    <cellStyle name="Comma 4 6 5 2 3" xfId="12660" xr:uid="{918B2A74-405D-40FA-9B73-DB43D1CB77A8}"/>
    <cellStyle name="Comma 4 6 5 3" xfId="6283" xr:uid="{00000000-0005-0000-0000-0000630A0000}"/>
    <cellStyle name="Comma 4 6 5 3 2" xfId="14733" xr:uid="{4BBAB5F0-6C13-4D07-A92D-B1CF51E79BD5}"/>
    <cellStyle name="Comma 4 6 5 4" xfId="10515" xr:uid="{B664030E-2A7F-439A-986B-F00B58A948E3}"/>
    <cellStyle name="Comma 4 6 6" xfId="2412" xr:uid="{00000000-0005-0000-0000-0000640A0000}"/>
    <cellStyle name="Comma 4 6 6 2" xfId="6696" xr:uid="{00000000-0005-0000-0000-0000650A0000}"/>
    <cellStyle name="Comma 4 6 6 2 2" xfId="15146" xr:uid="{B7A58F21-4806-4726-AFDF-6AD5C5871456}"/>
    <cellStyle name="Comma 4 6 6 3" xfId="10928" xr:uid="{6F7998AD-E804-45B3-A4E3-0109638B0670}"/>
    <cellStyle name="Comma 4 6 7" xfId="2708" xr:uid="{00000000-0005-0000-0000-0000660A0000}"/>
    <cellStyle name="Comma 4 6 8" xfId="2790" xr:uid="{00000000-0005-0000-0000-0000670A0000}"/>
    <cellStyle name="Comma 4 6 8 2" xfId="7013" xr:uid="{00000000-0005-0000-0000-0000680A0000}"/>
    <cellStyle name="Comma 4 6 8 2 2" xfId="15463" xr:uid="{962F3C09-65BC-4BA3-8F92-1F98B63FA16F}"/>
    <cellStyle name="Comma 4 6 8 3" xfId="11245" xr:uid="{A5E644FF-3A38-439C-9037-29FB41AC1C90}"/>
    <cellStyle name="Comma 4 6 9" xfId="4630" xr:uid="{00000000-0005-0000-0000-0000690A0000}"/>
    <cellStyle name="Comma 4 6 9 2" xfId="13080" xr:uid="{BB9F74F3-3700-40E8-A714-4A207915398E}"/>
    <cellStyle name="Comma 4 7" xfId="160" xr:uid="{00000000-0005-0000-0000-00006A0A0000}"/>
    <cellStyle name="Comma 4 7 10" xfId="8863" xr:uid="{9A38D519-BBA9-4212-9CA3-85381B277ABC}"/>
    <cellStyle name="Comma 4 7 2" xfId="697" xr:uid="{00000000-0005-0000-0000-00006B0A0000}"/>
    <cellStyle name="Comma 4 7 2 2" xfId="2968" xr:uid="{00000000-0005-0000-0000-00006C0A0000}"/>
    <cellStyle name="Comma 4 7 2 2 2" xfId="7190" xr:uid="{00000000-0005-0000-0000-00006D0A0000}"/>
    <cellStyle name="Comma 4 7 2 2 2 2" xfId="15640" xr:uid="{53107C7A-5AC6-4553-A16A-31BE96FA2F10}"/>
    <cellStyle name="Comma 4 7 2 2 3" xfId="11422" xr:uid="{2E783152-19FC-47F7-BB29-7C6B564FF5E6}"/>
    <cellStyle name="Comma 4 7 2 3" xfId="5045" xr:uid="{00000000-0005-0000-0000-00006E0A0000}"/>
    <cellStyle name="Comma 4 7 2 3 2" xfId="13495" xr:uid="{5B460C19-DE1F-4175-ADD3-2CBF52136EA1}"/>
    <cellStyle name="Comma 4 7 2 4" xfId="9277" xr:uid="{AAF56F8C-E5E9-4523-B144-EDE9BECFE987}"/>
    <cellStyle name="Comma 4 7 3" xfId="1150" xr:uid="{00000000-0005-0000-0000-00006F0A0000}"/>
    <cellStyle name="Comma 4 7 3 2" xfId="3381" xr:uid="{00000000-0005-0000-0000-0000700A0000}"/>
    <cellStyle name="Comma 4 7 3 2 2" xfId="7603" xr:uid="{00000000-0005-0000-0000-0000710A0000}"/>
    <cellStyle name="Comma 4 7 3 2 2 2" xfId="16053" xr:uid="{795BB3B6-F35D-43DC-843C-590829C2A67F}"/>
    <cellStyle name="Comma 4 7 3 2 3" xfId="11835" xr:uid="{02C30F91-81C9-4A90-93C3-36E078B1D06B}"/>
    <cellStyle name="Comma 4 7 3 3" xfId="5458" xr:uid="{00000000-0005-0000-0000-0000720A0000}"/>
    <cellStyle name="Comma 4 7 3 3 2" xfId="13908" xr:uid="{0190BA19-CB4A-4DCC-961C-5240297244D8}"/>
    <cellStyle name="Comma 4 7 3 4" xfId="9690" xr:uid="{1D54AD96-4034-47FB-90FF-26BB53342C2A}"/>
    <cellStyle name="Comma 4 7 4" xfId="1564" xr:uid="{00000000-0005-0000-0000-0000730A0000}"/>
    <cellStyle name="Comma 4 7 4 2" xfId="3794" xr:uid="{00000000-0005-0000-0000-0000740A0000}"/>
    <cellStyle name="Comma 4 7 4 2 2" xfId="8016" xr:uid="{00000000-0005-0000-0000-0000750A0000}"/>
    <cellStyle name="Comma 4 7 4 2 2 2" xfId="16466" xr:uid="{C3884FA8-21B7-428E-969F-406382E1FBE0}"/>
    <cellStyle name="Comma 4 7 4 2 3" xfId="12248" xr:uid="{E362ECC4-0DC3-48C8-A0CD-58D2F504B519}"/>
    <cellStyle name="Comma 4 7 4 3" xfId="5871" xr:uid="{00000000-0005-0000-0000-0000760A0000}"/>
    <cellStyle name="Comma 4 7 4 3 2" xfId="14321" xr:uid="{9F414846-C65B-43D7-8259-F73659BA8ACE}"/>
    <cellStyle name="Comma 4 7 4 4" xfId="10103" xr:uid="{74F6D99F-2C45-41A2-9A1B-BC1D439A6439}"/>
    <cellStyle name="Comma 4 7 5" xfId="1978" xr:uid="{00000000-0005-0000-0000-0000770A0000}"/>
    <cellStyle name="Comma 4 7 5 2" xfId="4207" xr:uid="{00000000-0005-0000-0000-0000780A0000}"/>
    <cellStyle name="Comma 4 7 5 2 2" xfId="8429" xr:uid="{00000000-0005-0000-0000-0000790A0000}"/>
    <cellStyle name="Comma 4 7 5 2 2 2" xfId="16879" xr:uid="{A0DFAF94-6C27-4023-AAA9-BFCD0B0C2A47}"/>
    <cellStyle name="Comma 4 7 5 2 3" xfId="12661" xr:uid="{9C6269CC-F759-4249-8551-03A70E61E2AF}"/>
    <cellStyle name="Comma 4 7 5 3" xfId="6284" xr:uid="{00000000-0005-0000-0000-00007A0A0000}"/>
    <cellStyle name="Comma 4 7 5 3 2" xfId="14734" xr:uid="{3E9E2B15-D017-4E00-A76C-0EF4FD0A07D3}"/>
    <cellStyle name="Comma 4 7 5 4" xfId="10516" xr:uid="{BF2F2DB9-F749-4132-9F4A-0B12E2F4FDD7}"/>
    <cellStyle name="Comma 4 7 6" xfId="2413" xr:uid="{00000000-0005-0000-0000-00007B0A0000}"/>
    <cellStyle name="Comma 4 7 6 2" xfId="6697" xr:uid="{00000000-0005-0000-0000-00007C0A0000}"/>
    <cellStyle name="Comma 4 7 6 2 2" xfId="15147" xr:uid="{3501E1F1-E1CF-4977-BF3E-1D8A39316762}"/>
    <cellStyle name="Comma 4 7 6 3" xfId="10929" xr:uid="{8BB56ED8-4952-4EE1-A388-746845D09B2B}"/>
    <cellStyle name="Comma 4 7 7" xfId="2709" xr:uid="{00000000-0005-0000-0000-00007D0A0000}"/>
    <cellStyle name="Comma 4 7 8" xfId="2791" xr:uid="{00000000-0005-0000-0000-00007E0A0000}"/>
    <cellStyle name="Comma 4 7 8 2" xfId="7014" xr:uid="{00000000-0005-0000-0000-00007F0A0000}"/>
    <cellStyle name="Comma 4 7 8 2 2" xfId="15464" xr:uid="{CDC3340A-18A2-4CA3-A7D2-1A4A9C8823E7}"/>
    <cellStyle name="Comma 4 7 8 3" xfId="11246" xr:uid="{5F5A81C5-16B6-484F-B096-6BEA2A814AC3}"/>
    <cellStyle name="Comma 4 7 9" xfId="4631" xr:uid="{00000000-0005-0000-0000-0000800A0000}"/>
    <cellStyle name="Comma 4 7 9 2" xfId="13081" xr:uid="{838E5C12-3C76-4203-B9B4-B38AA2B6BEAC}"/>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ED63AFAD-994D-4A8E-BF17-6421E339DE33}"/>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1B262FF0-86AD-4044-A993-99E4B41DA49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2533FDB4-6689-4A06-8637-88187FEB5D82}"/>
    <cellStyle name="Currency 14 3 2 3" xfId="17172" xr:uid="{2682F0FD-4BE6-4B97-AC01-83CE248B7748}"/>
    <cellStyle name="Currency 14 3 3" xfId="17169" xr:uid="{DD187BC3-E5ED-481B-A87E-F9B5CB9316D7}"/>
    <cellStyle name="Currency 14 4" xfId="12952" xr:uid="{6AB7B019-D271-4570-80B9-C0102716C8D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B70C4F7C-FD35-4432-AB8C-5287119E098E}"/>
    <cellStyle name="Currency 3 2 2 10 3" xfId="11247" xr:uid="{F3D1C902-7E8E-4103-A922-12331E2B496F}"/>
    <cellStyle name="Currency 3 2 2 11" xfId="4632" xr:uid="{00000000-0005-0000-0000-0000A50A0000}"/>
    <cellStyle name="Currency 3 2 2 11 2" xfId="13082" xr:uid="{A58E3410-8EB1-47B3-9EC7-68EDEC524DE2}"/>
    <cellStyle name="Currency 3 2 2 12" xfId="8864" xr:uid="{8EF30143-DA58-4CF1-B6D3-356A023A3C06}"/>
    <cellStyle name="Currency 3 2 2 2" xfId="179" xr:uid="{00000000-0005-0000-0000-0000A60A0000}"/>
    <cellStyle name="Currency 3 2 2 2 10" xfId="4633" xr:uid="{00000000-0005-0000-0000-0000A70A0000}"/>
    <cellStyle name="Currency 3 2 2 2 10 2" xfId="13083" xr:uid="{75FD1D86-587A-4220-9402-D19442281B86}"/>
    <cellStyle name="Currency 3 2 2 2 11" xfId="8865" xr:uid="{B1515F67-9589-4650-8966-937B89CCF918}"/>
    <cellStyle name="Currency 3 2 2 2 2" xfId="180" xr:uid="{00000000-0005-0000-0000-0000A80A0000}"/>
    <cellStyle name="Currency 3 2 2 2 2 10" xfId="8866" xr:uid="{2ADA2D44-85AA-43A8-B36F-160F425FB83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8C42F229-89A5-488C-926D-B4E548577DC6}"/>
    <cellStyle name="Currency 3 2 2 2 2 2 2 3" xfId="11425" xr:uid="{779E6405-E921-4B2A-BF88-CB8682430CE2}"/>
    <cellStyle name="Currency 3 2 2 2 2 2 3" xfId="5048" xr:uid="{00000000-0005-0000-0000-0000AC0A0000}"/>
    <cellStyle name="Currency 3 2 2 2 2 2 3 2" xfId="13498" xr:uid="{2ED2A265-F9E0-4A26-8C96-2FB3BBD61738}"/>
    <cellStyle name="Currency 3 2 2 2 2 2 4" xfId="9280" xr:uid="{3CAA1C83-A8A4-49DE-BEE1-CFD28794AFD2}"/>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48D2768A-A489-46ED-8C9D-D1A732CBF375}"/>
    <cellStyle name="Currency 3 2 2 2 2 3 2 3" xfId="11838" xr:uid="{82B999F3-4C9E-40CD-8AEC-24F46D77247D}"/>
    <cellStyle name="Currency 3 2 2 2 2 3 3" xfId="5461" xr:uid="{00000000-0005-0000-0000-0000B00A0000}"/>
    <cellStyle name="Currency 3 2 2 2 2 3 3 2" xfId="13911" xr:uid="{D148E5C8-D9AE-4298-8A50-63D3A6A24B4D}"/>
    <cellStyle name="Currency 3 2 2 2 2 3 4" xfId="9693" xr:uid="{2E593248-FF82-4B6E-8A8E-F291C8E388CF}"/>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3F8AAF8C-4E50-47F8-BBB8-BF893D0CF51F}"/>
    <cellStyle name="Currency 3 2 2 2 2 4 2 3" xfId="12251" xr:uid="{4ECFEF1F-65F2-4361-9E01-D7843AF54C35}"/>
    <cellStyle name="Currency 3 2 2 2 2 4 3" xfId="5874" xr:uid="{00000000-0005-0000-0000-0000B40A0000}"/>
    <cellStyle name="Currency 3 2 2 2 2 4 3 2" xfId="14324" xr:uid="{98027336-45EE-4426-BB3B-DFCCE12DBDC2}"/>
    <cellStyle name="Currency 3 2 2 2 2 4 4" xfId="10106" xr:uid="{C6B32DD9-C13A-45C9-BEA0-8B2010DCD5A8}"/>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B3D9BEB9-2ED8-472B-B2C8-9E6C4A80136B}"/>
    <cellStyle name="Currency 3 2 2 2 2 5 2 3" xfId="12664" xr:uid="{846451CB-4221-4B38-A145-B277AE63475D}"/>
    <cellStyle name="Currency 3 2 2 2 2 5 3" xfId="6287" xr:uid="{00000000-0005-0000-0000-0000B80A0000}"/>
    <cellStyle name="Currency 3 2 2 2 2 5 3 2" xfId="14737" xr:uid="{039C7078-7188-40F5-A4F8-BAD73978F6FF}"/>
    <cellStyle name="Currency 3 2 2 2 2 5 4" xfId="10519" xr:uid="{E90580BC-EAAF-440B-963D-51194A9AA825}"/>
    <cellStyle name="Currency 3 2 2 2 2 6" xfId="2416" xr:uid="{00000000-0005-0000-0000-0000B90A0000}"/>
    <cellStyle name="Currency 3 2 2 2 2 6 2" xfId="6700" xr:uid="{00000000-0005-0000-0000-0000BA0A0000}"/>
    <cellStyle name="Currency 3 2 2 2 2 6 2 2" xfId="15150" xr:uid="{EA053F33-BF5E-4E72-A9CC-B562A1BA99C0}"/>
    <cellStyle name="Currency 3 2 2 2 2 6 3" xfId="10932" xr:uid="{C8B28042-79E6-4030-BF9E-9E614C393C46}"/>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00F79A96-93A7-46EF-9A0D-F626933A50DE}"/>
    <cellStyle name="Currency 3 2 2 2 2 8 3" xfId="11249" xr:uid="{F44B66F0-E613-4DA6-A8DD-BD58DBBA2E35}"/>
    <cellStyle name="Currency 3 2 2 2 2 9" xfId="4634" xr:uid="{00000000-0005-0000-0000-0000BE0A0000}"/>
    <cellStyle name="Currency 3 2 2 2 2 9 2" xfId="13084" xr:uid="{0F4CDCFE-781B-4AA7-9930-171409CC948E}"/>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02004CA6-FFC2-48AA-B288-512D725C6E55}"/>
    <cellStyle name="Currency 3 2 2 2 3 2 3" xfId="11424" xr:uid="{57ED410A-4212-4C9A-98A3-EF536175DCE3}"/>
    <cellStyle name="Currency 3 2 2 2 3 3" xfId="5047" xr:uid="{00000000-0005-0000-0000-0000C20A0000}"/>
    <cellStyle name="Currency 3 2 2 2 3 3 2" xfId="13497" xr:uid="{7C0872D7-D7C5-4AFC-943B-01BD92374F58}"/>
    <cellStyle name="Currency 3 2 2 2 3 4" xfId="9279" xr:uid="{6D752CC5-957D-4A5C-A409-F7AAD8983C52}"/>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A067C98A-C527-4782-BB6C-F0603F2A0642}"/>
    <cellStyle name="Currency 3 2 2 2 4 2 3" xfId="11837" xr:uid="{0F088DE2-A2C3-410D-BAA3-8A48C17D228A}"/>
    <cellStyle name="Currency 3 2 2 2 4 3" xfId="5460" xr:uid="{00000000-0005-0000-0000-0000C60A0000}"/>
    <cellStyle name="Currency 3 2 2 2 4 3 2" xfId="13910" xr:uid="{15222A12-B96D-46B5-B420-732F36116F85}"/>
    <cellStyle name="Currency 3 2 2 2 4 4" xfId="9692" xr:uid="{3904EC6E-068A-4E53-A2DE-7EBFCECA90B7}"/>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AEB2BBCC-B16A-41AB-B710-BB6461ACA9EE}"/>
    <cellStyle name="Currency 3 2 2 2 5 2 3" xfId="12250" xr:uid="{4773CD02-44B3-4B6F-BF99-B7DB2F82BC26}"/>
    <cellStyle name="Currency 3 2 2 2 5 3" xfId="5873" xr:uid="{00000000-0005-0000-0000-0000CA0A0000}"/>
    <cellStyle name="Currency 3 2 2 2 5 3 2" xfId="14323" xr:uid="{3506C5EE-79E4-4DBE-84D3-3B12B09DA871}"/>
    <cellStyle name="Currency 3 2 2 2 5 4" xfId="10105" xr:uid="{FCF13C5E-FC57-4623-8380-A03B11D85ABA}"/>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16DCA9C0-747A-4A3B-82EC-1E408BF69273}"/>
    <cellStyle name="Currency 3 2 2 2 6 2 3" xfId="12663" xr:uid="{0C926C03-3EC7-4695-BF1A-91A0DD1B0FD2}"/>
    <cellStyle name="Currency 3 2 2 2 6 3" xfId="6286" xr:uid="{00000000-0005-0000-0000-0000CE0A0000}"/>
    <cellStyle name="Currency 3 2 2 2 6 3 2" xfId="14736" xr:uid="{B92BC294-776F-4B89-A447-23AC2C4B7E1A}"/>
    <cellStyle name="Currency 3 2 2 2 6 4" xfId="10518" xr:uid="{258B0A6C-8711-4934-9F38-76ED4F07983B}"/>
    <cellStyle name="Currency 3 2 2 2 7" xfId="2415" xr:uid="{00000000-0005-0000-0000-0000CF0A0000}"/>
    <cellStyle name="Currency 3 2 2 2 7 2" xfId="6699" xr:uid="{00000000-0005-0000-0000-0000D00A0000}"/>
    <cellStyle name="Currency 3 2 2 2 7 2 2" xfId="15149" xr:uid="{2F2A38A2-30FC-474C-931D-CDE08F6A4574}"/>
    <cellStyle name="Currency 3 2 2 2 7 3" xfId="10931" xr:uid="{8D626C49-CCDC-4A12-8DA2-5974F63E5CC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0B6928BB-B35E-4090-8671-92D2E9AA253B}"/>
    <cellStyle name="Currency 3 2 2 2 9 3" xfId="11248" xr:uid="{54CBC87F-9520-4653-AD7A-75DA386FE9BE}"/>
    <cellStyle name="Currency 3 2 2 3" xfId="181" xr:uid="{00000000-0005-0000-0000-0000D40A0000}"/>
    <cellStyle name="Currency 3 2 2 3 10" xfId="8867" xr:uid="{8E2A101B-29DA-48F4-9C33-0B03B3E0E999}"/>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13A5F9D9-2DE1-4430-B9A5-5A5D58C37943}"/>
    <cellStyle name="Currency 3 2 2 3 2 2 3" xfId="11426" xr:uid="{4C6F4FEC-4604-49F9-A5FB-8F07ADAF252F}"/>
    <cellStyle name="Currency 3 2 2 3 2 3" xfId="5049" xr:uid="{00000000-0005-0000-0000-0000D80A0000}"/>
    <cellStyle name="Currency 3 2 2 3 2 3 2" xfId="13499" xr:uid="{7977A568-4773-4E7A-88B0-55B70A6D1727}"/>
    <cellStyle name="Currency 3 2 2 3 2 4" xfId="9281" xr:uid="{DC74B5DB-7574-4717-B070-ACC7DF295C3F}"/>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6509F0C6-81C1-4710-8493-D4B78A1857D6}"/>
    <cellStyle name="Currency 3 2 2 3 3 2 3" xfId="11839" xr:uid="{935E8E42-CD2D-43EE-8FBE-F2CE45BB4EA3}"/>
    <cellStyle name="Currency 3 2 2 3 3 3" xfId="5462" xr:uid="{00000000-0005-0000-0000-0000DC0A0000}"/>
    <cellStyle name="Currency 3 2 2 3 3 3 2" xfId="13912" xr:uid="{CA96E3D4-1596-4A9A-A6A0-D452ECF48912}"/>
    <cellStyle name="Currency 3 2 2 3 3 4" xfId="9694" xr:uid="{56754CE3-D88C-4040-84FF-502C5C2C815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5E8A9914-DBB1-4F59-BDD8-15BBCFC44910}"/>
    <cellStyle name="Currency 3 2 2 3 4 2 3" xfId="12252" xr:uid="{5489AFF2-4D71-4BC6-8084-8829E2603816}"/>
    <cellStyle name="Currency 3 2 2 3 4 3" xfId="5875" xr:uid="{00000000-0005-0000-0000-0000E00A0000}"/>
    <cellStyle name="Currency 3 2 2 3 4 3 2" xfId="14325" xr:uid="{94D5B864-A7EE-44E3-86EA-2C4FE827DC7B}"/>
    <cellStyle name="Currency 3 2 2 3 4 4" xfId="10107" xr:uid="{BA08A1C1-B9A8-4101-BEA5-F347D56858B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B4DFF6F3-8532-456F-AB6F-5E64A211B925}"/>
    <cellStyle name="Currency 3 2 2 3 5 2 3" xfId="12665" xr:uid="{C989E5BC-633D-487F-B484-6B4B2BA2E017}"/>
    <cellStyle name="Currency 3 2 2 3 5 3" xfId="6288" xr:uid="{00000000-0005-0000-0000-0000E40A0000}"/>
    <cellStyle name="Currency 3 2 2 3 5 3 2" xfId="14738" xr:uid="{10CAAA4B-1F58-483B-90B4-0F385282A336}"/>
    <cellStyle name="Currency 3 2 2 3 5 4" xfId="10520" xr:uid="{E4E1B15F-B599-474E-A83A-7D365E7B222B}"/>
    <cellStyle name="Currency 3 2 2 3 6" xfId="2417" xr:uid="{00000000-0005-0000-0000-0000E50A0000}"/>
    <cellStyle name="Currency 3 2 2 3 6 2" xfId="6701" xr:uid="{00000000-0005-0000-0000-0000E60A0000}"/>
    <cellStyle name="Currency 3 2 2 3 6 2 2" xfId="15151" xr:uid="{CE3FE65B-35FD-4CB8-AD08-6869AE569594}"/>
    <cellStyle name="Currency 3 2 2 3 6 3" xfId="10933" xr:uid="{4DF8A656-8C3F-447F-BD71-00DFD3874532}"/>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2C4E219C-8331-45F9-88EF-811ADCABE3C1}"/>
    <cellStyle name="Currency 3 2 2 3 8 3" xfId="11250" xr:uid="{657B6AE1-8C13-49B8-BD05-82C06218BC08}"/>
    <cellStyle name="Currency 3 2 2 3 9" xfId="4635" xr:uid="{00000000-0005-0000-0000-0000EA0A0000}"/>
    <cellStyle name="Currency 3 2 2 3 9 2" xfId="13085" xr:uid="{7D6C9951-B3F9-4C15-9BD0-E31F9EA8DBA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BF0431F2-6C63-4DEA-AF9B-AE6190856725}"/>
    <cellStyle name="Currency 3 2 2 4 2 3" xfId="11423" xr:uid="{DC8182A0-5281-4D92-9D31-1C29F54990A7}"/>
    <cellStyle name="Currency 3 2 2 4 3" xfId="5046" xr:uid="{00000000-0005-0000-0000-0000EE0A0000}"/>
    <cellStyle name="Currency 3 2 2 4 3 2" xfId="13496" xr:uid="{D8834FB2-B041-402E-A2BB-9CED062ABA6B}"/>
    <cellStyle name="Currency 3 2 2 4 4" xfId="9278" xr:uid="{47E29690-D5D5-4317-A8CF-BD6A98D90579}"/>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B81E904E-5C80-478F-964B-252D34FBC2B4}"/>
    <cellStyle name="Currency 3 2 2 5 2 3" xfId="11836" xr:uid="{4629CC02-4FDC-416C-A8BB-69F5504D48AB}"/>
    <cellStyle name="Currency 3 2 2 5 3" xfId="5459" xr:uid="{00000000-0005-0000-0000-0000F20A0000}"/>
    <cellStyle name="Currency 3 2 2 5 3 2" xfId="13909" xr:uid="{698023F7-9C5A-42B7-889F-771AAC663F8A}"/>
    <cellStyle name="Currency 3 2 2 5 4" xfId="9691" xr:uid="{CC1C4B11-C567-4756-91A6-05F66B95293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8E7B7318-539D-4C5B-845D-E8A6F92EBD61}"/>
    <cellStyle name="Currency 3 2 2 6 2 3" xfId="12249" xr:uid="{8C856977-3BDD-4EAD-B56A-19E242B70A86}"/>
    <cellStyle name="Currency 3 2 2 6 3" xfId="5872" xr:uid="{00000000-0005-0000-0000-0000F60A0000}"/>
    <cellStyle name="Currency 3 2 2 6 3 2" xfId="14322" xr:uid="{4C8A4E56-E9E3-4A46-9A90-2348F07F8192}"/>
    <cellStyle name="Currency 3 2 2 6 4" xfId="10104" xr:uid="{8A26E69A-5ED1-44A7-9AF7-13E6B61715A8}"/>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FC8736E3-F5E6-4CB3-8944-8CFC010A7F5F}"/>
    <cellStyle name="Currency 3 2 2 7 2 3" xfId="12662" xr:uid="{3DE07FD5-46DA-4490-BC17-75FAFBC5F4C3}"/>
    <cellStyle name="Currency 3 2 2 7 3" xfId="6285" xr:uid="{00000000-0005-0000-0000-0000FA0A0000}"/>
    <cellStyle name="Currency 3 2 2 7 3 2" xfId="14735" xr:uid="{268C9E87-847D-46FC-998F-83EDE8AC19E6}"/>
    <cellStyle name="Currency 3 2 2 7 4" xfId="10517" xr:uid="{624CA197-2DC3-437E-A9EC-DE8B40CCB196}"/>
    <cellStyle name="Currency 3 2 2 8" xfId="2414" xr:uid="{00000000-0005-0000-0000-0000FB0A0000}"/>
    <cellStyle name="Currency 3 2 2 8 2" xfId="6698" xr:uid="{00000000-0005-0000-0000-0000FC0A0000}"/>
    <cellStyle name="Currency 3 2 2 8 2 2" xfId="15148" xr:uid="{82487910-535F-4986-91E7-A35BC21E4D74}"/>
    <cellStyle name="Currency 3 2 2 8 3" xfId="10930" xr:uid="{2DA9125E-0214-4F24-95F3-D7E4FF7051BC}"/>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E7C8FDC2-C845-4850-9691-D458DBDBA58B}"/>
    <cellStyle name="Currency 3 2 3 11" xfId="8868" xr:uid="{A4EC2D2C-A41E-4F33-BAD0-6CC72285BB06}"/>
    <cellStyle name="Currency 3 2 3 2" xfId="183" xr:uid="{00000000-0005-0000-0000-0000000B0000}"/>
    <cellStyle name="Currency 3 2 3 2 10" xfId="8869" xr:uid="{2F6C5CFD-C9AE-489C-B71F-0F58226299A8}"/>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10F620C4-3E9D-4F12-AE0B-49E7BDAA9016}"/>
    <cellStyle name="Currency 3 2 3 2 2 2 3" xfId="11428" xr:uid="{7E54B311-B37F-47A2-9CE7-B9FF332D1BE1}"/>
    <cellStyle name="Currency 3 2 3 2 2 3" xfId="5051" xr:uid="{00000000-0005-0000-0000-0000040B0000}"/>
    <cellStyle name="Currency 3 2 3 2 2 3 2" xfId="13501" xr:uid="{EE7FB34F-B599-4E14-AC0A-7BAF04B8FC04}"/>
    <cellStyle name="Currency 3 2 3 2 2 4" xfId="9283" xr:uid="{22EE580A-5BCA-40B1-96A7-CDC3B297A8D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9D77688C-4A92-489A-8E3F-064BF235A43A}"/>
    <cellStyle name="Currency 3 2 3 2 3 2 3" xfId="11841" xr:uid="{297E3CEB-D42F-4865-9A18-458C284CF40B}"/>
    <cellStyle name="Currency 3 2 3 2 3 3" xfId="5464" xr:uid="{00000000-0005-0000-0000-0000080B0000}"/>
    <cellStyle name="Currency 3 2 3 2 3 3 2" xfId="13914" xr:uid="{F372748B-512D-4A4E-8D4F-157B022C09CC}"/>
    <cellStyle name="Currency 3 2 3 2 3 4" xfId="9696" xr:uid="{F6E1F837-DAD5-417A-B4C8-F49A8794D2DA}"/>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EBB52780-1210-4914-B04A-3BDB2170A629}"/>
    <cellStyle name="Currency 3 2 3 2 4 2 3" xfId="12254" xr:uid="{56FA0D4F-A3D9-4D53-AB23-AA971BEB5480}"/>
    <cellStyle name="Currency 3 2 3 2 4 3" xfId="5877" xr:uid="{00000000-0005-0000-0000-00000C0B0000}"/>
    <cellStyle name="Currency 3 2 3 2 4 3 2" xfId="14327" xr:uid="{90CBEBDA-D274-4069-BE02-395CEA262CE5}"/>
    <cellStyle name="Currency 3 2 3 2 4 4" xfId="10109" xr:uid="{EC170306-DC89-4BDA-AE83-92A2269F5877}"/>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BB4D5E5B-6916-4148-A4FD-5D8082A407CC}"/>
    <cellStyle name="Currency 3 2 3 2 5 2 3" xfId="12667" xr:uid="{3E416932-9E39-4E3F-9C72-557724668896}"/>
    <cellStyle name="Currency 3 2 3 2 5 3" xfId="6290" xr:uid="{00000000-0005-0000-0000-0000100B0000}"/>
    <cellStyle name="Currency 3 2 3 2 5 3 2" xfId="14740" xr:uid="{7402D674-0080-4610-94F8-9778E00F7521}"/>
    <cellStyle name="Currency 3 2 3 2 5 4" xfId="10522" xr:uid="{799B2738-FEBB-4681-A69C-B6467DD3E255}"/>
    <cellStyle name="Currency 3 2 3 2 6" xfId="2419" xr:uid="{00000000-0005-0000-0000-0000110B0000}"/>
    <cellStyle name="Currency 3 2 3 2 6 2" xfId="6703" xr:uid="{00000000-0005-0000-0000-0000120B0000}"/>
    <cellStyle name="Currency 3 2 3 2 6 2 2" xfId="15153" xr:uid="{E43BB2B3-7F50-4BD6-9BF1-9170FE7E4F4E}"/>
    <cellStyle name="Currency 3 2 3 2 6 3" xfId="10935" xr:uid="{DEAB4628-46E6-46CA-A6A0-D279F5E5EC9E}"/>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09F39E8A-3520-4D28-AC92-AEB028227ADA}"/>
    <cellStyle name="Currency 3 2 3 2 8 3" xfId="11252" xr:uid="{293B5EFE-01B6-439D-A309-620E0860D2B1}"/>
    <cellStyle name="Currency 3 2 3 2 9" xfId="4637" xr:uid="{00000000-0005-0000-0000-0000160B0000}"/>
    <cellStyle name="Currency 3 2 3 2 9 2" xfId="13087" xr:uid="{05664BA6-EDEF-4091-98CB-1DE7115DEFB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39814F0C-0431-4D7C-A689-1B7F7FBDDFAE}"/>
    <cellStyle name="Currency 3 2 3 3 2 3" xfId="11427" xr:uid="{8C95F337-ABCD-41BF-96B3-E74766C86414}"/>
    <cellStyle name="Currency 3 2 3 3 3" xfId="5050" xr:uid="{00000000-0005-0000-0000-00001A0B0000}"/>
    <cellStyle name="Currency 3 2 3 3 3 2" xfId="13500" xr:uid="{75629C38-2CF5-4531-9041-44294D26AEEF}"/>
    <cellStyle name="Currency 3 2 3 3 4" xfId="9282" xr:uid="{168BB92A-664E-45A5-B3DC-BB95D6CAA7A8}"/>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AC6F6E5D-8E64-4074-8E6D-5EA547F6FFE0}"/>
    <cellStyle name="Currency 3 2 3 4 2 3" xfId="11840" xr:uid="{73CA9CFF-4D65-496E-866F-C206D3E64868}"/>
    <cellStyle name="Currency 3 2 3 4 3" xfId="5463" xr:uid="{00000000-0005-0000-0000-00001E0B0000}"/>
    <cellStyle name="Currency 3 2 3 4 3 2" xfId="13913" xr:uid="{3BAE655F-EBF9-4FD2-9430-C3DEB431C4AE}"/>
    <cellStyle name="Currency 3 2 3 4 4" xfId="9695" xr:uid="{0286C183-CECD-4EE3-A530-E3465ABD779D}"/>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F3AF9872-9A0B-419E-97F3-B4BA5A6A8148}"/>
    <cellStyle name="Currency 3 2 3 5 2 3" xfId="12253" xr:uid="{54C1A4CE-AFB0-43F9-8A11-06ABD4D9BE86}"/>
    <cellStyle name="Currency 3 2 3 5 3" xfId="5876" xr:uid="{00000000-0005-0000-0000-0000220B0000}"/>
    <cellStyle name="Currency 3 2 3 5 3 2" xfId="14326" xr:uid="{F7CEB188-0B6F-40B2-906B-2D852BF42D78}"/>
    <cellStyle name="Currency 3 2 3 5 4" xfId="10108" xr:uid="{F2E49417-6881-49A3-A764-080B3A39213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F7595785-7AA7-48D1-A53C-C40D20AD78CB}"/>
    <cellStyle name="Currency 3 2 3 6 2 3" xfId="12666" xr:uid="{DB581F32-8A9B-462C-8E27-B9D5E359BFBE}"/>
    <cellStyle name="Currency 3 2 3 6 3" xfId="6289" xr:uid="{00000000-0005-0000-0000-0000260B0000}"/>
    <cellStyle name="Currency 3 2 3 6 3 2" xfId="14739" xr:uid="{5EFDA04C-BC8A-46E6-86CF-AAB9F5D69D3E}"/>
    <cellStyle name="Currency 3 2 3 6 4" xfId="10521" xr:uid="{BDA17AFC-08D5-4D14-8746-3E1E0DD5A3D8}"/>
    <cellStyle name="Currency 3 2 3 7" xfId="2418" xr:uid="{00000000-0005-0000-0000-0000270B0000}"/>
    <cellStyle name="Currency 3 2 3 7 2" xfId="6702" xr:uid="{00000000-0005-0000-0000-0000280B0000}"/>
    <cellStyle name="Currency 3 2 3 7 2 2" xfId="15152" xr:uid="{467B1454-5ACE-4581-8CD4-45D8CE1EF46B}"/>
    <cellStyle name="Currency 3 2 3 7 3" xfId="10934" xr:uid="{17E6F66B-5047-4311-9777-5C8046A5EF96}"/>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B4859D54-6292-4AF8-A891-B1225064C17C}"/>
    <cellStyle name="Currency 3 2 3 9 3" xfId="11251" xr:uid="{A646747B-D804-49C9-A4AF-26918F7A5DFA}"/>
    <cellStyle name="Currency 3 2 4" xfId="184" xr:uid="{00000000-0005-0000-0000-00002C0B0000}"/>
    <cellStyle name="Currency 3 2 4 10" xfId="8870" xr:uid="{68049D0B-96A5-427F-BCEA-E70C2C0FEF26}"/>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518E43F6-E6C5-44C5-B074-002B6F35F6FC}"/>
    <cellStyle name="Currency 3 2 4 2 2 3" xfId="11429" xr:uid="{13E9244D-A605-4E9D-B591-9E4C42CA38BB}"/>
    <cellStyle name="Currency 3 2 4 2 3" xfId="5052" xr:uid="{00000000-0005-0000-0000-0000300B0000}"/>
    <cellStyle name="Currency 3 2 4 2 3 2" xfId="13502" xr:uid="{090A7A83-2A50-4020-9AAA-B59A54F5156E}"/>
    <cellStyle name="Currency 3 2 4 2 4" xfId="9284" xr:uid="{8EB8080B-43BB-4B3A-AD6F-54C9302118E1}"/>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03E520AC-B8D2-417E-B159-1937A4427714}"/>
    <cellStyle name="Currency 3 2 4 3 2 3" xfId="11842" xr:uid="{4606E19B-94B2-44EA-9244-583AC3378397}"/>
    <cellStyle name="Currency 3 2 4 3 3" xfId="5465" xr:uid="{00000000-0005-0000-0000-0000340B0000}"/>
    <cellStyle name="Currency 3 2 4 3 3 2" xfId="13915" xr:uid="{3754D1AC-0827-4B93-833F-29AA20C3517D}"/>
    <cellStyle name="Currency 3 2 4 3 4" xfId="9697" xr:uid="{2676567C-ED31-449B-93B9-9CD26A6704F8}"/>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5736FE33-8E80-42C4-BD5A-BB2026B66AB0}"/>
    <cellStyle name="Currency 3 2 4 4 2 3" xfId="12255" xr:uid="{C18EAFC5-CF5F-4F14-BFAD-27FD8C5696B2}"/>
    <cellStyle name="Currency 3 2 4 4 3" xfId="5878" xr:uid="{00000000-0005-0000-0000-0000380B0000}"/>
    <cellStyle name="Currency 3 2 4 4 3 2" xfId="14328" xr:uid="{5D204FC1-DCED-4E85-AA83-CABE65422086}"/>
    <cellStyle name="Currency 3 2 4 4 4" xfId="10110" xr:uid="{0426827A-190C-4738-802F-DD76121F5F2F}"/>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5122AEEE-BE60-4F03-A012-FF49A9BBED6F}"/>
    <cellStyle name="Currency 3 2 4 5 2 3" xfId="12668" xr:uid="{2AEC5BC6-59FE-4A06-B6BD-40043F1989CF}"/>
    <cellStyle name="Currency 3 2 4 5 3" xfId="6291" xr:uid="{00000000-0005-0000-0000-00003C0B0000}"/>
    <cellStyle name="Currency 3 2 4 5 3 2" xfId="14741" xr:uid="{4213B4FE-6BE8-4812-A97B-39E04F8FFC6A}"/>
    <cellStyle name="Currency 3 2 4 5 4" xfId="10523" xr:uid="{78198FE0-0C98-4432-B7AD-0B5E9EE0E3E4}"/>
    <cellStyle name="Currency 3 2 4 6" xfId="2420" xr:uid="{00000000-0005-0000-0000-00003D0B0000}"/>
    <cellStyle name="Currency 3 2 4 6 2" xfId="6704" xr:uid="{00000000-0005-0000-0000-00003E0B0000}"/>
    <cellStyle name="Currency 3 2 4 6 2 2" xfId="15154" xr:uid="{13B74148-6D50-4761-90C4-1815022D4B23}"/>
    <cellStyle name="Currency 3 2 4 6 3" xfId="10936" xr:uid="{B42378E6-CBCD-4BDA-91A3-B7B0D9EA1D35}"/>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15524481-40AE-4747-8287-2BB56EE03361}"/>
    <cellStyle name="Currency 3 2 4 8 3" xfId="11253" xr:uid="{85988EC9-A6D5-4255-ABAB-5581A5E1BF85}"/>
    <cellStyle name="Currency 3 2 4 9" xfId="4638" xr:uid="{00000000-0005-0000-0000-0000420B0000}"/>
    <cellStyle name="Currency 3 2 4 9 2" xfId="13088" xr:uid="{13D96AB3-8F60-40D1-85AD-5CEF111EA2CE}"/>
    <cellStyle name="Currency 3 2 5" xfId="185" xr:uid="{00000000-0005-0000-0000-0000430B0000}"/>
    <cellStyle name="Currency 3 2 5 10" xfId="8871" xr:uid="{77899C8C-947D-4D65-8A61-D636498E6896}"/>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983F21C9-01FD-4BF4-A4FE-A90986E13578}"/>
    <cellStyle name="Currency 3 2 5 2 2 3" xfId="11430" xr:uid="{117341CB-BA8C-4568-9E74-4FC7B579387E}"/>
    <cellStyle name="Currency 3 2 5 2 3" xfId="5053" xr:uid="{00000000-0005-0000-0000-0000470B0000}"/>
    <cellStyle name="Currency 3 2 5 2 3 2" xfId="13503" xr:uid="{530225F1-92B1-42AD-8AB0-700BEBFEE2B1}"/>
    <cellStyle name="Currency 3 2 5 2 4" xfId="9285" xr:uid="{40F09C6B-B454-4CFF-B57E-663A6B76694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70C92D8C-AD00-48DF-96E4-2100D9740126}"/>
    <cellStyle name="Currency 3 2 5 3 2 3" xfId="11843" xr:uid="{B06499B3-FD62-4156-B8ED-EF22BDA653E7}"/>
    <cellStyle name="Currency 3 2 5 3 3" xfId="5466" xr:uid="{00000000-0005-0000-0000-00004B0B0000}"/>
    <cellStyle name="Currency 3 2 5 3 3 2" xfId="13916" xr:uid="{980C4B6E-68A8-42AB-89B7-469518D1073F}"/>
    <cellStyle name="Currency 3 2 5 3 4" xfId="9698" xr:uid="{BA459566-FB23-4DC5-AE1C-A462D52FAB02}"/>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DED43A99-55EE-4849-B7DA-0EC9F34A0787}"/>
    <cellStyle name="Currency 3 2 5 4 2 3" xfId="12256" xr:uid="{C5A036B3-C7C8-4DB5-9A85-645436ACF8C2}"/>
    <cellStyle name="Currency 3 2 5 4 3" xfId="5879" xr:uid="{00000000-0005-0000-0000-00004F0B0000}"/>
    <cellStyle name="Currency 3 2 5 4 3 2" xfId="14329" xr:uid="{973FF063-934C-4590-8738-DD9B5E5F4108}"/>
    <cellStyle name="Currency 3 2 5 4 4" xfId="10111" xr:uid="{D81D4BFD-8636-4A11-B7C1-12EA81B17D58}"/>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3F34A99A-B3F8-4C1D-974B-CF00F4B46B15}"/>
    <cellStyle name="Currency 3 2 5 5 2 3" xfId="12669" xr:uid="{78CC5093-3665-468E-B9A7-4E49C194BC28}"/>
    <cellStyle name="Currency 3 2 5 5 3" xfId="6292" xr:uid="{00000000-0005-0000-0000-0000530B0000}"/>
    <cellStyle name="Currency 3 2 5 5 3 2" xfId="14742" xr:uid="{D62E8C89-7CBE-444A-9732-80F36242CAEC}"/>
    <cellStyle name="Currency 3 2 5 5 4" xfId="10524" xr:uid="{A6C29991-EF58-4B4A-B4FA-8B826D6ED9C1}"/>
    <cellStyle name="Currency 3 2 5 6" xfId="2421" xr:uid="{00000000-0005-0000-0000-0000540B0000}"/>
    <cellStyle name="Currency 3 2 5 6 2" xfId="6705" xr:uid="{00000000-0005-0000-0000-0000550B0000}"/>
    <cellStyle name="Currency 3 2 5 6 2 2" xfId="15155" xr:uid="{2E789337-D656-4F8A-846C-25CD88B6DC28}"/>
    <cellStyle name="Currency 3 2 5 6 3" xfId="10937" xr:uid="{56B4EB55-7D9B-49DD-9854-8AD34FD2D94F}"/>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CB2F4759-6C69-4C89-B4A5-D7B6704703A6}"/>
    <cellStyle name="Currency 3 2 5 8 3" xfId="11254" xr:uid="{9BDBB169-8749-434E-AFA2-DDF905E6B699}"/>
    <cellStyle name="Currency 3 2 5 9" xfId="4639" xr:uid="{00000000-0005-0000-0000-0000590B0000}"/>
    <cellStyle name="Currency 3 2 5 9 2" xfId="13089" xr:uid="{025D52C1-2B22-401B-A152-C2B3B2C4228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3596C9DC-A2AB-4F77-B3A8-947546A5E43B}"/>
    <cellStyle name="Currency 5 2 2 2 10 3" xfId="11255" xr:uid="{0F61E5BB-EDD6-4865-BCDD-8D49E6DD37E9}"/>
    <cellStyle name="Currency 5 2 2 2 11" xfId="4640" xr:uid="{00000000-0005-0000-0000-00006C0B0000}"/>
    <cellStyle name="Currency 5 2 2 2 11 2" xfId="13090" xr:uid="{3BC70FC9-81CD-4D9F-86BF-95EEDE29AAB5}"/>
    <cellStyle name="Currency 5 2 2 2 12" xfId="8872" xr:uid="{2795F5FF-FF96-4A3E-BE58-EEF163A8F321}"/>
    <cellStyle name="Currency 5 2 2 2 2" xfId="197" xr:uid="{00000000-0005-0000-0000-00006D0B0000}"/>
    <cellStyle name="Currency 5 2 2 2 2 10" xfId="4641" xr:uid="{00000000-0005-0000-0000-00006E0B0000}"/>
    <cellStyle name="Currency 5 2 2 2 2 10 2" xfId="13091" xr:uid="{83E0CF68-ADA6-488C-A9B7-9593C63B90BF}"/>
    <cellStyle name="Currency 5 2 2 2 2 11" xfId="8873" xr:uid="{CF85118B-F9A6-4D0B-8671-57364F0EF0FE}"/>
    <cellStyle name="Currency 5 2 2 2 2 2" xfId="198" xr:uid="{00000000-0005-0000-0000-00006F0B0000}"/>
    <cellStyle name="Currency 5 2 2 2 2 2 10" xfId="8874" xr:uid="{A64C6600-8F23-4291-97B8-07BC93F1D58A}"/>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4E0A8384-571F-428F-93DC-AD593FBA48A6}"/>
    <cellStyle name="Currency 5 2 2 2 2 2 2 2 3" xfId="11433" xr:uid="{E7B2693A-41B6-4F78-9D42-99D59F34C0B5}"/>
    <cellStyle name="Currency 5 2 2 2 2 2 2 3" xfId="5056" xr:uid="{00000000-0005-0000-0000-0000730B0000}"/>
    <cellStyle name="Currency 5 2 2 2 2 2 2 3 2" xfId="13506" xr:uid="{B503C7ED-D0DA-4C6A-935F-40787398FE09}"/>
    <cellStyle name="Currency 5 2 2 2 2 2 2 4" xfId="9288" xr:uid="{3687489C-384D-443A-90DB-A93DA46049B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787815CC-226E-46B9-A445-A08BAC1BCA03}"/>
    <cellStyle name="Currency 5 2 2 2 2 2 3 2 3" xfId="11846" xr:uid="{1B8AD198-4AA8-4B03-BBD7-07FC29229CF9}"/>
    <cellStyle name="Currency 5 2 2 2 2 2 3 3" xfId="5469" xr:uid="{00000000-0005-0000-0000-0000770B0000}"/>
    <cellStyle name="Currency 5 2 2 2 2 2 3 3 2" xfId="13919" xr:uid="{C5B0F543-1273-43DE-86FA-BB54C6817414}"/>
    <cellStyle name="Currency 5 2 2 2 2 2 3 4" xfId="9701" xr:uid="{8DCE8547-0098-4245-B756-AEDF66B21854}"/>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1A15A769-22A0-4049-B40C-ECC1E03C3210}"/>
    <cellStyle name="Currency 5 2 2 2 2 2 4 2 3" xfId="12259" xr:uid="{BE1636D8-8E68-4C85-84C3-3337E6D9729B}"/>
    <cellStyle name="Currency 5 2 2 2 2 2 4 3" xfId="5882" xr:uid="{00000000-0005-0000-0000-00007B0B0000}"/>
    <cellStyle name="Currency 5 2 2 2 2 2 4 3 2" xfId="14332" xr:uid="{909BDB3C-FE33-4116-9163-420761959C72}"/>
    <cellStyle name="Currency 5 2 2 2 2 2 4 4" xfId="10114" xr:uid="{16EF618A-6B50-46C8-A6CE-DF5E563E7F1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85C1C493-5915-48B0-8D7A-E4566435D7C8}"/>
    <cellStyle name="Currency 5 2 2 2 2 2 5 2 3" xfId="12672" xr:uid="{97B9080E-8329-469A-B6D8-145AACEDD851}"/>
    <cellStyle name="Currency 5 2 2 2 2 2 5 3" xfId="6295" xr:uid="{00000000-0005-0000-0000-00007F0B0000}"/>
    <cellStyle name="Currency 5 2 2 2 2 2 5 3 2" xfId="14745" xr:uid="{61BFCA42-352A-4525-AFF5-0BB73D74A450}"/>
    <cellStyle name="Currency 5 2 2 2 2 2 5 4" xfId="10527" xr:uid="{3DA40400-01AF-4D66-A767-A70B4F59B0B8}"/>
    <cellStyle name="Currency 5 2 2 2 2 2 6" xfId="2424" xr:uid="{00000000-0005-0000-0000-0000800B0000}"/>
    <cellStyle name="Currency 5 2 2 2 2 2 6 2" xfId="6708" xr:uid="{00000000-0005-0000-0000-0000810B0000}"/>
    <cellStyle name="Currency 5 2 2 2 2 2 6 2 2" xfId="15158" xr:uid="{D51DCC96-6AC2-4C28-882D-096CC6191655}"/>
    <cellStyle name="Currency 5 2 2 2 2 2 6 3" xfId="10940" xr:uid="{3E44B1A0-8F01-4EE2-9C0A-CDE48AFACCA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D9ED6E18-DF7A-4AE5-91F1-6ABF8D5ED72B}"/>
    <cellStyle name="Currency 5 2 2 2 2 2 8 3" xfId="11257" xr:uid="{28DAA31B-4E58-4636-9A57-CE8542CDEC3F}"/>
    <cellStyle name="Currency 5 2 2 2 2 2 9" xfId="4642" xr:uid="{00000000-0005-0000-0000-0000850B0000}"/>
    <cellStyle name="Currency 5 2 2 2 2 2 9 2" xfId="13092" xr:uid="{08A0DD39-9748-468E-A851-619666B34D4D}"/>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9C744681-7C97-49AA-9E11-E0A90424C064}"/>
    <cellStyle name="Currency 5 2 2 2 2 3 2 3" xfId="11432" xr:uid="{7FC6DFC8-D8F0-4B79-8FC3-50B61D6E074B}"/>
    <cellStyle name="Currency 5 2 2 2 2 3 3" xfId="5055" xr:uid="{00000000-0005-0000-0000-0000890B0000}"/>
    <cellStyle name="Currency 5 2 2 2 2 3 3 2" xfId="13505" xr:uid="{77C606F5-A38B-42E7-9E48-82BF1DA929C0}"/>
    <cellStyle name="Currency 5 2 2 2 2 3 4" xfId="9287" xr:uid="{5A3A77BA-1D53-40E3-8FCD-1B5DF3F30CD5}"/>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2D6C3BCF-4BB2-4C23-905B-225C3439E0E5}"/>
    <cellStyle name="Currency 5 2 2 2 2 4 2 3" xfId="11845" xr:uid="{F508FADC-4F05-42A6-A6DD-7AEAEF4218AD}"/>
    <cellStyle name="Currency 5 2 2 2 2 4 3" xfId="5468" xr:uid="{00000000-0005-0000-0000-00008D0B0000}"/>
    <cellStyle name="Currency 5 2 2 2 2 4 3 2" xfId="13918" xr:uid="{E6558417-CDC1-4690-B4DC-9DF12C45ADBE}"/>
    <cellStyle name="Currency 5 2 2 2 2 4 4" xfId="9700" xr:uid="{2AE9379D-1662-4F51-9CAE-C61D18F4676D}"/>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D3D18561-2898-4F9B-A244-4E2FFB0B2D4A}"/>
    <cellStyle name="Currency 5 2 2 2 2 5 2 3" xfId="12258" xr:uid="{8352FB20-4F49-47B3-8048-E4D8535D5A41}"/>
    <cellStyle name="Currency 5 2 2 2 2 5 3" xfId="5881" xr:uid="{00000000-0005-0000-0000-0000910B0000}"/>
    <cellStyle name="Currency 5 2 2 2 2 5 3 2" xfId="14331" xr:uid="{DCE7F9C1-558E-499E-87E6-F3955D66D031}"/>
    <cellStyle name="Currency 5 2 2 2 2 5 4" xfId="10113" xr:uid="{F0331AAD-D9D8-4F83-8514-A2207B28F69A}"/>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7B3B182B-7A4D-43F0-A368-431771744D12}"/>
    <cellStyle name="Currency 5 2 2 2 2 6 2 3" xfId="12671" xr:uid="{429DCAC6-5FFB-4656-AC7B-3DB0431E5D1A}"/>
    <cellStyle name="Currency 5 2 2 2 2 6 3" xfId="6294" xr:uid="{00000000-0005-0000-0000-0000950B0000}"/>
    <cellStyle name="Currency 5 2 2 2 2 6 3 2" xfId="14744" xr:uid="{A5341BB5-FC0A-46A0-8836-7C935ED942C5}"/>
    <cellStyle name="Currency 5 2 2 2 2 6 4" xfId="10526" xr:uid="{25D74055-2AB0-4E81-A429-A5089595C54A}"/>
    <cellStyle name="Currency 5 2 2 2 2 7" xfId="2423" xr:uid="{00000000-0005-0000-0000-0000960B0000}"/>
    <cellStyle name="Currency 5 2 2 2 2 7 2" xfId="6707" xr:uid="{00000000-0005-0000-0000-0000970B0000}"/>
    <cellStyle name="Currency 5 2 2 2 2 7 2 2" xfId="15157" xr:uid="{7F7EA259-2FFC-4247-8659-BFA12D31F6F0}"/>
    <cellStyle name="Currency 5 2 2 2 2 7 3" xfId="10939" xr:uid="{68A9BDF2-2F5E-402C-80DB-4E757BF6847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72110031-3480-4195-8E61-CF9BF823FFA3}"/>
    <cellStyle name="Currency 5 2 2 2 2 9 3" xfId="11256" xr:uid="{FB9A73C3-70E3-43B8-84CE-598CA620DAB8}"/>
    <cellStyle name="Currency 5 2 2 2 3" xfId="199" xr:uid="{00000000-0005-0000-0000-00009B0B0000}"/>
    <cellStyle name="Currency 5 2 2 2 3 10" xfId="8875" xr:uid="{3473F2F8-677C-4516-A818-9215BD4A090C}"/>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602A8E0F-CB5F-408F-99BE-2FADF4D749D1}"/>
    <cellStyle name="Currency 5 2 2 2 3 2 2 3" xfId="11434" xr:uid="{E506415B-6469-4C5A-8817-82885B1FF56E}"/>
    <cellStyle name="Currency 5 2 2 2 3 2 3" xfId="5057" xr:uid="{00000000-0005-0000-0000-00009F0B0000}"/>
    <cellStyle name="Currency 5 2 2 2 3 2 3 2" xfId="13507" xr:uid="{9476633F-F650-4DBF-907D-3C6745BB65BA}"/>
    <cellStyle name="Currency 5 2 2 2 3 2 4" xfId="9289" xr:uid="{5FCE988A-25DB-492A-BD1C-88D439B40D6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98918198-2413-4C02-AD6F-C6B533C2911C}"/>
    <cellStyle name="Currency 5 2 2 2 3 3 2 3" xfId="11847" xr:uid="{5376F1AB-A4AF-4FEC-AD91-F5CBB49C9048}"/>
    <cellStyle name="Currency 5 2 2 2 3 3 3" xfId="5470" xr:uid="{00000000-0005-0000-0000-0000A30B0000}"/>
    <cellStyle name="Currency 5 2 2 2 3 3 3 2" xfId="13920" xr:uid="{FDEAEA36-2CC8-4A27-A9E3-5A2AD77ACACA}"/>
    <cellStyle name="Currency 5 2 2 2 3 3 4" xfId="9702" xr:uid="{9FF46280-B16F-4BA8-BFCA-BAE15C7A03C1}"/>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BBF6A247-136A-4A83-86DE-E86BC2E5886D}"/>
    <cellStyle name="Currency 5 2 2 2 3 4 2 3" xfId="12260" xr:uid="{54AE553B-47CA-4D6D-B86A-E59366DC80FD}"/>
    <cellStyle name="Currency 5 2 2 2 3 4 3" xfId="5883" xr:uid="{00000000-0005-0000-0000-0000A70B0000}"/>
    <cellStyle name="Currency 5 2 2 2 3 4 3 2" xfId="14333" xr:uid="{EA572E72-95FC-4D02-99B7-5C1074B61472}"/>
    <cellStyle name="Currency 5 2 2 2 3 4 4" xfId="10115" xr:uid="{98A0C0CD-4AA1-43E6-BB86-D788975A83B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D371A771-A0C7-4F6C-95C7-793FA4FBBF03}"/>
    <cellStyle name="Currency 5 2 2 2 3 5 2 3" xfId="12673" xr:uid="{6BAB740B-0B53-4073-9DEA-8D60CFB4C3A4}"/>
    <cellStyle name="Currency 5 2 2 2 3 5 3" xfId="6296" xr:uid="{00000000-0005-0000-0000-0000AB0B0000}"/>
    <cellStyle name="Currency 5 2 2 2 3 5 3 2" xfId="14746" xr:uid="{CDE5E869-E0B8-40A9-84F3-7BD097F3B5FE}"/>
    <cellStyle name="Currency 5 2 2 2 3 5 4" xfId="10528" xr:uid="{66B328FD-02A6-4ADB-A167-7665B1AC88A7}"/>
    <cellStyle name="Currency 5 2 2 2 3 6" xfId="2425" xr:uid="{00000000-0005-0000-0000-0000AC0B0000}"/>
    <cellStyle name="Currency 5 2 2 2 3 6 2" xfId="6709" xr:uid="{00000000-0005-0000-0000-0000AD0B0000}"/>
    <cellStyle name="Currency 5 2 2 2 3 6 2 2" xfId="15159" xr:uid="{23999334-4A33-4BC6-A2CB-156745F9A4AF}"/>
    <cellStyle name="Currency 5 2 2 2 3 6 3" xfId="10941" xr:uid="{DBB1E43F-1124-4851-9673-11093E233F5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7A860BA9-C616-40B5-B16B-0B9990C33C96}"/>
    <cellStyle name="Currency 5 2 2 2 3 8 3" xfId="11258" xr:uid="{4E9216FF-5915-48C8-B41C-8AE9B8EE6EFA}"/>
    <cellStyle name="Currency 5 2 2 2 3 9" xfId="4643" xr:uid="{00000000-0005-0000-0000-0000B10B0000}"/>
    <cellStyle name="Currency 5 2 2 2 3 9 2" xfId="13093" xr:uid="{15D14988-C6C2-4D3E-85C9-CC97BD30600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EE37FF06-D2E4-4D5F-89EE-44CC6C6C0755}"/>
    <cellStyle name="Currency 5 2 2 2 4 2 3" xfId="11431" xr:uid="{3236DB99-82CA-475D-90C7-CE96F3AFB87A}"/>
    <cellStyle name="Currency 5 2 2 2 4 3" xfId="5054" xr:uid="{00000000-0005-0000-0000-0000B50B0000}"/>
    <cellStyle name="Currency 5 2 2 2 4 3 2" xfId="13504" xr:uid="{1DEC44CA-46C8-44FF-A995-4BA05D6D9F5A}"/>
    <cellStyle name="Currency 5 2 2 2 4 4" xfId="9286" xr:uid="{69786C87-B9BE-48E0-91A4-5933A603E09C}"/>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1802DB3A-2F41-40B6-8F5F-68E57A9C0EF0}"/>
    <cellStyle name="Currency 5 2 2 2 5 2 3" xfId="11844" xr:uid="{B0A5FBB7-1A39-4080-9DAA-96D17A592073}"/>
    <cellStyle name="Currency 5 2 2 2 5 3" xfId="5467" xr:uid="{00000000-0005-0000-0000-0000B90B0000}"/>
    <cellStyle name="Currency 5 2 2 2 5 3 2" xfId="13917" xr:uid="{99B3E43A-E43C-48D0-8026-C7BA9A2686C4}"/>
    <cellStyle name="Currency 5 2 2 2 5 4" xfId="9699" xr:uid="{74EED259-64BC-494C-A7D1-BF28DE23F62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8F69F80E-F99A-4B8F-89AD-A5EDCE3730BF}"/>
    <cellStyle name="Currency 5 2 2 2 6 2 3" xfId="12257" xr:uid="{B6F9F858-6E86-4053-A0DF-E03EADB360EF}"/>
    <cellStyle name="Currency 5 2 2 2 6 3" xfId="5880" xr:uid="{00000000-0005-0000-0000-0000BD0B0000}"/>
    <cellStyle name="Currency 5 2 2 2 6 3 2" xfId="14330" xr:uid="{D7AF6DD7-D7E2-4DEE-BC34-C106C52D30F2}"/>
    <cellStyle name="Currency 5 2 2 2 6 4" xfId="10112" xr:uid="{495C83D6-AAE1-496B-B8DA-16F9290F8E9B}"/>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427CDE2A-CE6E-4172-B353-32AE7E5E68B7}"/>
    <cellStyle name="Currency 5 2 2 2 7 2 3" xfId="12670" xr:uid="{DC08D695-FD72-4B3D-A630-449F073E4934}"/>
    <cellStyle name="Currency 5 2 2 2 7 3" xfId="6293" xr:uid="{00000000-0005-0000-0000-0000C10B0000}"/>
    <cellStyle name="Currency 5 2 2 2 7 3 2" xfId="14743" xr:uid="{40F2EF0C-D82F-4461-A5BB-C45A78B454B1}"/>
    <cellStyle name="Currency 5 2 2 2 7 4" xfId="10525" xr:uid="{9939D613-6FC8-476F-A801-095BCEE60F55}"/>
    <cellStyle name="Currency 5 2 2 2 8" xfId="2422" xr:uid="{00000000-0005-0000-0000-0000C20B0000}"/>
    <cellStyle name="Currency 5 2 2 2 8 2" xfId="6706" xr:uid="{00000000-0005-0000-0000-0000C30B0000}"/>
    <cellStyle name="Currency 5 2 2 2 8 2 2" xfId="15156" xr:uid="{A9A57725-91AD-4385-939D-BC5EDB30C51A}"/>
    <cellStyle name="Currency 5 2 2 2 8 3" xfId="10938" xr:uid="{0B90BEA7-FD79-4861-826C-A3D121F1587F}"/>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A2835A31-EEEF-41B1-9785-AA9B75479A41}"/>
    <cellStyle name="Currency 5 2 2 3 11" xfId="8876" xr:uid="{17728ECE-8E86-4063-8F9B-C9AB379B595E}"/>
    <cellStyle name="Currency 5 2 2 3 2" xfId="201" xr:uid="{00000000-0005-0000-0000-0000C70B0000}"/>
    <cellStyle name="Currency 5 2 2 3 2 10" xfId="8877" xr:uid="{7665CD54-D61C-49CC-A5CE-42454F24D7BD}"/>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24479E74-D6F3-4282-A6C6-6F929657954C}"/>
    <cellStyle name="Currency 5 2 2 3 2 2 2 3" xfId="11436" xr:uid="{CD740355-28DA-494E-A187-BB1DB797DDF4}"/>
    <cellStyle name="Currency 5 2 2 3 2 2 3" xfId="5059" xr:uid="{00000000-0005-0000-0000-0000CB0B0000}"/>
    <cellStyle name="Currency 5 2 2 3 2 2 3 2" xfId="13509" xr:uid="{A94DD68C-FB96-4F3E-8888-94934EF5FEE5}"/>
    <cellStyle name="Currency 5 2 2 3 2 2 4" xfId="9291" xr:uid="{454F4FA8-8507-4EF5-A420-EE1E017F4D2A}"/>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CE4B1A34-B508-4CB7-8989-EBA9A801BA32}"/>
    <cellStyle name="Currency 5 2 2 3 2 3 2 3" xfId="11849" xr:uid="{2F4B3201-396A-4A81-BDBB-3144F63CCFAC}"/>
    <cellStyle name="Currency 5 2 2 3 2 3 3" xfId="5472" xr:uid="{00000000-0005-0000-0000-0000CF0B0000}"/>
    <cellStyle name="Currency 5 2 2 3 2 3 3 2" xfId="13922" xr:uid="{142B9DE4-CB99-496E-9A22-0D1A9926330D}"/>
    <cellStyle name="Currency 5 2 2 3 2 3 4" xfId="9704" xr:uid="{A52EA012-E198-46FB-A0A5-F7125993EF5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F1523BEC-5464-4B53-9B1D-113F8F808049}"/>
    <cellStyle name="Currency 5 2 2 3 2 4 2 3" xfId="12262" xr:uid="{222A0971-CC49-4DBE-9AE3-C856A2C9C51B}"/>
    <cellStyle name="Currency 5 2 2 3 2 4 3" xfId="5885" xr:uid="{00000000-0005-0000-0000-0000D30B0000}"/>
    <cellStyle name="Currency 5 2 2 3 2 4 3 2" xfId="14335" xr:uid="{923B0CC5-0D57-443B-BF9B-B8B1A808B547}"/>
    <cellStyle name="Currency 5 2 2 3 2 4 4" xfId="10117" xr:uid="{DB8AA450-4B3D-4EF6-9F15-ECCE642101B8}"/>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5688514B-E0F6-4F42-BF59-E9BBE46ED937}"/>
    <cellStyle name="Currency 5 2 2 3 2 5 2 3" xfId="12675" xr:uid="{877690DC-7A98-4BAB-9C62-CC18D8AC5B78}"/>
    <cellStyle name="Currency 5 2 2 3 2 5 3" xfId="6298" xr:uid="{00000000-0005-0000-0000-0000D70B0000}"/>
    <cellStyle name="Currency 5 2 2 3 2 5 3 2" xfId="14748" xr:uid="{FC53A4FA-936F-4164-8EE4-A45BA51D30AC}"/>
    <cellStyle name="Currency 5 2 2 3 2 5 4" xfId="10530" xr:uid="{C639A3C8-7AB8-49C0-A052-5D2B82FB64A1}"/>
    <cellStyle name="Currency 5 2 2 3 2 6" xfId="2427" xr:uid="{00000000-0005-0000-0000-0000D80B0000}"/>
    <cellStyle name="Currency 5 2 2 3 2 6 2" xfId="6711" xr:uid="{00000000-0005-0000-0000-0000D90B0000}"/>
    <cellStyle name="Currency 5 2 2 3 2 6 2 2" xfId="15161" xr:uid="{86262815-ABFA-4D3A-B592-51109DFBC838}"/>
    <cellStyle name="Currency 5 2 2 3 2 6 3" xfId="10943" xr:uid="{7A2C1490-CBFA-404C-A289-DE41EB629EF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B89D561D-71C6-46FE-BECA-930F8577F0D3}"/>
    <cellStyle name="Currency 5 2 2 3 2 8 3" xfId="11260" xr:uid="{1DA3FEE2-A26B-475C-B30D-160641F8C256}"/>
    <cellStyle name="Currency 5 2 2 3 2 9" xfId="4645" xr:uid="{00000000-0005-0000-0000-0000DD0B0000}"/>
    <cellStyle name="Currency 5 2 2 3 2 9 2" xfId="13095" xr:uid="{CD8D2ADE-4ED7-46AF-9814-DE3F07AAF3BF}"/>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28373134-24AD-43EB-82B4-BF30AB893E8E}"/>
    <cellStyle name="Currency 5 2 2 3 3 2 3" xfId="11435" xr:uid="{CCF205BA-770B-491C-93FE-91E7DC9A07B0}"/>
    <cellStyle name="Currency 5 2 2 3 3 3" xfId="5058" xr:uid="{00000000-0005-0000-0000-0000E10B0000}"/>
    <cellStyle name="Currency 5 2 2 3 3 3 2" xfId="13508" xr:uid="{30DF3E83-035D-45FB-A827-470066831ECB}"/>
    <cellStyle name="Currency 5 2 2 3 3 4" xfId="9290" xr:uid="{691FD23D-FA0F-4DB7-8052-2FDAF85F8251}"/>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F2FC3A08-64C4-40B8-A538-B7D65A446071}"/>
    <cellStyle name="Currency 5 2 2 3 4 2 3" xfId="11848" xr:uid="{4F8A28A4-945C-4660-BB23-3700CB0090ED}"/>
    <cellStyle name="Currency 5 2 2 3 4 3" xfId="5471" xr:uid="{00000000-0005-0000-0000-0000E50B0000}"/>
    <cellStyle name="Currency 5 2 2 3 4 3 2" xfId="13921" xr:uid="{F3B39C8F-F86B-4827-B2C8-B1D8FCB981DA}"/>
    <cellStyle name="Currency 5 2 2 3 4 4" xfId="9703" xr:uid="{70ACD3DD-A9DD-4445-8042-ADFD8734F5C5}"/>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58CA73DC-86BD-4C5A-A0BA-874EBE953471}"/>
    <cellStyle name="Currency 5 2 2 3 5 2 3" xfId="12261" xr:uid="{73F17113-2049-490E-A442-C3D1BEAA1A96}"/>
    <cellStyle name="Currency 5 2 2 3 5 3" xfId="5884" xr:uid="{00000000-0005-0000-0000-0000E90B0000}"/>
    <cellStyle name="Currency 5 2 2 3 5 3 2" xfId="14334" xr:uid="{BB121A6D-6601-4480-ABE0-76BC0502AC8F}"/>
    <cellStyle name="Currency 5 2 2 3 5 4" xfId="10116" xr:uid="{41B2FB29-AB6E-4158-A76C-B2D54DB052E9}"/>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593AA4AF-480F-41BA-B84D-D399277BC1EC}"/>
    <cellStyle name="Currency 5 2 2 3 6 2 3" xfId="12674" xr:uid="{D965F401-2057-4545-8D92-55FE082F220E}"/>
    <cellStyle name="Currency 5 2 2 3 6 3" xfId="6297" xr:uid="{00000000-0005-0000-0000-0000ED0B0000}"/>
    <cellStyle name="Currency 5 2 2 3 6 3 2" xfId="14747" xr:uid="{D055E7DE-C130-4FA9-BD5D-B785C41F97CC}"/>
    <cellStyle name="Currency 5 2 2 3 6 4" xfId="10529" xr:uid="{DB1C551B-03DD-484A-BF3F-005B1F9D5479}"/>
    <cellStyle name="Currency 5 2 2 3 7" xfId="2426" xr:uid="{00000000-0005-0000-0000-0000EE0B0000}"/>
    <cellStyle name="Currency 5 2 2 3 7 2" xfId="6710" xr:uid="{00000000-0005-0000-0000-0000EF0B0000}"/>
    <cellStyle name="Currency 5 2 2 3 7 2 2" xfId="15160" xr:uid="{E139525C-25B5-4317-A19B-9933992DBBAC}"/>
    <cellStyle name="Currency 5 2 2 3 7 3" xfId="10942" xr:uid="{99452F85-B0C1-49CA-A0FC-35D1B2F5334C}"/>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3C33DF29-7518-425A-A9C9-FC5E3A0B95E1}"/>
    <cellStyle name="Currency 5 2 2 3 9 3" xfId="11259" xr:uid="{57EF4C55-B264-4FAE-BE0D-4BDC9EED078A}"/>
    <cellStyle name="Currency 5 2 2 4" xfId="202" xr:uid="{00000000-0005-0000-0000-0000F30B0000}"/>
    <cellStyle name="Currency 5 2 2 4 10" xfId="8878" xr:uid="{CEF194EB-F906-49E4-B61A-98A7A491EF9D}"/>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F266C701-20F1-45F5-B54D-37D500E5529A}"/>
    <cellStyle name="Currency 5 2 2 4 2 2 3" xfId="11437" xr:uid="{35A6BC77-D5CA-4AB4-BF7F-02D212324007}"/>
    <cellStyle name="Currency 5 2 2 4 2 3" xfId="5060" xr:uid="{00000000-0005-0000-0000-0000F70B0000}"/>
    <cellStyle name="Currency 5 2 2 4 2 3 2" xfId="13510" xr:uid="{E9FED9C5-9259-4AF0-B4CB-F58DADBD13F5}"/>
    <cellStyle name="Currency 5 2 2 4 2 4" xfId="9292" xr:uid="{0814C601-DD8D-478A-B7F0-27A071A7D80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CC44299E-922A-468E-937F-BD7FBD442500}"/>
    <cellStyle name="Currency 5 2 2 4 3 2 3" xfId="11850" xr:uid="{10B277F6-317B-49DD-A0BA-162DF83A819E}"/>
    <cellStyle name="Currency 5 2 2 4 3 3" xfId="5473" xr:uid="{00000000-0005-0000-0000-0000FB0B0000}"/>
    <cellStyle name="Currency 5 2 2 4 3 3 2" xfId="13923" xr:uid="{9955BE6D-4B1D-4F7F-9457-41EDE2D6FD79}"/>
    <cellStyle name="Currency 5 2 2 4 3 4" xfId="9705" xr:uid="{76720CE7-08F0-40F7-862B-F572933FF3CF}"/>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2C6A0C11-0F43-497F-AAE2-40381C89B1B1}"/>
    <cellStyle name="Currency 5 2 2 4 4 2 3" xfId="12263" xr:uid="{2CAEB139-7706-411C-A106-CB6A5A733B10}"/>
    <cellStyle name="Currency 5 2 2 4 4 3" xfId="5886" xr:uid="{00000000-0005-0000-0000-0000FF0B0000}"/>
    <cellStyle name="Currency 5 2 2 4 4 3 2" xfId="14336" xr:uid="{55462AC9-3089-485F-AE70-D09560A94647}"/>
    <cellStyle name="Currency 5 2 2 4 4 4" xfId="10118" xr:uid="{473C90DA-B3DC-4709-B09D-D0F16FF42D34}"/>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BAF3A79E-1D22-4032-85DC-2A0234E84784}"/>
    <cellStyle name="Currency 5 2 2 4 5 2 3" xfId="12676" xr:uid="{219CB61D-9266-4C8D-9390-01F7073C5AA3}"/>
    <cellStyle name="Currency 5 2 2 4 5 3" xfId="6299" xr:uid="{00000000-0005-0000-0000-0000030C0000}"/>
    <cellStyle name="Currency 5 2 2 4 5 3 2" xfId="14749" xr:uid="{2116CA5E-8C55-42BC-955D-A081114BFD82}"/>
    <cellStyle name="Currency 5 2 2 4 5 4" xfId="10531" xr:uid="{CEE0E401-3999-4DD2-8EE5-01A16098DFF4}"/>
    <cellStyle name="Currency 5 2 2 4 6" xfId="2428" xr:uid="{00000000-0005-0000-0000-0000040C0000}"/>
    <cellStyle name="Currency 5 2 2 4 6 2" xfId="6712" xr:uid="{00000000-0005-0000-0000-0000050C0000}"/>
    <cellStyle name="Currency 5 2 2 4 6 2 2" xfId="15162" xr:uid="{5C46F7D1-2180-4299-A71B-07D9C788CD58}"/>
    <cellStyle name="Currency 5 2 2 4 6 3" xfId="10944" xr:uid="{BD77BDFB-2895-4D94-969D-00D4A2B78D47}"/>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F6B3CBB3-7CD0-4A76-91CE-6772365E9137}"/>
    <cellStyle name="Currency 5 2 2 4 8 3" xfId="11261" xr:uid="{30C8A859-EE46-437E-98C1-C570DAA68F99}"/>
    <cellStyle name="Currency 5 2 2 4 9" xfId="4646" xr:uid="{00000000-0005-0000-0000-0000090C0000}"/>
    <cellStyle name="Currency 5 2 2 4 9 2" xfId="13096" xr:uid="{A6CDD7A7-2D09-493F-AAF5-8FF5B059E9C1}"/>
    <cellStyle name="Currency 5 2 2 5" xfId="203" xr:uid="{00000000-0005-0000-0000-00000A0C0000}"/>
    <cellStyle name="Currency 5 2 2 5 10" xfId="8879" xr:uid="{3E34FDB0-A878-45F9-9C5E-E3BE23E64F8B}"/>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8DB0545B-1D00-43F2-9425-6B59743C3CC9}"/>
    <cellStyle name="Currency 5 2 2 5 2 2 3" xfId="11438" xr:uid="{E9344561-7012-4441-8DFC-549EA43C03FC}"/>
    <cellStyle name="Currency 5 2 2 5 2 3" xfId="5061" xr:uid="{00000000-0005-0000-0000-00000E0C0000}"/>
    <cellStyle name="Currency 5 2 2 5 2 3 2" xfId="13511" xr:uid="{9A10CA7E-D9ED-48EB-AAF0-9004D8B5CB15}"/>
    <cellStyle name="Currency 5 2 2 5 2 4" xfId="9293" xr:uid="{0D9A4245-1FE3-4158-A471-D166AC4ACD1F}"/>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D1459D7B-E5D5-47B2-9E9F-E1EFE680F9F5}"/>
    <cellStyle name="Currency 5 2 2 5 3 2 3" xfId="11851" xr:uid="{1B9CEA91-D395-46EE-BD59-A7899C5937C0}"/>
    <cellStyle name="Currency 5 2 2 5 3 3" xfId="5474" xr:uid="{00000000-0005-0000-0000-0000120C0000}"/>
    <cellStyle name="Currency 5 2 2 5 3 3 2" xfId="13924" xr:uid="{978FE340-67CC-49D8-989A-F559C76A4D1B}"/>
    <cellStyle name="Currency 5 2 2 5 3 4" xfId="9706" xr:uid="{BE429917-5F0F-4A68-8220-7D710B7C7E7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541D154E-77B1-422B-B0CB-FDB8DC220408}"/>
    <cellStyle name="Currency 5 2 2 5 4 2 3" xfId="12264" xr:uid="{E6D17203-DE87-4B41-9911-C4D88BE96716}"/>
    <cellStyle name="Currency 5 2 2 5 4 3" xfId="5887" xr:uid="{00000000-0005-0000-0000-0000160C0000}"/>
    <cellStyle name="Currency 5 2 2 5 4 3 2" xfId="14337" xr:uid="{A240AA09-2801-4A86-92C9-5AD3DFA56A9A}"/>
    <cellStyle name="Currency 5 2 2 5 4 4" xfId="10119" xr:uid="{DAC76372-9420-4881-9F34-29DC168769A6}"/>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C304B349-524D-416B-A1AC-2338C5414C42}"/>
    <cellStyle name="Currency 5 2 2 5 5 2 3" xfId="12677" xr:uid="{AF2BFE78-F492-4366-88FE-3850436C3E05}"/>
    <cellStyle name="Currency 5 2 2 5 5 3" xfId="6300" xr:uid="{00000000-0005-0000-0000-00001A0C0000}"/>
    <cellStyle name="Currency 5 2 2 5 5 3 2" xfId="14750" xr:uid="{DD550B3B-1BFB-4284-9799-9384A577042F}"/>
    <cellStyle name="Currency 5 2 2 5 5 4" xfId="10532" xr:uid="{4D2A8FB1-6436-4060-9A74-F933138E41B3}"/>
    <cellStyle name="Currency 5 2 2 5 6" xfId="2429" xr:uid="{00000000-0005-0000-0000-00001B0C0000}"/>
    <cellStyle name="Currency 5 2 2 5 6 2" xfId="6713" xr:uid="{00000000-0005-0000-0000-00001C0C0000}"/>
    <cellStyle name="Currency 5 2 2 5 6 2 2" xfId="15163" xr:uid="{14856034-24DF-45E4-955E-1801B25C1FAE}"/>
    <cellStyle name="Currency 5 2 2 5 6 3" xfId="10945" xr:uid="{D4F322CA-6700-4BAD-9298-37C83C335ED8}"/>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FB5CE5F6-FC82-4779-897A-50934B606EEA}"/>
    <cellStyle name="Currency 5 2 2 5 8 3" xfId="11262" xr:uid="{7069DDAD-973F-4188-90B3-B7DC175A6DE1}"/>
    <cellStyle name="Currency 5 2 2 5 9" xfId="4647" xr:uid="{00000000-0005-0000-0000-0000200C0000}"/>
    <cellStyle name="Currency 5 2 2 5 9 2" xfId="13097" xr:uid="{34836840-1D80-4725-B83C-CCD3034F7EB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73329933-5A60-48BB-BCEE-8D59EA9C1E34}"/>
    <cellStyle name="Currency 5 2 4 11" xfId="8880" xr:uid="{86929D56-DCC6-4828-A140-33F3638F82A9}"/>
    <cellStyle name="Currency 5 2 4 2" xfId="206" xr:uid="{00000000-0005-0000-0000-0000250C0000}"/>
    <cellStyle name="Currency 5 2 4 2 10" xfId="8881" xr:uid="{0F6E8CD1-A571-40D6-912B-1240595395F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281AEE2F-758E-4FB3-9382-BE574F1D0F4C}"/>
    <cellStyle name="Currency 5 2 4 2 2 2 3" xfId="11440" xr:uid="{347329C6-4FA3-4F18-9F03-025E8C5FF447}"/>
    <cellStyle name="Currency 5 2 4 2 2 3" xfId="5063" xr:uid="{00000000-0005-0000-0000-0000290C0000}"/>
    <cellStyle name="Currency 5 2 4 2 2 3 2" xfId="13513" xr:uid="{3D255426-210E-4A62-B0B9-1A84073D188F}"/>
    <cellStyle name="Currency 5 2 4 2 2 4" xfId="9295" xr:uid="{EFA402BE-C713-4396-A079-14E10B3F557F}"/>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463405A1-CFC1-4A37-BB17-19CDD888AF2A}"/>
    <cellStyle name="Currency 5 2 4 2 3 2 3" xfId="11853" xr:uid="{2009FD23-36F6-4A01-B83A-ED2A02C5F6FA}"/>
    <cellStyle name="Currency 5 2 4 2 3 3" xfId="5476" xr:uid="{00000000-0005-0000-0000-00002D0C0000}"/>
    <cellStyle name="Currency 5 2 4 2 3 3 2" xfId="13926" xr:uid="{D7507843-7192-4D11-BD9B-5D88F0C20856}"/>
    <cellStyle name="Currency 5 2 4 2 3 4" xfId="9708" xr:uid="{02DB7D42-8134-4B8A-837B-C0C681485AC2}"/>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12EFF8E4-ED12-4D03-9321-DC5DEBA43798}"/>
    <cellStyle name="Currency 5 2 4 2 4 2 3" xfId="12266" xr:uid="{124F625E-37D9-42C7-BED3-B4EDA43B4D4F}"/>
    <cellStyle name="Currency 5 2 4 2 4 3" xfId="5889" xr:uid="{00000000-0005-0000-0000-0000310C0000}"/>
    <cellStyle name="Currency 5 2 4 2 4 3 2" xfId="14339" xr:uid="{0A358D5E-7B06-417A-AAA4-643B65AE3FC8}"/>
    <cellStyle name="Currency 5 2 4 2 4 4" xfId="10121" xr:uid="{21CBAF11-DF93-497A-8DC6-ECEDBFC510C5}"/>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7F755FF0-0040-48A7-B2B3-DE8891ECCFD9}"/>
    <cellStyle name="Currency 5 2 4 2 5 2 3" xfId="12679" xr:uid="{65F8DF88-6324-4CEF-86A1-D9D31EE75C45}"/>
    <cellStyle name="Currency 5 2 4 2 5 3" xfId="6302" xr:uid="{00000000-0005-0000-0000-0000350C0000}"/>
    <cellStyle name="Currency 5 2 4 2 5 3 2" xfId="14752" xr:uid="{95286BED-5E43-4A92-9FF2-CD5241FEC028}"/>
    <cellStyle name="Currency 5 2 4 2 5 4" xfId="10534" xr:uid="{12A4079E-F039-4FF5-B718-9CF89028348E}"/>
    <cellStyle name="Currency 5 2 4 2 6" xfId="2431" xr:uid="{00000000-0005-0000-0000-0000360C0000}"/>
    <cellStyle name="Currency 5 2 4 2 6 2" xfId="6715" xr:uid="{00000000-0005-0000-0000-0000370C0000}"/>
    <cellStyle name="Currency 5 2 4 2 6 2 2" xfId="15165" xr:uid="{E2EB1291-D795-483C-AFAF-DD0F25310E52}"/>
    <cellStyle name="Currency 5 2 4 2 6 3" xfId="10947" xr:uid="{C5D830AA-4F61-4AC8-859D-194C0E3220FB}"/>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67FC5377-C548-4412-BC2C-C8C8F2081FF2}"/>
    <cellStyle name="Currency 5 2 4 2 8 3" xfId="11264" xr:uid="{A0BC8820-F707-4549-8F0C-AC25ED0F82A2}"/>
    <cellStyle name="Currency 5 2 4 2 9" xfId="4649" xr:uid="{00000000-0005-0000-0000-00003B0C0000}"/>
    <cellStyle name="Currency 5 2 4 2 9 2" xfId="13099" xr:uid="{BD3D48F9-0932-41C9-80B9-2879513053CA}"/>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A2AC3299-C96F-4D25-A9D7-30B46CD62E76}"/>
    <cellStyle name="Currency 5 2 4 3 2 3" xfId="11439" xr:uid="{A531D624-5D48-4979-9B2C-3B6C29527AE3}"/>
    <cellStyle name="Currency 5 2 4 3 3" xfId="5062" xr:uid="{00000000-0005-0000-0000-00003F0C0000}"/>
    <cellStyle name="Currency 5 2 4 3 3 2" xfId="13512" xr:uid="{250FF8CF-8487-426B-8E64-95A23909C25E}"/>
    <cellStyle name="Currency 5 2 4 3 4" xfId="9294" xr:uid="{DCD0E0F7-9785-46A4-B851-D8A19CEC06C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9BF5A14D-A77E-4780-83E3-10EA8E4DABD7}"/>
    <cellStyle name="Currency 5 2 4 4 2 3" xfId="11852" xr:uid="{B72BC958-1221-4311-847B-BB07F60E7955}"/>
    <cellStyle name="Currency 5 2 4 4 3" xfId="5475" xr:uid="{00000000-0005-0000-0000-0000430C0000}"/>
    <cellStyle name="Currency 5 2 4 4 3 2" xfId="13925" xr:uid="{2C864DD1-9B5B-47C9-8F25-4BEB54902B2C}"/>
    <cellStyle name="Currency 5 2 4 4 4" xfId="9707" xr:uid="{97152EF9-A1C3-479E-832A-0BD381B4F0A3}"/>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7CEA1075-929C-438D-816E-5D1626F54CBB}"/>
    <cellStyle name="Currency 5 2 4 5 2 3" xfId="12265" xr:uid="{A482507F-02CF-4FB0-93AF-519C9EB50F94}"/>
    <cellStyle name="Currency 5 2 4 5 3" xfId="5888" xr:uid="{00000000-0005-0000-0000-0000470C0000}"/>
    <cellStyle name="Currency 5 2 4 5 3 2" xfId="14338" xr:uid="{B1B99154-7792-409B-811A-F64975B9E00D}"/>
    <cellStyle name="Currency 5 2 4 5 4" xfId="10120" xr:uid="{654C797C-4C20-4F6A-B7D1-32E8BEC7DF61}"/>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E1669116-CF00-4C6F-B6EC-554774BCAD94}"/>
    <cellStyle name="Currency 5 2 4 6 2 3" xfId="12678" xr:uid="{F84C3C4A-78EC-4240-8607-5A37302A545F}"/>
    <cellStyle name="Currency 5 2 4 6 3" xfId="6301" xr:uid="{00000000-0005-0000-0000-00004B0C0000}"/>
    <cellStyle name="Currency 5 2 4 6 3 2" xfId="14751" xr:uid="{9782F531-74E7-4DF8-B839-3D5FD80216F7}"/>
    <cellStyle name="Currency 5 2 4 6 4" xfId="10533" xr:uid="{978751E4-31B3-43F0-B95F-DEAEBB9BEE3B}"/>
    <cellStyle name="Currency 5 2 4 7" xfId="2430" xr:uid="{00000000-0005-0000-0000-00004C0C0000}"/>
    <cellStyle name="Currency 5 2 4 7 2" xfId="6714" xr:uid="{00000000-0005-0000-0000-00004D0C0000}"/>
    <cellStyle name="Currency 5 2 4 7 2 2" xfId="15164" xr:uid="{81CD8722-9928-4142-9EA3-DEDDF699520D}"/>
    <cellStyle name="Currency 5 2 4 7 3" xfId="10946" xr:uid="{22A36B73-3899-4184-B137-965E83E1B306}"/>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5B2555DE-3D49-4559-98A6-5AA3309FD4F3}"/>
    <cellStyle name="Currency 5 2 4 9 3" xfId="11263" xr:uid="{4D9922AA-B7B5-46BA-91B7-A76F8F239FDC}"/>
    <cellStyle name="Currency 5 2 5" xfId="207" xr:uid="{00000000-0005-0000-0000-0000510C0000}"/>
    <cellStyle name="Currency 5 2 5 10" xfId="8882" xr:uid="{2E0552BD-25AA-4928-B33D-4246FB17EDAB}"/>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239718F3-6FE5-4020-9DDB-0886764190B9}"/>
    <cellStyle name="Currency 5 2 5 2 2 3" xfId="11441" xr:uid="{13F7231F-8070-475A-961C-67AD482347EC}"/>
    <cellStyle name="Currency 5 2 5 2 3" xfId="5064" xr:uid="{00000000-0005-0000-0000-0000550C0000}"/>
    <cellStyle name="Currency 5 2 5 2 3 2" xfId="13514" xr:uid="{4FE5BCDA-B9CB-4528-B067-C1598C52A502}"/>
    <cellStyle name="Currency 5 2 5 2 4" xfId="9296" xr:uid="{A16C12E1-CBC7-472F-B74E-1A91F7FF91E0}"/>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C0BB4919-1186-49DD-8EB2-4C00CC3BA423}"/>
    <cellStyle name="Currency 5 2 5 3 2 3" xfId="11854" xr:uid="{8C5D60DC-C369-4BED-BE60-32AE40AD316C}"/>
    <cellStyle name="Currency 5 2 5 3 3" xfId="5477" xr:uid="{00000000-0005-0000-0000-0000590C0000}"/>
    <cellStyle name="Currency 5 2 5 3 3 2" xfId="13927" xr:uid="{1178B600-2582-42B3-96E5-83FC16FC74C0}"/>
    <cellStyle name="Currency 5 2 5 3 4" xfId="9709" xr:uid="{D2F08C7C-079F-4C71-A8EE-808B8F5AFE31}"/>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B91423AD-B9EC-4961-A12E-C4BFECB8E9BA}"/>
    <cellStyle name="Currency 5 2 5 4 2 3" xfId="12267" xr:uid="{EA619128-D436-434C-B63E-07E2C1C6E048}"/>
    <cellStyle name="Currency 5 2 5 4 3" xfId="5890" xr:uid="{00000000-0005-0000-0000-00005D0C0000}"/>
    <cellStyle name="Currency 5 2 5 4 3 2" xfId="14340" xr:uid="{E6040F3F-621A-41E7-A1DF-B1F3F0D2A364}"/>
    <cellStyle name="Currency 5 2 5 4 4" xfId="10122" xr:uid="{4C512E53-D61A-42BD-B908-B33F240E14F5}"/>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87980EDD-AE4C-42D0-A0BE-9E7C0CB2336C}"/>
    <cellStyle name="Currency 5 2 5 5 2 3" xfId="12680" xr:uid="{C8DC5AB1-270B-498C-A8BB-C40587B8DBD1}"/>
    <cellStyle name="Currency 5 2 5 5 3" xfId="6303" xr:uid="{00000000-0005-0000-0000-0000610C0000}"/>
    <cellStyle name="Currency 5 2 5 5 3 2" xfId="14753" xr:uid="{0FB54542-3648-4ADF-8216-0E87CBE360BF}"/>
    <cellStyle name="Currency 5 2 5 5 4" xfId="10535" xr:uid="{3E42AD3A-495D-4DE5-A337-8B8648E9A0C3}"/>
    <cellStyle name="Currency 5 2 5 6" xfId="2432" xr:uid="{00000000-0005-0000-0000-0000620C0000}"/>
    <cellStyle name="Currency 5 2 5 6 2" xfId="6716" xr:uid="{00000000-0005-0000-0000-0000630C0000}"/>
    <cellStyle name="Currency 5 2 5 6 2 2" xfId="15166" xr:uid="{ABBA2FFA-C5BA-4BBE-87B9-6B14FA58A7A3}"/>
    <cellStyle name="Currency 5 2 5 6 3" xfId="10948" xr:uid="{29304905-A91D-4865-AA23-E2833A9D82E0}"/>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E6E7F7C0-1FE2-4541-8541-0908DAAF8C9D}"/>
    <cellStyle name="Currency 5 2 5 8 3" xfId="11265" xr:uid="{840BB0C0-343F-47F9-817D-37ACE68151E2}"/>
    <cellStyle name="Currency 5 2 5 9" xfId="4650" xr:uid="{00000000-0005-0000-0000-0000670C0000}"/>
    <cellStyle name="Currency 5 2 5 9 2" xfId="13100" xr:uid="{33468A14-F286-4CEE-B4CD-7775EB72709F}"/>
    <cellStyle name="Currency 5 2 6" xfId="208" xr:uid="{00000000-0005-0000-0000-0000680C0000}"/>
    <cellStyle name="Currency 5 2 6 10" xfId="8883" xr:uid="{FFB64A95-D499-4E45-8645-705C6FD45BD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C81EEDD2-CCC0-4AEA-BD26-AA76ACD6CE43}"/>
    <cellStyle name="Currency 5 2 6 2 2 3" xfId="11442" xr:uid="{20F3B438-0D97-45D2-B58D-0D73982DA91A}"/>
    <cellStyle name="Currency 5 2 6 2 3" xfId="5065" xr:uid="{00000000-0005-0000-0000-00006C0C0000}"/>
    <cellStyle name="Currency 5 2 6 2 3 2" xfId="13515" xr:uid="{5553A712-AFAA-4EB8-BAB7-9201C4C11620}"/>
    <cellStyle name="Currency 5 2 6 2 4" xfId="9297" xr:uid="{17923A62-B9CC-40B6-AD5C-4C03BE863EEA}"/>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FA5D2213-C408-4653-82AB-D0D37CAFDD7F}"/>
    <cellStyle name="Currency 5 2 6 3 2 3" xfId="11855" xr:uid="{C71EEE13-FA6E-4B81-A376-6A78D57CB9B8}"/>
    <cellStyle name="Currency 5 2 6 3 3" xfId="5478" xr:uid="{00000000-0005-0000-0000-0000700C0000}"/>
    <cellStyle name="Currency 5 2 6 3 3 2" xfId="13928" xr:uid="{26D32E5D-40FE-4651-B911-3B05B19FA32C}"/>
    <cellStyle name="Currency 5 2 6 3 4" xfId="9710" xr:uid="{D7E42000-4668-4351-A6AB-23E5D7E38CE9}"/>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08B0C289-5D7A-45A9-BD44-998C99EB3C0A}"/>
    <cellStyle name="Currency 5 2 6 4 2 3" xfId="12268" xr:uid="{969DC488-01E6-4F12-A5EF-7DB8047E8B37}"/>
    <cellStyle name="Currency 5 2 6 4 3" xfId="5891" xr:uid="{00000000-0005-0000-0000-0000740C0000}"/>
    <cellStyle name="Currency 5 2 6 4 3 2" xfId="14341" xr:uid="{710FF7B8-20E0-475A-8490-183A6F9CEE93}"/>
    <cellStyle name="Currency 5 2 6 4 4" xfId="10123" xr:uid="{DB535BC7-7F7B-45BB-9535-3FDC88F8AC5F}"/>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E50D4824-D5FC-4763-BEB5-77FF620AB283}"/>
    <cellStyle name="Currency 5 2 6 5 2 3" xfId="12681" xr:uid="{DEE52A32-295D-4E77-B4C0-1CD1E69BF71C}"/>
    <cellStyle name="Currency 5 2 6 5 3" xfId="6304" xr:uid="{00000000-0005-0000-0000-0000780C0000}"/>
    <cellStyle name="Currency 5 2 6 5 3 2" xfId="14754" xr:uid="{8D41CE4B-1AE1-442E-BFE0-89D7790E9C9E}"/>
    <cellStyle name="Currency 5 2 6 5 4" xfId="10536" xr:uid="{77C39625-E00B-4B80-A571-24C18462A8BD}"/>
    <cellStyle name="Currency 5 2 6 6" xfId="2433" xr:uid="{00000000-0005-0000-0000-0000790C0000}"/>
    <cellStyle name="Currency 5 2 6 6 2" xfId="6717" xr:uid="{00000000-0005-0000-0000-00007A0C0000}"/>
    <cellStyle name="Currency 5 2 6 6 2 2" xfId="15167" xr:uid="{A4AE9878-1419-47CB-97CD-93111EEC658E}"/>
    <cellStyle name="Currency 5 2 6 6 3" xfId="10949" xr:uid="{BEF8B5E2-BF4F-452C-8B81-F800A4906DBD}"/>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BC003158-CE6F-4D7A-99EE-F8A8DB12810F}"/>
    <cellStyle name="Currency 5 2 6 8 3" xfId="11266" xr:uid="{63F803AC-19F2-4A39-8293-9DB6EB3DCB86}"/>
    <cellStyle name="Currency 5 2 6 9" xfId="4651" xr:uid="{00000000-0005-0000-0000-00007E0C0000}"/>
    <cellStyle name="Currency 5 2 6 9 2" xfId="13101" xr:uid="{FE02598F-C0AA-485D-9EF2-CCE9B6F9C40D}"/>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ACA78F4F-9C60-4664-8C8C-47B25F48EC60}"/>
    <cellStyle name="Currency 5 3 2 10 3" xfId="11267" xr:uid="{B3C42414-8B97-4533-B28F-583CA13703DD}"/>
    <cellStyle name="Currency 5 3 2 11" xfId="4652" xr:uid="{00000000-0005-0000-0000-0000840C0000}"/>
    <cellStyle name="Currency 5 3 2 11 2" xfId="13102" xr:uid="{F6BFD207-E749-45FA-8EF3-35C68EF55834}"/>
    <cellStyle name="Currency 5 3 2 12" xfId="8884" xr:uid="{E856C973-50AF-4190-B39C-4E1D8E2A3499}"/>
    <cellStyle name="Currency 5 3 2 2" xfId="211" xr:uid="{00000000-0005-0000-0000-0000850C0000}"/>
    <cellStyle name="Currency 5 3 2 2 10" xfId="4653" xr:uid="{00000000-0005-0000-0000-0000860C0000}"/>
    <cellStyle name="Currency 5 3 2 2 10 2" xfId="13103" xr:uid="{45721346-39E8-4608-9EE0-D62F60E850ED}"/>
    <cellStyle name="Currency 5 3 2 2 11" xfId="8885" xr:uid="{77328D97-C34F-475C-8CD8-631BEE1DCE11}"/>
    <cellStyle name="Currency 5 3 2 2 2" xfId="212" xr:uid="{00000000-0005-0000-0000-0000870C0000}"/>
    <cellStyle name="Currency 5 3 2 2 2 10" xfId="8886" xr:uid="{060909C0-EDAE-4CFF-98C5-A24A68F2FDA5}"/>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C1178E68-EA4D-4123-9E8B-04CF628C368F}"/>
    <cellStyle name="Currency 5 3 2 2 2 2 2 3" xfId="11445" xr:uid="{2947C7E3-29CB-4D52-843F-AB33689F78FA}"/>
    <cellStyle name="Currency 5 3 2 2 2 2 3" xfId="5068" xr:uid="{00000000-0005-0000-0000-00008B0C0000}"/>
    <cellStyle name="Currency 5 3 2 2 2 2 3 2" xfId="13518" xr:uid="{E112DE6B-B643-4133-9D86-BA9C280B0EEC}"/>
    <cellStyle name="Currency 5 3 2 2 2 2 4" xfId="9300" xr:uid="{F6BE4BAE-E87E-484F-94F1-57964FCA0472}"/>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EA98735D-8AA2-41C6-97E0-FF688A372084}"/>
    <cellStyle name="Currency 5 3 2 2 2 3 2 3" xfId="11858" xr:uid="{724DAE90-E14F-421C-B65A-AF3D370D4E5A}"/>
    <cellStyle name="Currency 5 3 2 2 2 3 3" xfId="5481" xr:uid="{00000000-0005-0000-0000-00008F0C0000}"/>
    <cellStyle name="Currency 5 3 2 2 2 3 3 2" xfId="13931" xr:uid="{3077F1C9-3C17-4E68-90B7-BAE268099BA9}"/>
    <cellStyle name="Currency 5 3 2 2 2 3 4" xfId="9713" xr:uid="{24222371-588C-4410-9DEF-563968358E4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C3A94FCA-9C4F-4595-81A6-EBD3CB3EB035}"/>
    <cellStyle name="Currency 5 3 2 2 2 4 2 3" xfId="12271" xr:uid="{45F1A3B8-AA2A-437A-B242-94D449CF3A4A}"/>
    <cellStyle name="Currency 5 3 2 2 2 4 3" xfId="5894" xr:uid="{00000000-0005-0000-0000-0000930C0000}"/>
    <cellStyle name="Currency 5 3 2 2 2 4 3 2" xfId="14344" xr:uid="{D7DB36A8-0C43-4C0E-BE91-60195CE1AB4F}"/>
    <cellStyle name="Currency 5 3 2 2 2 4 4" xfId="10126" xr:uid="{AA40895A-72FF-4484-BBCD-AD2A5C7C998E}"/>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3BDE431E-BDF7-4F7A-A0E2-CB63AF4AA328}"/>
    <cellStyle name="Currency 5 3 2 2 2 5 2 3" xfId="12684" xr:uid="{8BA1BF69-EE39-4EB3-8856-34D551BBF099}"/>
    <cellStyle name="Currency 5 3 2 2 2 5 3" xfId="6307" xr:uid="{00000000-0005-0000-0000-0000970C0000}"/>
    <cellStyle name="Currency 5 3 2 2 2 5 3 2" xfId="14757" xr:uid="{1EE168D8-4290-4BF5-BE9D-A342D3DAE4A4}"/>
    <cellStyle name="Currency 5 3 2 2 2 5 4" xfId="10539" xr:uid="{23D021E2-EAAE-43C9-8885-2C42729E849A}"/>
    <cellStyle name="Currency 5 3 2 2 2 6" xfId="2436" xr:uid="{00000000-0005-0000-0000-0000980C0000}"/>
    <cellStyle name="Currency 5 3 2 2 2 6 2" xfId="6720" xr:uid="{00000000-0005-0000-0000-0000990C0000}"/>
    <cellStyle name="Currency 5 3 2 2 2 6 2 2" xfId="15170" xr:uid="{1724F0A7-E344-4227-A8D2-DEEE8500E7DB}"/>
    <cellStyle name="Currency 5 3 2 2 2 6 3" xfId="10952" xr:uid="{4A3091CE-03DB-4030-A2D7-B7B434511E4B}"/>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2D747956-26E1-42F3-A8E4-26FBEDBD92AC}"/>
    <cellStyle name="Currency 5 3 2 2 2 8 3" xfId="11269" xr:uid="{4FB8CCBB-A662-41DE-8069-D7E3FBF3F084}"/>
    <cellStyle name="Currency 5 3 2 2 2 9" xfId="4654" xr:uid="{00000000-0005-0000-0000-00009D0C0000}"/>
    <cellStyle name="Currency 5 3 2 2 2 9 2" xfId="13104" xr:uid="{73C6014C-3ACB-426A-A984-4FC2321A60E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B8D59DB6-B485-46AF-A29E-4F9D35175F35}"/>
    <cellStyle name="Currency 5 3 2 2 3 2 3" xfId="11444" xr:uid="{7EB8B6D5-97F3-4109-9B03-821BFFF46574}"/>
    <cellStyle name="Currency 5 3 2 2 3 3" xfId="5067" xr:uid="{00000000-0005-0000-0000-0000A10C0000}"/>
    <cellStyle name="Currency 5 3 2 2 3 3 2" xfId="13517" xr:uid="{71561550-C141-4635-A87E-3ED0614F7FA7}"/>
    <cellStyle name="Currency 5 3 2 2 3 4" xfId="9299" xr:uid="{E2B8FDC5-94B7-421F-9A7A-4A8CC24865A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35F5C8AF-8A99-4500-B238-003603DF6AFE}"/>
    <cellStyle name="Currency 5 3 2 2 4 2 3" xfId="11857" xr:uid="{F417775B-2F5B-4342-BDAF-79D9F124E62B}"/>
    <cellStyle name="Currency 5 3 2 2 4 3" xfId="5480" xr:uid="{00000000-0005-0000-0000-0000A50C0000}"/>
    <cellStyle name="Currency 5 3 2 2 4 3 2" xfId="13930" xr:uid="{311FEABD-0851-4D5C-91A0-19E8F35A859F}"/>
    <cellStyle name="Currency 5 3 2 2 4 4" xfId="9712" xr:uid="{52ACE66C-7908-4A1A-81C9-CAE0E10C1D8E}"/>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E9E4062E-4E35-45A9-A2C8-30028EE8A65D}"/>
    <cellStyle name="Currency 5 3 2 2 5 2 3" xfId="12270" xr:uid="{634B889E-EACD-4361-B438-425F591F0797}"/>
    <cellStyle name="Currency 5 3 2 2 5 3" xfId="5893" xr:uid="{00000000-0005-0000-0000-0000A90C0000}"/>
    <cellStyle name="Currency 5 3 2 2 5 3 2" xfId="14343" xr:uid="{837524DF-047D-4E2F-B7D3-B5586E571043}"/>
    <cellStyle name="Currency 5 3 2 2 5 4" xfId="10125" xr:uid="{9B8F72D9-8936-4CEC-A21E-3A4E1BA7EA01}"/>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E6DAC4EC-A167-40FF-BA0A-69F7C154F840}"/>
    <cellStyle name="Currency 5 3 2 2 6 2 3" xfId="12683" xr:uid="{EACD18A4-B037-4764-B92F-F9176C61537B}"/>
    <cellStyle name="Currency 5 3 2 2 6 3" xfId="6306" xr:uid="{00000000-0005-0000-0000-0000AD0C0000}"/>
    <cellStyle name="Currency 5 3 2 2 6 3 2" xfId="14756" xr:uid="{85CB113E-63F9-4434-9222-857A0D6F0D28}"/>
    <cellStyle name="Currency 5 3 2 2 6 4" xfId="10538" xr:uid="{9FA3EEFF-9F61-447B-9B40-69B17BF19CB6}"/>
    <cellStyle name="Currency 5 3 2 2 7" xfId="2435" xr:uid="{00000000-0005-0000-0000-0000AE0C0000}"/>
    <cellStyle name="Currency 5 3 2 2 7 2" xfId="6719" xr:uid="{00000000-0005-0000-0000-0000AF0C0000}"/>
    <cellStyle name="Currency 5 3 2 2 7 2 2" xfId="15169" xr:uid="{CC8E2761-6178-45CD-AB33-08E5F701A04C}"/>
    <cellStyle name="Currency 5 3 2 2 7 3" xfId="10951" xr:uid="{F339736D-A0D8-499C-AF00-767C71A2673A}"/>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2814F37F-946C-45FA-8388-D242BA9770F8}"/>
    <cellStyle name="Currency 5 3 2 2 9 3" xfId="11268" xr:uid="{5E4F8147-2EFC-495F-946B-6C0E27F7014A}"/>
    <cellStyle name="Currency 5 3 2 3" xfId="213" xr:uid="{00000000-0005-0000-0000-0000B30C0000}"/>
    <cellStyle name="Currency 5 3 2 3 10" xfId="8887" xr:uid="{EF926ACF-785A-4CBB-92EF-029277E4C4DD}"/>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C7753233-09FD-4B1A-862C-B7F043283DAF}"/>
    <cellStyle name="Currency 5 3 2 3 2 2 3" xfId="11446" xr:uid="{A126ACF3-F3F1-41DF-B036-EFA5A5E7B045}"/>
    <cellStyle name="Currency 5 3 2 3 2 3" xfId="5069" xr:uid="{00000000-0005-0000-0000-0000B70C0000}"/>
    <cellStyle name="Currency 5 3 2 3 2 3 2" xfId="13519" xr:uid="{D5E74E4C-CF01-4C7C-926D-8E20B14A5DAD}"/>
    <cellStyle name="Currency 5 3 2 3 2 4" xfId="9301" xr:uid="{2D83C593-1FFE-4A18-982F-438E1D4CA46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4FE22217-8B08-43FF-8E02-7447666EB336}"/>
    <cellStyle name="Currency 5 3 2 3 3 2 3" xfId="11859" xr:uid="{793853BE-EE1F-4C60-88E8-6B138FC111E7}"/>
    <cellStyle name="Currency 5 3 2 3 3 3" xfId="5482" xr:uid="{00000000-0005-0000-0000-0000BB0C0000}"/>
    <cellStyle name="Currency 5 3 2 3 3 3 2" xfId="13932" xr:uid="{B02E04A6-4E2B-43B6-B338-B6516502C066}"/>
    <cellStyle name="Currency 5 3 2 3 3 4" xfId="9714" xr:uid="{36AA2C39-C149-46E5-BDCE-2CBFF457388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623164BC-DE69-447C-8BE6-2FFD4E5FC621}"/>
    <cellStyle name="Currency 5 3 2 3 4 2 3" xfId="12272" xr:uid="{610CDEC0-736F-428C-A08B-EE84F9D6DA35}"/>
    <cellStyle name="Currency 5 3 2 3 4 3" xfId="5895" xr:uid="{00000000-0005-0000-0000-0000BF0C0000}"/>
    <cellStyle name="Currency 5 3 2 3 4 3 2" xfId="14345" xr:uid="{CBF2B363-B7EA-4F54-83A7-984F169C1ED8}"/>
    <cellStyle name="Currency 5 3 2 3 4 4" xfId="10127" xr:uid="{98E250C9-47D9-49DA-B913-DEDD7ABC4D73}"/>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B394D58C-A6F1-4C19-87E0-75F6613EB3D9}"/>
    <cellStyle name="Currency 5 3 2 3 5 2 3" xfId="12685" xr:uid="{A8A5191D-1142-4D98-837F-BCBC6FE82EB8}"/>
    <cellStyle name="Currency 5 3 2 3 5 3" xfId="6308" xr:uid="{00000000-0005-0000-0000-0000C30C0000}"/>
    <cellStyle name="Currency 5 3 2 3 5 3 2" xfId="14758" xr:uid="{55938CB9-CD92-4C99-88D0-E8A8FDA9A049}"/>
    <cellStyle name="Currency 5 3 2 3 5 4" xfId="10540" xr:uid="{B158478E-26D7-49E4-B58E-6E13A8FFE947}"/>
    <cellStyle name="Currency 5 3 2 3 6" xfId="2437" xr:uid="{00000000-0005-0000-0000-0000C40C0000}"/>
    <cellStyle name="Currency 5 3 2 3 6 2" xfId="6721" xr:uid="{00000000-0005-0000-0000-0000C50C0000}"/>
    <cellStyle name="Currency 5 3 2 3 6 2 2" xfId="15171" xr:uid="{CC1C0BA4-9086-4667-8BE3-3FB6716DF648}"/>
    <cellStyle name="Currency 5 3 2 3 6 3" xfId="10953" xr:uid="{4B806B5D-7858-4713-BB79-23C997573485}"/>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60C6EFF2-091D-4C0B-B008-7C12772FC6B9}"/>
    <cellStyle name="Currency 5 3 2 3 8 3" xfId="11270" xr:uid="{28D8DAD5-F7EA-491F-AF8B-D33664D007FD}"/>
    <cellStyle name="Currency 5 3 2 3 9" xfId="4655" xr:uid="{00000000-0005-0000-0000-0000C90C0000}"/>
    <cellStyle name="Currency 5 3 2 3 9 2" xfId="13105" xr:uid="{FA2AC898-1B05-49E8-94C9-6360D674642E}"/>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6D7AF26C-EE17-4F44-9A0D-FFD42909F32F}"/>
    <cellStyle name="Currency 5 3 2 4 2 3" xfId="11443" xr:uid="{6F84BA01-9A08-455F-918C-69D666AB02C3}"/>
    <cellStyle name="Currency 5 3 2 4 3" xfId="5066" xr:uid="{00000000-0005-0000-0000-0000CD0C0000}"/>
    <cellStyle name="Currency 5 3 2 4 3 2" xfId="13516" xr:uid="{A66059A0-64E5-441A-AA80-C141D7BAE01F}"/>
    <cellStyle name="Currency 5 3 2 4 4" xfId="9298" xr:uid="{C3433873-1D2B-429A-8322-1DDD6D87999A}"/>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B3731FC1-2C7E-46EE-ABDC-CCAD94BCFF04}"/>
    <cellStyle name="Currency 5 3 2 5 2 3" xfId="11856" xr:uid="{B119FE74-730A-494E-8301-3E07633984D3}"/>
    <cellStyle name="Currency 5 3 2 5 3" xfId="5479" xr:uid="{00000000-0005-0000-0000-0000D10C0000}"/>
    <cellStyle name="Currency 5 3 2 5 3 2" xfId="13929" xr:uid="{503B87DE-6F89-49C2-AD46-41A00DA1EE00}"/>
    <cellStyle name="Currency 5 3 2 5 4" xfId="9711" xr:uid="{9BDF127D-F4E0-4D3C-B78B-942A6AA83F5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20D3D84A-BACB-4F74-B48C-E3051FB93238}"/>
    <cellStyle name="Currency 5 3 2 6 2 3" xfId="12269" xr:uid="{FD588F48-23D3-4F31-91DB-EEDDA6556EFA}"/>
    <cellStyle name="Currency 5 3 2 6 3" xfId="5892" xr:uid="{00000000-0005-0000-0000-0000D50C0000}"/>
    <cellStyle name="Currency 5 3 2 6 3 2" xfId="14342" xr:uid="{0C0A5DB6-851E-4B61-AEC6-72FEBBD5C4BE}"/>
    <cellStyle name="Currency 5 3 2 6 4" xfId="10124" xr:uid="{FA27F3E8-8398-4A94-9692-F592F86D890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073FC61A-44D1-4FE5-8C77-3FEB673C630A}"/>
    <cellStyle name="Currency 5 3 2 7 2 3" xfId="12682" xr:uid="{3AF12C30-1ECC-419C-A72C-AD4D96918E9D}"/>
    <cellStyle name="Currency 5 3 2 7 3" xfId="6305" xr:uid="{00000000-0005-0000-0000-0000D90C0000}"/>
    <cellStyle name="Currency 5 3 2 7 3 2" xfId="14755" xr:uid="{5D30E616-0B76-4833-8904-6D7B88EC4A5A}"/>
    <cellStyle name="Currency 5 3 2 7 4" xfId="10537" xr:uid="{98249428-51DA-4FFE-8E4B-B6CBC4838D37}"/>
    <cellStyle name="Currency 5 3 2 8" xfId="2434" xr:uid="{00000000-0005-0000-0000-0000DA0C0000}"/>
    <cellStyle name="Currency 5 3 2 8 2" xfId="6718" xr:uid="{00000000-0005-0000-0000-0000DB0C0000}"/>
    <cellStyle name="Currency 5 3 2 8 2 2" xfId="15168" xr:uid="{06838611-5AC1-4526-9E51-F402F99A6CFC}"/>
    <cellStyle name="Currency 5 3 2 8 3" xfId="10950" xr:uid="{18E3D5BC-D027-422D-AFD8-8E363623FD27}"/>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3AF29A2F-B979-4A4F-8920-1F9DF6DF69AD}"/>
    <cellStyle name="Currency 5 3 3 11" xfId="8888" xr:uid="{7C357BF4-5F7B-493B-AEB9-09B8E4941086}"/>
    <cellStyle name="Currency 5 3 3 2" xfId="215" xr:uid="{00000000-0005-0000-0000-0000DF0C0000}"/>
    <cellStyle name="Currency 5 3 3 2 10" xfId="8889" xr:uid="{DA1BCF56-87D1-4576-A5B1-2E281E0DECD1}"/>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EE52A321-6465-417C-A0E3-36216D4A6672}"/>
    <cellStyle name="Currency 5 3 3 2 2 2 3" xfId="11448" xr:uid="{C40B1FD5-F815-4BD3-B5E6-B81D181DA5CA}"/>
    <cellStyle name="Currency 5 3 3 2 2 3" xfId="5071" xr:uid="{00000000-0005-0000-0000-0000E30C0000}"/>
    <cellStyle name="Currency 5 3 3 2 2 3 2" xfId="13521" xr:uid="{F3C896C8-46EE-4F76-8AAF-8429BB604B59}"/>
    <cellStyle name="Currency 5 3 3 2 2 4" xfId="9303" xr:uid="{ED9F6C07-DC4B-40CA-AEC5-32596C840B3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11BB4A3D-9A8D-424D-A3C7-3AC8787165AA}"/>
    <cellStyle name="Currency 5 3 3 2 3 2 3" xfId="11861" xr:uid="{A6E1B2C6-6B6D-4D9D-BB4D-EA8831F3DDA1}"/>
    <cellStyle name="Currency 5 3 3 2 3 3" xfId="5484" xr:uid="{00000000-0005-0000-0000-0000E70C0000}"/>
    <cellStyle name="Currency 5 3 3 2 3 3 2" xfId="13934" xr:uid="{AE39D1DF-0BC8-4D57-A28F-BCFE09407D87}"/>
    <cellStyle name="Currency 5 3 3 2 3 4" xfId="9716" xr:uid="{3D79ECBB-A196-4F9A-984E-4EA394FFF72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A4F2A61B-5703-4163-A7F1-4B3F1904605A}"/>
    <cellStyle name="Currency 5 3 3 2 4 2 3" xfId="12274" xr:uid="{D0CBCD41-769D-4633-81E3-877348563BD5}"/>
    <cellStyle name="Currency 5 3 3 2 4 3" xfId="5897" xr:uid="{00000000-0005-0000-0000-0000EB0C0000}"/>
    <cellStyle name="Currency 5 3 3 2 4 3 2" xfId="14347" xr:uid="{52D99791-5E38-4073-852E-928DDC3A16DF}"/>
    <cellStyle name="Currency 5 3 3 2 4 4" xfId="10129" xr:uid="{8135A14A-8537-4260-9AF8-80A37E502205}"/>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D6899DB0-2CCD-4046-B6E5-2C5D91A8FB5C}"/>
    <cellStyle name="Currency 5 3 3 2 5 2 3" xfId="12687" xr:uid="{827EC83D-913A-42CD-92CD-6FD295E77AFE}"/>
    <cellStyle name="Currency 5 3 3 2 5 3" xfId="6310" xr:uid="{00000000-0005-0000-0000-0000EF0C0000}"/>
    <cellStyle name="Currency 5 3 3 2 5 3 2" xfId="14760" xr:uid="{8F211268-1FB4-47B0-88EE-99EE7AB8741D}"/>
    <cellStyle name="Currency 5 3 3 2 5 4" xfId="10542" xr:uid="{29E73278-40E1-4E84-BF7D-572F3EB20157}"/>
    <cellStyle name="Currency 5 3 3 2 6" xfId="2439" xr:uid="{00000000-0005-0000-0000-0000F00C0000}"/>
    <cellStyle name="Currency 5 3 3 2 6 2" xfId="6723" xr:uid="{00000000-0005-0000-0000-0000F10C0000}"/>
    <cellStyle name="Currency 5 3 3 2 6 2 2" xfId="15173" xr:uid="{1C6B1339-679C-4BBC-A3C5-24CB34912EA8}"/>
    <cellStyle name="Currency 5 3 3 2 6 3" xfId="10955" xr:uid="{8534BF47-3BBD-4D95-AB0E-841557B8CF0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BABCF333-0CD9-4B91-88E0-BF93A0247DCC}"/>
    <cellStyle name="Currency 5 3 3 2 8 3" xfId="11272" xr:uid="{B1D40A26-4189-401F-B637-1EA95657798F}"/>
    <cellStyle name="Currency 5 3 3 2 9" xfId="4657" xr:uid="{00000000-0005-0000-0000-0000F50C0000}"/>
    <cellStyle name="Currency 5 3 3 2 9 2" xfId="13107" xr:uid="{349B6AED-39A1-46B3-80F0-4689709AA55A}"/>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C0830976-C567-4541-9BE6-B332153E0E79}"/>
    <cellStyle name="Currency 5 3 3 3 2 3" xfId="11447" xr:uid="{87663B22-3470-4D86-9E91-1D9B4B1CA494}"/>
    <cellStyle name="Currency 5 3 3 3 3" xfId="5070" xr:uid="{00000000-0005-0000-0000-0000F90C0000}"/>
    <cellStyle name="Currency 5 3 3 3 3 2" xfId="13520" xr:uid="{253EDB9C-F1C5-40C7-8D46-7F167BB7AEBF}"/>
    <cellStyle name="Currency 5 3 3 3 4" xfId="9302" xr:uid="{2CC0D784-6F01-447F-A10C-3661241E2913}"/>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D029ABC2-4219-4638-80C9-667BCCBFADAE}"/>
    <cellStyle name="Currency 5 3 3 4 2 3" xfId="11860" xr:uid="{2AD1A02F-9413-4ED2-B97E-EBA12DE20D93}"/>
    <cellStyle name="Currency 5 3 3 4 3" xfId="5483" xr:uid="{00000000-0005-0000-0000-0000FD0C0000}"/>
    <cellStyle name="Currency 5 3 3 4 3 2" xfId="13933" xr:uid="{FF5F9066-3734-43BB-8363-F010C70E760C}"/>
    <cellStyle name="Currency 5 3 3 4 4" xfId="9715" xr:uid="{C40443BB-BFFC-4672-B680-E754B86072B6}"/>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45C0BBFD-EAF2-426B-B7EA-8489FECC4FE2}"/>
    <cellStyle name="Currency 5 3 3 5 2 3" xfId="12273" xr:uid="{9FBD686A-3131-4C95-BA72-31FA0BB133BE}"/>
    <cellStyle name="Currency 5 3 3 5 3" xfId="5896" xr:uid="{00000000-0005-0000-0000-0000010D0000}"/>
    <cellStyle name="Currency 5 3 3 5 3 2" xfId="14346" xr:uid="{F8E83FF9-B6D8-4560-9EB8-3A60877AF244}"/>
    <cellStyle name="Currency 5 3 3 5 4" xfId="10128" xr:uid="{06632D84-DAF0-4CE0-846B-6C970A7D5781}"/>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B3757108-99D6-4CC5-95B4-A6902E6EBBD4}"/>
    <cellStyle name="Currency 5 3 3 6 2 3" xfId="12686" xr:uid="{7589A0F7-16FD-4634-8CF6-18D53367FE2E}"/>
    <cellStyle name="Currency 5 3 3 6 3" xfId="6309" xr:uid="{00000000-0005-0000-0000-0000050D0000}"/>
    <cellStyle name="Currency 5 3 3 6 3 2" xfId="14759" xr:uid="{57C31D4F-9A21-4528-8FBC-A54EF7C1F67A}"/>
    <cellStyle name="Currency 5 3 3 6 4" xfId="10541" xr:uid="{53D44FF3-2E47-4637-A1AC-F59135BA9DB1}"/>
    <cellStyle name="Currency 5 3 3 7" xfId="2438" xr:uid="{00000000-0005-0000-0000-0000060D0000}"/>
    <cellStyle name="Currency 5 3 3 7 2" xfId="6722" xr:uid="{00000000-0005-0000-0000-0000070D0000}"/>
    <cellStyle name="Currency 5 3 3 7 2 2" xfId="15172" xr:uid="{AB9B743C-377C-488A-BF9F-B13CF1CD7CF1}"/>
    <cellStyle name="Currency 5 3 3 7 3" xfId="10954" xr:uid="{854A1C88-C59D-4078-96DA-CE65FDB0CB5F}"/>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1ABF1D96-3476-484A-ADDA-FB70CEC56E09}"/>
    <cellStyle name="Currency 5 3 3 9 3" xfId="11271" xr:uid="{C7FFEE05-D64C-49D2-AABC-625B61A54FA7}"/>
    <cellStyle name="Currency 5 3 4" xfId="216" xr:uid="{00000000-0005-0000-0000-00000B0D0000}"/>
    <cellStyle name="Currency 5 3 4 10" xfId="8890" xr:uid="{00AD4409-F6CB-4BFE-B058-931C4EE5D9A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235B2F9D-61B3-4199-AD70-D6596CC86131}"/>
    <cellStyle name="Currency 5 3 4 2 2 3" xfId="11449" xr:uid="{9FF47A7E-F1F7-4CF7-AC30-991EA1471A38}"/>
    <cellStyle name="Currency 5 3 4 2 3" xfId="5072" xr:uid="{00000000-0005-0000-0000-00000F0D0000}"/>
    <cellStyle name="Currency 5 3 4 2 3 2" xfId="13522" xr:uid="{B40365D2-D7CE-4F00-81A8-3DE0B2C5C497}"/>
    <cellStyle name="Currency 5 3 4 2 4" xfId="9304" xr:uid="{26BD55EC-706B-4C5F-B508-F32DE9CA6E6E}"/>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0C873352-8D0B-4ED9-960B-1C9FB8E4AA40}"/>
    <cellStyle name="Currency 5 3 4 3 2 3" xfId="11862" xr:uid="{358A2E3C-F13F-41A1-A172-AD29DEA3C045}"/>
    <cellStyle name="Currency 5 3 4 3 3" xfId="5485" xr:uid="{00000000-0005-0000-0000-0000130D0000}"/>
    <cellStyle name="Currency 5 3 4 3 3 2" xfId="13935" xr:uid="{CF11A5F9-A87C-490D-8BD7-052883841D30}"/>
    <cellStyle name="Currency 5 3 4 3 4" xfId="9717" xr:uid="{B784F03E-202D-42A5-AD17-D0817CA76A52}"/>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90072DE9-B142-49E8-8666-638AEEFB3E6E}"/>
    <cellStyle name="Currency 5 3 4 4 2 3" xfId="12275" xr:uid="{89000303-F82D-4D0F-9467-09A73E8A0E3B}"/>
    <cellStyle name="Currency 5 3 4 4 3" xfId="5898" xr:uid="{00000000-0005-0000-0000-0000170D0000}"/>
    <cellStyle name="Currency 5 3 4 4 3 2" xfId="14348" xr:uid="{953BA5F2-1226-4520-BC5A-D820B86DF8D6}"/>
    <cellStyle name="Currency 5 3 4 4 4" xfId="10130" xr:uid="{0E93F71E-26F0-4CC5-899D-46E943E221AE}"/>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2013563F-4C2B-49A5-898E-4EF4187DF36D}"/>
    <cellStyle name="Currency 5 3 4 5 2 3" xfId="12688" xr:uid="{A6C935BF-A4DE-43D0-A8DE-2C00D65E7EE2}"/>
    <cellStyle name="Currency 5 3 4 5 3" xfId="6311" xr:uid="{00000000-0005-0000-0000-00001B0D0000}"/>
    <cellStyle name="Currency 5 3 4 5 3 2" xfId="14761" xr:uid="{EF3155DF-10FD-4D99-AB8C-4A2A9F09644C}"/>
    <cellStyle name="Currency 5 3 4 5 4" xfId="10543" xr:uid="{90A73BB0-5247-4678-A1AF-60282A8D044D}"/>
    <cellStyle name="Currency 5 3 4 6" xfId="2440" xr:uid="{00000000-0005-0000-0000-00001C0D0000}"/>
    <cellStyle name="Currency 5 3 4 6 2" xfId="6724" xr:uid="{00000000-0005-0000-0000-00001D0D0000}"/>
    <cellStyle name="Currency 5 3 4 6 2 2" xfId="15174" xr:uid="{DAE8B46E-B7F1-4F5B-AE7A-82BC20A4E924}"/>
    <cellStyle name="Currency 5 3 4 6 3" xfId="10956" xr:uid="{AE994338-8997-43C9-8045-11884A0D04CC}"/>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C3505FF5-6D6B-4647-92CB-B4F2774D511C}"/>
    <cellStyle name="Currency 5 3 4 8 3" xfId="11273" xr:uid="{1F5BC8B5-84B3-4BDA-90A0-39D199468166}"/>
    <cellStyle name="Currency 5 3 4 9" xfId="4658" xr:uid="{00000000-0005-0000-0000-0000210D0000}"/>
    <cellStyle name="Currency 5 3 4 9 2" xfId="13108" xr:uid="{769C031D-D797-4442-BB3D-A4E67159F7B7}"/>
    <cellStyle name="Currency 5 3 5" xfId="217" xr:uid="{00000000-0005-0000-0000-0000220D0000}"/>
    <cellStyle name="Currency 5 3 5 10" xfId="8891" xr:uid="{42593DFD-6E31-47B2-89FE-A2FB1B2C3DB0}"/>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5571F89F-CA2C-4CFD-B277-E4ED8F8D392E}"/>
    <cellStyle name="Currency 5 3 5 2 2 3" xfId="11450" xr:uid="{269FA638-69AD-4719-BE66-FBD2D4B1E53B}"/>
    <cellStyle name="Currency 5 3 5 2 3" xfId="5073" xr:uid="{00000000-0005-0000-0000-0000260D0000}"/>
    <cellStyle name="Currency 5 3 5 2 3 2" xfId="13523" xr:uid="{6171F0F1-0D7D-4341-8F60-DE844A2A83B1}"/>
    <cellStyle name="Currency 5 3 5 2 4" xfId="9305" xr:uid="{BB66DE24-8555-44B3-91C9-30CAD42F63EC}"/>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857DEFB7-B109-464A-8D69-99C73841A593}"/>
    <cellStyle name="Currency 5 3 5 3 2 3" xfId="11863" xr:uid="{E87B3AFD-8A84-4302-9D0F-2100B5F1EC2B}"/>
    <cellStyle name="Currency 5 3 5 3 3" xfId="5486" xr:uid="{00000000-0005-0000-0000-00002A0D0000}"/>
    <cellStyle name="Currency 5 3 5 3 3 2" xfId="13936" xr:uid="{A367CBBA-173C-4E05-8BD8-45D45E8D3BDD}"/>
    <cellStyle name="Currency 5 3 5 3 4" xfId="9718" xr:uid="{87CBE60D-14CA-4AB2-9484-150A49BFF161}"/>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F6090C7F-E9D8-48C5-9D47-75E90A39CA9A}"/>
    <cellStyle name="Currency 5 3 5 4 2 3" xfId="12276" xr:uid="{11912B50-02CC-4327-9993-466590581774}"/>
    <cellStyle name="Currency 5 3 5 4 3" xfId="5899" xr:uid="{00000000-0005-0000-0000-00002E0D0000}"/>
    <cellStyle name="Currency 5 3 5 4 3 2" xfId="14349" xr:uid="{A1CB386C-CC38-444D-80ED-66E1DD38DC99}"/>
    <cellStyle name="Currency 5 3 5 4 4" xfId="10131" xr:uid="{975B0DF4-49DA-4452-98E2-455116DE5240}"/>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4FAC1075-2974-4BED-A7DE-3D036A81A760}"/>
    <cellStyle name="Currency 5 3 5 5 2 3" xfId="12689" xr:uid="{8DDA3C41-B58D-44D1-A52C-787DF8AC96C3}"/>
    <cellStyle name="Currency 5 3 5 5 3" xfId="6312" xr:uid="{00000000-0005-0000-0000-0000320D0000}"/>
    <cellStyle name="Currency 5 3 5 5 3 2" xfId="14762" xr:uid="{B5673A2A-5A94-44EE-8A23-A1282548FC38}"/>
    <cellStyle name="Currency 5 3 5 5 4" xfId="10544" xr:uid="{1796273F-9D48-4153-B652-B67AF0C659E9}"/>
    <cellStyle name="Currency 5 3 5 6" xfId="2441" xr:uid="{00000000-0005-0000-0000-0000330D0000}"/>
    <cellStyle name="Currency 5 3 5 6 2" xfId="6725" xr:uid="{00000000-0005-0000-0000-0000340D0000}"/>
    <cellStyle name="Currency 5 3 5 6 2 2" xfId="15175" xr:uid="{2997F033-5B0B-455D-992E-5EF5BB66833B}"/>
    <cellStyle name="Currency 5 3 5 6 3" xfId="10957" xr:uid="{A110BA68-AB10-4252-9A05-1DE9B9AD719E}"/>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DE199D3D-DA78-46E1-B4EE-CEBFE032DB93}"/>
    <cellStyle name="Currency 5 3 5 8 3" xfId="11274" xr:uid="{D7EADB62-5AF4-48B3-A2BE-127A1E586529}"/>
    <cellStyle name="Currency 5 3 5 9" xfId="4659" xr:uid="{00000000-0005-0000-0000-0000380D0000}"/>
    <cellStyle name="Currency 5 3 5 9 2" xfId="13109" xr:uid="{95196230-73EB-4A6F-8C38-CAF3E423367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33880C2F-C5C8-4808-A624-3444BB750713}"/>
    <cellStyle name="Currency 5 5 11" xfId="8892" xr:uid="{48FB6B4C-51FC-48AA-BC86-A1F8C31F2D5D}"/>
    <cellStyle name="Currency 5 5 2" xfId="220" xr:uid="{00000000-0005-0000-0000-00003D0D0000}"/>
    <cellStyle name="Currency 5 5 2 10" xfId="8893" xr:uid="{72CAB054-96BC-4237-8B8E-24CA96F5FDAA}"/>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4A95C61C-1C4B-4B63-8D19-5AEF5A1CFA01}"/>
    <cellStyle name="Currency 5 5 2 2 2 3" xfId="11452" xr:uid="{8322C552-66E5-4EFC-8CFF-548B540B6EA6}"/>
    <cellStyle name="Currency 5 5 2 2 3" xfId="5075" xr:uid="{00000000-0005-0000-0000-0000410D0000}"/>
    <cellStyle name="Currency 5 5 2 2 3 2" xfId="13525" xr:uid="{263903D4-98B0-48DC-A04F-9C26C1861F75}"/>
    <cellStyle name="Currency 5 5 2 2 4" xfId="9307" xr:uid="{1BFE4107-1634-4419-9A14-191E23CCCBBC}"/>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B08EC7C2-4D92-45B8-BFFA-5A3580C42BE5}"/>
    <cellStyle name="Currency 5 5 2 3 2 3" xfId="11865" xr:uid="{BA4193E6-3256-427C-86A7-138CB86FE5F1}"/>
    <cellStyle name="Currency 5 5 2 3 3" xfId="5488" xr:uid="{00000000-0005-0000-0000-0000450D0000}"/>
    <cellStyle name="Currency 5 5 2 3 3 2" xfId="13938" xr:uid="{F2DEAAF9-00E1-4031-99C7-0688BEC8B77D}"/>
    <cellStyle name="Currency 5 5 2 3 4" xfId="9720" xr:uid="{5424F049-0835-4820-9477-9578CA84952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DD85F038-3B21-4F24-964C-2E71F2819C60}"/>
    <cellStyle name="Currency 5 5 2 4 2 3" xfId="12278" xr:uid="{240D511E-DDC2-4D8F-A154-CDD4236E379B}"/>
    <cellStyle name="Currency 5 5 2 4 3" xfId="5901" xr:uid="{00000000-0005-0000-0000-0000490D0000}"/>
    <cellStyle name="Currency 5 5 2 4 3 2" xfId="14351" xr:uid="{FA4B686B-DAD0-48E1-B959-CA0DAD3F8B66}"/>
    <cellStyle name="Currency 5 5 2 4 4" xfId="10133" xr:uid="{55099501-84F4-4103-A9E7-E6B128BC681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B72F65B4-224F-41BD-8CB3-89F8940CC346}"/>
    <cellStyle name="Currency 5 5 2 5 2 3" xfId="12691" xr:uid="{58BA4A6C-B001-4D51-B1CF-1DE336211200}"/>
    <cellStyle name="Currency 5 5 2 5 3" xfId="6314" xr:uid="{00000000-0005-0000-0000-00004D0D0000}"/>
    <cellStyle name="Currency 5 5 2 5 3 2" xfId="14764" xr:uid="{1D5B9E73-2F94-43D3-8D41-CA26BDD61B36}"/>
    <cellStyle name="Currency 5 5 2 5 4" xfId="10546" xr:uid="{AE5CB65E-EEDA-488D-83E8-E34C5532B43B}"/>
    <cellStyle name="Currency 5 5 2 6" xfId="2443" xr:uid="{00000000-0005-0000-0000-00004E0D0000}"/>
    <cellStyle name="Currency 5 5 2 6 2" xfId="6727" xr:uid="{00000000-0005-0000-0000-00004F0D0000}"/>
    <cellStyle name="Currency 5 5 2 6 2 2" xfId="15177" xr:uid="{9D259DAD-2A75-43D6-B8B4-E534D6AD8176}"/>
    <cellStyle name="Currency 5 5 2 6 3" xfId="10959" xr:uid="{57372020-25D5-4014-A4B9-39183B03CBA8}"/>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DC0496A7-3A0B-4665-9D82-9D7DC9E9FF87}"/>
    <cellStyle name="Currency 5 5 2 8 3" xfId="11276" xr:uid="{85BBE517-9FC3-4535-A00A-BF197F6D36A1}"/>
    <cellStyle name="Currency 5 5 2 9" xfId="4661" xr:uid="{00000000-0005-0000-0000-0000530D0000}"/>
    <cellStyle name="Currency 5 5 2 9 2" xfId="13111" xr:uid="{5D13CFDD-563C-4C48-B126-3D96DD29B20B}"/>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090F38AC-AB3D-4F97-9CF5-FE3B15D31FDE}"/>
    <cellStyle name="Currency 5 5 3 2 3" xfId="11451" xr:uid="{46EC10CC-3491-4C67-BED9-FD082E498CB8}"/>
    <cellStyle name="Currency 5 5 3 3" xfId="5074" xr:uid="{00000000-0005-0000-0000-0000570D0000}"/>
    <cellStyle name="Currency 5 5 3 3 2" xfId="13524" xr:uid="{331FF16B-CE68-412B-808A-61BB01CA44D7}"/>
    <cellStyle name="Currency 5 5 3 4" xfId="9306" xr:uid="{922B427C-66A3-469E-8C38-2E6E11BF133F}"/>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8513A12C-7606-4492-B271-D61C56E398A4}"/>
    <cellStyle name="Currency 5 5 4 2 3" xfId="11864" xr:uid="{56F0505B-017F-4AD9-BB30-FE35224C276B}"/>
    <cellStyle name="Currency 5 5 4 3" xfId="5487" xr:uid="{00000000-0005-0000-0000-00005B0D0000}"/>
    <cellStyle name="Currency 5 5 4 3 2" xfId="13937" xr:uid="{FD1E1241-7A55-45A0-830A-466B458D3DBD}"/>
    <cellStyle name="Currency 5 5 4 4" xfId="9719" xr:uid="{DC366072-3ED4-4169-B3C2-C11685ACD6F3}"/>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0FEC378E-6950-4A36-AC49-E17351BC8E8B}"/>
    <cellStyle name="Currency 5 5 5 2 3" xfId="12277" xr:uid="{16D395D5-3980-4E24-ADC7-1378295BA5EE}"/>
    <cellStyle name="Currency 5 5 5 3" xfId="5900" xr:uid="{00000000-0005-0000-0000-00005F0D0000}"/>
    <cellStyle name="Currency 5 5 5 3 2" xfId="14350" xr:uid="{AA5FEAC7-8081-44BB-A502-69F187200BFC}"/>
    <cellStyle name="Currency 5 5 5 4" xfId="10132" xr:uid="{9D87D0AB-D105-4153-B962-C9DB81A4427B}"/>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79FAEFBA-0639-43FD-A9D8-A0BF4B4372AE}"/>
    <cellStyle name="Currency 5 5 6 2 3" xfId="12690" xr:uid="{0FDD5190-8289-42DC-A72D-7142DAD5CB6B}"/>
    <cellStyle name="Currency 5 5 6 3" xfId="6313" xr:uid="{00000000-0005-0000-0000-0000630D0000}"/>
    <cellStyle name="Currency 5 5 6 3 2" xfId="14763" xr:uid="{0814DAF5-BE67-4493-9375-46972AACFA52}"/>
    <cellStyle name="Currency 5 5 6 4" xfId="10545" xr:uid="{869F82C8-36CE-4281-932E-0DE80ED02D49}"/>
    <cellStyle name="Currency 5 5 7" xfId="2442" xr:uid="{00000000-0005-0000-0000-0000640D0000}"/>
    <cellStyle name="Currency 5 5 7 2" xfId="6726" xr:uid="{00000000-0005-0000-0000-0000650D0000}"/>
    <cellStyle name="Currency 5 5 7 2 2" xfId="15176" xr:uid="{14555929-2B72-47B0-9670-94CF33C032E4}"/>
    <cellStyle name="Currency 5 5 7 3" xfId="10958" xr:uid="{74E254FC-E3CC-4B8E-9F27-3B85AD5F9C42}"/>
    <cellStyle name="Currency 5 5 8" xfId="2739" xr:uid="{00000000-0005-0000-0000-0000660D0000}"/>
    <cellStyle name="Currency 5 5 9" xfId="2820" xr:uid="{00000000-0005-0000-0000-0000670D0000}"/>
    <cellStyle name="Currency 5 5 9 2" xfId="7043" xr:uid="{00000000-0005-0000-0000-0000680D0000}"/>
    <cellStyle name="Currency 5 5 9 2 2" xfId="15493" xr:uid="{112155CC-B9D0-4B14-9877-6730852F7E82}"/>
    <cellStyle name="Currency 5 5 9 3" xfId="11275" xr:uid="{BFAA12B0-02F7-4673-BCAD-E81D88EDD0FB}"/>
    <cellStyle name="Currency 5 6" xfId="221" xr:uid="{00000000-0005-0000-0000-0000690D0000}"/>
    <cellStyle name="Currency 5 6 10" xfId="8894" xr:uid="{AADFE3A0-54C6-40AE-A0F7-1E7F448F48B1}"/>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D09E93A6-059C-4CCD-8821-4D09BBE44075}"/>
    <cellStyle name="Currency 5 6 2 2 3" xfId="11453" xr:uid="{37F35851-97BF-49D4-9409-5635470FC3A8}"/>
    <cellStyle name="Currency 5 6 2 3" xfId="5076" xr:uid="{00000000-0005-0000-0000-00006D0D0000}"/>
    <cellStyle name="Currency 5 6 2 3 2" xfId="13526" xr:uid="{FC74A231-574C-4C60-993E-962E59C9C855}"/>
    <cellStyle name="Currency 5 6 2 4" xfId="9308" xr:uid="{F7F52913-19B1-4C3D-9FA3-6CDFD522C321}"/>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B61D8E3D-CFCB-40E3-96C0-40AAD91E1535}"/>
    <cellStyle name="Currency 5 6 3 2 3" xfId="11866" xr:uid="{DC10BDB0-BE1E-445D-88EE-EA601E27BE4F}"/>
    <cellStyle name="Currency 5 6 3 3" xfId="5489" xr:uid="{00000000-0005-0000-0000-0000710D0000}"/>
    <cellStyle name="Currency 5 6 3 3 2" xfId="13939" xr:uid="{F9C16341-A17A-484C-8134-79866DF4F3CC}"/>
    <cellStyle name="Currency 5 6 3 4" xfId="9721" xr:uid="{7C1B1E6A-0CBA-44BC-816F-2C391FCC29B2}"/>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76D6B4AC-1862-4CD0-8AAE-F13F1D744B44}"/>
    <cellStyle name="Currency 5 6 4 2 3" xfId="12279" xr:uid="{4675D5F2-F584-4724-8376-4000D5012EF2}"/>
    <cellStyle name="Currency 5 6 4 3" xfId="5902" xr:uid="{00000000-0005-0000-0000-0000750D0000}"/>
    <cellStyle name="Currency 5 6 4 3 2" xfId="14352" xr:uid="{A006C5D3-F7BA-444B-8607-EFCCFCF9B217}"/>
    <cellStyle name="Currency 5 6 4 4" xfId="10134" xr:uid="{87757B7E-72F5-4F2F-88B1-7C9B2A4E8D06}"/>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E6207514-BE25-499F-987A-D5C32E1BA710}"/>
    <cellStyle name="Currency 5 6 5 2 3" xfId="12692" xr:uid="{928C66DA-6288-445C-9CE4-5AC8F50A0DE2}"/>
    <cellStyle name="Currency 5 6 5 3" xfId="6315" xr:uid="{00000000-0005-0000-0000-0000790D0000}"/>
    <cellStyle name="Currency 5 6 5 3 2" xfId="14765" xr:uid="{A915687C-7BE6-4BC4-9F53-6099169437ED}"/>
    <cellStyle name="Currency 5 6 5 4" xfId="10547" xr:uid="{6D2B8EE7-72F1-4452-929C-6A3C3E136782}"/>
    <cellStyle name="Currency 5 6 6" xfId="2444" xr:uid="{00000000-0005-0000-0000-00007A0D0000}"/>
    <cellStyle name="Currency 5 6 6 2" xfId="6728" xr:uid="{00000000-0005-0000-0000-00007B0D0000}"/>
    <cellStyle name="Currency 5 6 6 2 2" xfId="15178" xr:uid="{EBF607A4-4AC7-430A-8745-C360F5B40072}"/>
    <cellStyle name="Currency 5 6 6 3" xfId="10960" xr:uid="{16DE7D40-9154-44A6-B4FE-B0BB5F932E3B}"/>
    <cellStyle name="Currency 5 6 7" xfId="2741" xr:uid="{00000000-0005-0000-0000-00007C0D0000}"/>
    <cellStyle name="Currency 5 6 8" xfId="2822" xr:uid="{00000000-0005-0000-0000-00007D0D0000}"/>
    <cellStyle name="Currency 5 6 8 2" xfId="7045" xr:uid="{00000000-0005-0000-0000-00007E0D0000}"/>
    <cellStyle name="Currency 5 6 8 2 2" xfId="15495" xr:uid="{24961FA0-9A55-4D13-9F48-C43AF26B3799}"/>
    <cellStyle name="Currency 5 6 8 3" xfId="11277" xr:uid="{557E9AAE-49E4-4F8B-BA1A-21E9B7AA4A14}"/>
    <cellStyle name="Currency 5 6 9" xfId="4662" xr:uid="{00000000-0005-0000-0000-00007F0D0000}"/>
    <cellStyle name="Currency 5 6 9 2" xfId="13112" xr:uid="{7DD9BAE1-61E7-4F48-8B1F-FF6B800FDAB2}"/>
    <cellStyle name="Currency 5 7" xfId="222" xr:uid="{00000000-0005-0000-0000-0000800D0000}"/>
    <cellStyle name="Currency 5 7 10" xfId="8895" xr:uid="{EFB52F5D-B519-49EF-9DD0-0307016D6473}"/>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AD3CDC82-2C43-4018-BE08-7099B1C0806D}"/>
    <cellStyle name="Currency 5 7 2 2 3" xfId="11454" xr:uid="{35A6D28A-EBA9-4494-83B0-CD23946243AF}"/>
    <cellStyle name="Currency 5 7 2 3" xfId="5077" xr:uid="{00000000-0005-0000-0000-0000840D0000}"/>
    <cellStyle name="Currency 5 7 2 3 2" xfId="13527" xr:uid="{D018483F-2211-4984-B471-026DC2C6C240}"/>
    <cellStyle name="Currency 5 7 2 4" xfId="9309" xr:uid="{1B719166-A532-4F9E-A122-830C5DD874EA}"/>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3014FBBE-B487-47C2-9C7C-C9F38362F2B8}"/>
    <cellStyle name="Currency 5 7 3 2 3" xfId="11867" xr:uid="{25E4CD88-81A9-4FAE-BF85-6DA59A84DEE4}"/>
    <cellStyle name="Currency 5 7 3 3" xfId="5490" xr:uid="{00000000-0005-0000-0000-0000880D0000}"/>
    <cellStyle name="Currency 5 7 3 3 2" xfId="13940" xr:uid="{4C8790FD-7438-41B8-90EF-45732F3AB23A}"/>
    <cellStyle name="Currency 5 7 3 4" xfId="9722" xr:uid="{B76AF30C-11B8-4612-8A26-B38B34018647}"/>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CBC49C0C-102E-41A4-BB0D-7EB774D14517}"/>
    <cellStyle name="Currency 5 7 4 2 3" xfId="12280" xr:uid="{6B0FFDA2-AFC1-4DE2-8517-840B20EB9349}"/>
    <cellStyle name="Currency 5 7 4 3" xfId="5903" xr:uid="{00000000-0005-0000-0000-00008C0D0000}"/>
    <cellStyle name="Currency 5 7 4 3 2" xfId="14353" xr:uid="{664D30E8-C9ED-422A-81EE-3049678E5030}"/>
    <cellStyle name="Currency 5 7 4 4" xfId="10135" xr:uid="{943E76AC-4D32-4EA8-ABC0-CB419DCEC1B1}"/>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BA26C7EE-C1DB-4438-BB3B-C5BE4ECCFC30}"/>
    <cellStyle name="Currency 5 7 5 2 3" xfId="12693" xr:uid="{4DBFF4FD-44FE-4379-A05B-E0FFF8949728}"/>
    <cellStyle name="Currency 5 7 5 3" xfId="6316" xr:uid="{00000000-0005-0000-0000-0000900D0000}"/>
    <cellStyle name="Currency 5 7 5 3 2" xfId="14766" xr:uid="{22181E24-778B-4B90-81E2-1C9F7A694385}"/>
    <cellStyle name="Currency 5 7 5 4" xfId="10548" xr:uid="{371DE91C-E60A-4795-8434-B899DD60F6C6}"/>
    <cellStyle name="Currency 5 7 6" xfId="2445" xr:uid="{00000000-0005-0000-0000-0000910D0000}"/>
    <cellStyle name="Currency 5 7 6 2" xfId="6729" xr:uid="{00000000-0005-0000-0000-0000920D0000}"/>
    <cellStyle name="Currency 5 7 6 2 2" xfId="15179" xr:uid="{EBC516E4-9FA5-440C-878D-A1F3C89A8C9D}"/>
    <cellStyle name="Currency 5 7 6 3" xfId="10961" xr:uid="{9CDB92DB-D1EB-4F5E-81AD-B022C120653B}"/>
    <cellStyle name="Currency 5 7 7" xfId="2742" xr:uid="{00000000-0005-0000-0000-0000930D0000}"/>
    <cellStyle name="Currency 5 7 8" xfId="2823" xr:uid="{00000000-0005-0000-0000-0000940D0000}"/>
    <cellStyle name="Currency 5 7 8 2" xfId="7046" xr:uid="{00000000-0005-0000-0000-0000950D0000}"/>
    <cellStyle name="Currency 5 7 8 2 2" xfId="15496" xr:uid="{84A81717-6376-488F-B40C-B6F424F7E143}"/>
    <cellStyle name="Currency 5 7 8 3" xfId="11278" xr:uid="{1BBDFAD6-908F-4600-9FF1-57E13130A253}"/>
    <cellStyle name="Currency 5 7 9" xfId="4663" xr:uid="{00000000-0005-0000-0000-0000960D0000}"/>
    <cellStyle name="Currency 5 7 9 2" xfId="13113" xr:uid="{4F79D628-2F2E-445B-9B83-11CFA00777C9}"/>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1756C32A-06F7-4DF0-9E99-6061437C06CC}"/>
    <cellStyle name="Normal 12 10 3" xfId="10962" xr:uid="{8196171C-E983-4262-A801-E8F2ABDB3C46}"/>
    <cellStyle name="Normal 12 11" xfId="4664" xr:uid="{00000000-0005-0000-0000-0000CC0D0000}"/>
    <cellStyle name="Normal 12 11 2" xfId="13114" xr:uid="{CA1C34A6-14DA-44A6-9B68-803E2A06073B}"/>
    <cellStyle name="Normal 12 12" xfId="8896" xr:uid="{4EBB253C-12A0-439B-83F0-55E3FCFAB2CE}"/>
    <cellStyle name="Normal 12 2" xfId="260" xr:uid="{00000000-0005-0000-0000-0000CD0D0000}"/>
    <cellStyle name="Normal 12 2 10" xfId="8897" xr:uid="{9FADF8EB-3A16-4EF1-A44C-0633E55196E6}"/>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AEB4BAFE-5CE3-49AF-8CEA-1C0C853485CA}"/>
    <cellStyle name="Normal 12 2 2 2 2 2 3" xfId="11458" xr:uid="{8C66A41F-2E42-4D7D-96D3-8850743C6902}"/>
    <cellStyle name="Normal 12 2 2 2 2 3" xfId="5081" xr:uid="{00000000-0005-0000-0000-0000D30D0000}"/>
    <cellStyle name="Normal 12 2 2 2 2 3 2" xfId="13531" xr:uid="{EEE57AAB-4D48-4EEE-B644-736240A6C44B}"/>
    <cellStyle name="Normal 12 2 2 2 2 4" xfId="9313" xr:uid="{DF959C2A-363E-4099-9961-0C8E0AE8C7F6}"/>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29463407-E4F4-4DC7-9F15-44A8DE18EBC2}"/>
    <cellStyle name="Normal 12 2 2 2 3 2 3" xfId="11871" xr:uid="{2E35AFBE-5106-4145-AC95-9135631493A7}"/>
    <cellStyle name="Normal 12 2 2 2 3 3" xfId="5494" xr:uid="{00000000-0005-0000-0000-0000D70D0000}"/>
    <cellStyle name="Normal 12 2 2 2 3 3 2" xfId="13944" xr:uid="{3CFD787E-110C-4B18-9AC5-31AF358752BE}"/>
    <cellStyle name="Normal 12 2 2 2 3 4" xfId="9726" xr:uid="{2CBED981-92CF-4B1B-AA14-FFC69640AA69}"/>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1FDF1C3C-6F1B-40B8-9E90-76347C735838}"/>
    <cellStyle name="Normal 12 2 2 2 4 2 3" xfId="12284" xr:uid="{23423B3F-0952-47F3-9280-51B896AD9983}"/>
    <cellStyle name="Normal 12 2 2 2 4 3" xfId="5907" xr:uid="{00000000-0005-0000-0000-0000DB0D0000}"/>
    <cellStyle name="Normal 12 2 2 2 4 3 2" xfId="14357" xr:uid="{568D79F2-0FD1-40B7-A5D5-38EB7D0D0A94}"/>
    <cellStyle name="Normal 12 2 2 2 4 4" xfId="10139" xr:uid="{8DB25932-C448-428F-B709-89A287AA661D}"/>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7DC648ED-90E9-4B72-A472-64D8541F0FC1}"/>
    <cellStyle name="Normal 12 2 2 2 5 2 3" xfId="12697" xr:uid="{81F117CF-4C91-4E3D-85BA-6CFFD102C45F}"/>
    <cellStyle name="Normal 12 2 2 2 5 3" xfId="6320" xr:uid="{00000000-0005-0000-0000-0000DF0D0000}"/>
    <cellStyle name="Normal 12 2 2 2 5 3 2" xfId="14770" xr:uid="{46013513-6E8E-42B5-9842-9AA7C9943E5E}"/>
    <cellStyle name="Normal 12 2 2 2 5 4" xfId="10552" xr:uid="{8A6D3815-E982-4D47-8C4F-C90013DE487C}"/>
    <cellStyle name="Normal 12 2 2 2 6" xfId="2450" xr:uid="{00000000-0005-0000-0000-0000E00D0000}"/>
    <cellStyle name="Normal 12 2 2 2 6 2" xfId="6733" xr:uid="{00000000-0005-0000-0000-0000E10D0000}"/>
    <cellStyle name="Normal 12 2 2 2 6 2 2" xfId="15183" xr:uid="{9EACBDA1-A251-4E98-AB04-D9961EA89B72}"/>
    <cellStyle name="Normal 12 2 2 2 6 3" xfId="10965" xr:uid="{CF171804-F7CA-40CE-B86F-0F9F24914088}"/>
    <cellStyle name="Normal 12 2 2 2 7" xfId="4667" xr:uid="{00000000-0005-0000-0000-0000E20D0000}"/>
    <cellStyle name="Normal 12 2 2 2 7 2" xfId="13117" xr:uid="{C88838E4-A7FF-456F-9A83-68A975E54110}"/>
    <cellStyle name="Normal 12 2 2 2 8" xfId="8899" xr:uid="{7D6CA53B-BC04-4F7D-AD72-798E5BA3ED80}"/>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0DCFCBC5-D91A-4A5F-A399-363F7FB86E38}"/>
    <cellStyle name="Normal 12 2 2 3 2 3" xfId="11457" xr:uid="{67EDBA19-96BD-48C0-8077-CBBAAA87DFE5}"/>
    <cellStyle name="Normal 12 2 2 3 3" xfId="5080" xr:uid="{00000000-0005-0000-0000-0000E60D0000}"/>
    <cellStyle name="Normal 12 2 2 3 3 2" xfId="13530" xr:uid="{94EB921D-8531-4065-9851-750E2BA061D0}"/>
    <cellStyle name="Normal 12 2 2 3 4" xfId="9312" xr:uid="{C7F499BF-C33A-452B-BF00-8DC627E6163A}"/>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758E157A-A160-413A-8FD8-279B2CE14AAB}"/>
    <cellStyle name="Normal 12 2 2 4 2 3" xfId="11870" xr:uid="{22891C1E-D514-4AD8-AF5F-EC7988E80AEE}"/>
    <cellStyle name="Normal 12 2 2 4 3" xfId="5493" xr:uid="{00000000-0005-0000-0000-0000EA0D0000}"/>
    <cellStyle name="Normal 12 2 2 4 3 2" xfId="13943" xr:uid="{5C24A6EF-6D48-4825-AF91-52DBD546D55E}"/>
    <cellStyle name="Normal 12 2 2 4 4" xfId="9725" xr:uid="{10B7377A-1465-47C0-85B9-316594B8C428}"/>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F95D09A4-3002-461D-B4EE-611ABD93036C}"/>
    <cellStyle name="Normal 12 2 2 5 2 3" xfId="12283" xr:uid="{94211001-9239-4091-ACEC-BD0B3CEEA86C}"/>
    <cellStyle name="Normal 12 2 2 5 3" xfId="5906" xr:uid="{00000000-0005-0000-0000-0000EE0D0000}"/>
    <cellStyle name="Normal 12 2 2 5 3 2" xfId="14356" xr:uid="{E3D4E112-23D3-432B-BA80-F4953F6930AE}"/>
    <cellStyle name="Normal 12 2 2 5 4" xfId="10138" xr:uid="{925AD968-59BF-4BB0-8BF2-7D358C3EF497}"/>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66D43D57-538E-46F6-AB34-A661AA5D0F6D}"/>
    <cellStyle name="Normal 12 2 2 6 2 3" xfId="12696" xr:uid="{31D0A988-ADFA-48CD-A325-DD0038E542D7}"/>
    <cellStyle name="Normal 12 2 2 6 3" xfId="6319" xr:uid="{00000000-0005-0000-0000-0000F20D0000}"/>
    <cellStyle name="Normal 12 2 2 6 3 2" xfId="14769" xr:uid="{0D563869-6B47-416B-ACD2-C71FBE9BE769}"/>
    <cellStyle name="Normal 12 2 2 6 4" xfId="10551" xr:uid="{A146870F-85F7-4660-8A69-7A81709E9C03}"/>
    <cellStyle name="Normal 12 2 2 7" xfId="2449" xr:uid="{00000000-0005-0000-0000-0000F30D0000}"/>
    <cellStyle name="Normal 12 2 2 7 2" xfId="6732" xr:uid="{00000000-0005-0000-0000-0000F40D0000}"/>
    <cellStyle name="Normal 12 2 2 7 2 2" xfId="15182" xr:uid="{D40FE920-417B-4348-A50B-83A7C205B801}"/>
    <cellStyle name="Normal 12 2 2 7 3" xfId="10964" xr:uid="{51923B5C-9D0F-43CE-9F4A-C3E50A64D382}"/>
    <cellStyle name="Normal 12 2 2 8" xfId="4666" xr:uid="{00000000-0005-0000-0000-0000F50D0000}"/>
    <cellStyle name="Normal 12 2 2 8 2" xfId="13116" xr:uid="{6040576F-9B00-428F-BC31-11403AB64E59}"/>
    <cellStyle name="Normal 12 2 2 9" xfId="8898" xr:uid="{76A86133-06F6-4BE1-9DC0-C5370D32BC27}"/>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EAC729CC-8834-4E78-A9FA-E27E52F919ED}"/>
    <cellStyle name="Normal 12 2 3 2 2 3" xfId="11459" xr:uid="{040B9AFC-8073-4F5E-B65A-51E66EB4DEF5}"/>
    <cellStyle name="Normal 12 2 3 2 3" xfId="5082" xr:uid="{00000000-0005-0000-0000-0000FA0D0000}"/>
    <cellStyle name="Normal 12 2 3 2 3 2" xfId="13532" xr:uid="{5544205B-EA40-45E9-8EDC-19AF27629ACB}"/>
    <cellStyle name="Normal 12 2 3 2 4" xfId="9314" xr:uid="{501A3274-1E0D-48FD-AA41-2E397451DD8D}"/>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74DF0770-31F7-44ED-93F7-75218617D874}"/>
    <cellStyle name="Normal 12 2 3 3 2 3" xfId="11872" xr:uid="{0F188BC6-ED4A-4045-AEF9-0406188925BB}"/>
    <cellStyle name="Normal 12 2 3 3 3" xfId="5495" xr:uid="{00000000-0005-0000-0000-0000FE0D0000}"/>
    <cellStyle name="Normal 12 2 3 3 3 2" xfId="13945" xr:uid="{13A31C9F-8CFE-43E2-8141-56E76B044DFD}"/>
    <cellStyle name="Normal 12 2 3 3 4" xfId="9727" xr:uid="{61DB4AD8-C2F7-4E9A-A348-21B1FC0D2BE0}"/>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CC282555-E071-4892-A22B-539EC7B5EAA8}"/>
    <cellStyle name="Normal 12 2 3 4 2 3" xfId="12285" xr:uid="{DAEFC01E-2F3C-46CE-9581-AAAB4C71F5C6}"/>
    <cellStyle name="Normal 12 2 3 4 3" xfId="5908" xr:uid="{00000000-0005-0000-0000-0000020E0000}"/>
    <cellStyle name="Normal 12 2 3 4 3 2" xfId="14358" xr:uid="{CA8D1577-DD47-4F21-B466-5C77F240F22D}"/>
    <cellStyle name="Normal 12 2 3 4 4" xfId="10140" xr:uid="{9D93CCDE-E61F-4FA8-B859-07022ADC3C6B}"/>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AC7B5EA6-34FA-4BFE-B853-5EC8D0E2EF5A}"/>
    <cellStyle name="Normal 12 2 3 5 2 3" xfId="12698" xr:uid="{582DF5F2-8527-41BD-B511-867B3DD5F30B}"/>
    <cellStyle name="Normal 12 2 3 5 3" xfId="6321" xr:uid="{00000000-0005-0000-0000-0000060E0000}"/>
    <cellStyle name="Normal 12 2 3 5 3 2" xfId="14771" xr:uid="{E6B2D6D5-8359-4B8A-931B-5EB70B3FC4E1}"/>
    <cellStyle name="Normal 12 2 3 5 4" xfId="10553" xr:uid="{A9D25795-CD8E-4319-A1F0-C832438E1CD5}"/>
    <cellStyle name="Normal 12 2 3 6" xfId="2451" xr:uid="{00000000-0005-0000-0000-0000070E0000}"/>
    <cellStyle name="Normal 12 2 3 6 2" xfId="6734" xr:uid="{00000000-0005-0000-0000-0000080E0000}"/>
    <cellStyle name="Normal 12 2 3 6 2 2" xfId="15184" xr:uid="{3A3A7583-A8B0-4645-AD0B-58D9254E5457}"/>
    <cellStyle name="Normal 12 2 3 6 3" xfId="10966" xr:uid="{E3BBF9C9-97D9-4C56-A874-9064952B6A48}"/>
    <cellStyle name="Normal 12 2 3 7" xfId="4668" xr:uid="{00000000-0005-0000-0000-0000090E0000}"/>
    <cellStyle name="Normal 12 2 3 7 2" xfId="13118" xr:uid="{FD062C5F-6E32-400C-BC07-CD41368742E4}"/>
    <cellStyle name="Normal 12 2 3 8" xfId="8900" xr:uid="{75F5B585-89CF-498F-9378-FD52F38FE475}"/>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513B928F-3116-4AC8-B213-5D1C84EB8014}"/>
    <cellStyle name="Normal 12 2 4 2 3" xfId="11456" xr:uid="{0D6A9B31-285A-4009-A7DE-FBD8B480B781}"/>
    <cellStyle name="Normal 12 2 4 3" xfId="5079" xr:uid="{00000000-0005-0000-0000-00000D0E0000}"/>
    <cellStyle name="Normal 12 2 4 3 2" xfId="13529" xr:uid="{B4EDFC16-715D-437D-AC7B-9F530B64B9CC}"/>
    <cellStyle name="Normal 12 2 4 4" xfId="9311" xr:uid="{B1B5D9C1-715F-44D5-BEB0-CD68A2A31FEB}"/>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4676369E-0699-4A20-BAFC-E81262DC59F9}"/>
    <cellStyle name="Normal 12 2 5 2 3" xfId="11869" xr:uid="{9583244F-15E8-43A0-A582-D176A3A7B32A}"/>
    <cellStyle name="Normal 12 2 5 3" xfId="5492" xr:uid="{00000000-0005-0000-0000-0000110E0000}"/>
    <cellStyle name="Normal 12 2 5 3 2" xfId="13942" xr:uid="{784E6FD8-13FC-4344-8BFA-D37FBF72D6E7}"/>
    <cellStyle name="Normal 12 2 5 4" xfId="9724" xr:uid="{B75A8286-4BE5-4E7A-AC1F-F07EA025B762}"/>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E3153D57-5F4B-4D40-835A-64A66F759DD5}"/>
    <cellStyle name="Normal 12 2 6 2 3" xfId="12282" xr:uid="{7B06547E-FD23-4019-B362-1F25BFDF0B14}"/>
    <cellStyle name="Normal 12 2 6 3" xfId="5905" xr:uid="{00000000-0005-0000-0000-0000150E0000}"/>
    <cellStyle name="Normal 12 2 6 3 2" xfId="14355" xr:uid="{9B137C5A-44DF-4F7E-8F91-F4DBACC7A452}"/>
    <cellStyle name="Normal 12 2 6 4" xfId="10137" xr:uid="{89025BBC-F63A-47F4-89D5-7EF7098AB3DB}"/>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64CCC38D-D091-427F-93A5-326F48C65447}"/>
    <cellStyle name="Normal 12 2 7 2 3" xfId="12695" xr:uid="{708DDB63-C083-43EF-BE68-E8A782605A8F}"/>
    <cellStyle name="Normal 12 2 7 3" xfId="6318" xr:uid="{00000000-0005-0000-0000-0000190E0000}"/>
    <cellStyle name="Normal 12 2 7 3 2" xfId="14768" xr:uid="{DB1119CC-9CEE-4D63-81DB-367007883D09}"/>
    <cellStyle name="Normal 12 2 7 4" xfId="10550" xr:uid="{34BEC6B2-526C-4FCA-902A-877DCF2A7A9D}"/>
    <cellStyle name="Normal 12 2 8" xfId="2448" xr:uid="{00000000-0005-0000-0000-00001A0E0000}"/>
    <cellStyle name="Normal 12 2 8 2" xfId="6731" xr:uid="{00000000-0005-0000-0000-00001B0E0000}"/>
    <cellStyle name="Normal 12 2 8 2 2" xfId="15181" xr:uid="{BF2930EB-5DFA-4EA4-ACAD-008BB5084CF0}"/>
    <cellStyle name="Normal 12 2 8 3" xfId="10963" xr:uid="{5A74E2DD-959A-48D2-AF83-0A316F1CAD4E}"/>
    <cellStyle name="Normal 12 2 9" xfId="4665" xr:uid="{00000000-0005-0000-0000-00001C0E0000}"/>
    <cellStyle name="Normal 12 2 9 2" xfId="13115" xr:uid="{3F77B33B-2AF8-4DDA-8D6E-B28BAA13BADD}"/>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52DD6ADE-8D79-4773-BEA2-C490ABC43C7E}"/>
    <cellStyle name="Normal 12 3 2 2 2 3" xfId="11461" xr:uid="{8FC7BF3A-C9C8-4D81-A208-6458304A8665}"/>
    <cellStyle name="Normal 12 3 2 2 3" xfId="5084" xr:uid="{00000000-0005-0000-0000-0000220E0000}"/>
    <cellStyle name="Normal 12 3 2 2 3 2" xfId="13534" xr:uid="{C362BCB0-CB53-4189-8E2D-775CEC81D3B7}"/>
    <cellStyle name="Normal 12 3 2 2 4" xfId="9316" xr:uid="{F5A5674D-15F1-4F15-A6CA-56AC28A340ED}"/>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ECA79242-F898-4BB0-B65C-8E249C9F841A}"/>
    <cellStyle name="Normal 12 3 2 3 2 3" xfId="11874" xr:uid="{5173EBF7-4815-4BA0-A369-F2837D850AD8}"/>
    <cellStyle name="Normal 12 3 2 3 3" xfId="5497" xr:uid="{00000000-0005-0000-0000-0000260E0000}"/>
    <cellStyle name="Normal 12 3 2 3 3 2" xfId="13947" xr:uid="{F5760A05-951C-4680-94C6-C6A722379F74}"/>
    <cellStyle name="Normal 12 3 2 3 4" xfId="9729" xr:uid="{4CA5C941-048F-41A1-A46D-A1DB66D7C638}"/>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F608C402-C7D4-4F1E-83DC-820712A16163}"/>
    <cellStyle name="Normal 12 3 2 4 2 3" xfId="12287" xr:uid="{68226012-30B9-4CF6-8BE0-8DF7D2CC1900}"/>
    <cellStyle name="Normal 12 3 2 4 3" xfId="5910" xr:uid="{00000000-0005-0000-0000-00002A0E0000}"/>
    <cellStyle name="Normal 12 3 2 4 3 2" xfId="14360" xr:uid="{8AAD6CE0-2CD0-4DD6-9E62-04CF1AB4BAC4}"/>
    <cellStyle name="Normal 12 3 2 4 4" xfId="10142" xr:uid="{AB5939F1-CFC5-49A6-B714-D09B890B3B3B}"/>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18282F48-E96E-4C63-B73E-8C7706027B16}"/>
    <cellStyle name="Normal 12 3 2 5 2 3" xfId="12700" xr:uid="{5883B3DD-99B9-4355-9FDD-D16A26E03570}"/>
    <cellStyle name="Normal 12 3 2 5 3" xfId="6323" xr:uid="{00000000-0005-0000-0000-00002E0E0000}"/>
    <cellStyle name="Normal 12 3 2 5 3 2" xfId="14773" xr:uid="{D3DE4758-9673-4E7E-82E5-474CF5A15A9A}"/>
    <cellStyle name="Normal 12 3 2 5 4" xfId="10555" xr:uid="{A3DC8F4E-16F5-443C-B8D2-EA93832F2C6F}"/>
    <cellStyle name="Normal 12 3 2 6" xfId="2453" xr:uid="{00000000-0005-0000-0000-00002F0E0000}"/>
    <cellStyle name="Normal 12 3 2 6 2" xfId="6736" xr:uid="{00000000-0005-0000-0000-0000300E0000}"/>
    <cellStyle name="Normal 12 3 2 6 2 2" xfId="15186" xr:uid="{8A9CCA5E-2923-433A-AB98-EA040C343A79}"/>
    <cellStyle name="Normal 12 3 2 6 3" xfId="10968" xr:uid="{F010CD98-04FF-4343-ADFD-83174F2A47A3}"/>
    <cellStyle name="Normal 12 3 2 7" xfId="4670" xr:uid="{00000000-0005-0000-0000-0000310E0000}"/>
    <cellStyle name="Normal 12 3 2 7 2" xfId="13120" xr:uid="{87C8801B-4EA9-46BC-A5B5-33F9A0686DE3}"/>
    <cellStyle name="Normal 12 3 2 8" xfId="8902" xr:uid="{674B9D3F-34DC-4169-BEEA-402249C848A0}"/>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92314F94-E51B-4666-BC7F-528781E3B91C}"/>
    <cellStyle name="Normal 12 3 3 2 3" xfId="11460" xr:uid="{73347E88-314C-4B1C-9C10-6CE860FA65A8}"/>
    <cellStyle name="Normal 12 3 3 3" xfId="5083" xr:uid="{00000000-0005-0000-0000-0000350E0000}"/>
    <cellStyle name="Normal 12 3 3 3 2" xfId="13533" xr:uid="{C92A682B-41DB-4085-AE2E-ADAD11F37AD6}"/>
    <cellStyle name="Normal 12 3 3 4" xfId="9315" xr:uid="{AC481A06-909B-49B8-BB7D-910FC736B024}"/>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3C864B1B-E19E-42FC-BE2F-09ED7B7B10FC}"/>
    <cellStyle name="Normal 12 3 4 2 3" xfId="11873" xr:uid="{CC6ADBE8-3128-45C7-AAF5-B4B5A88166FD}"/>
    <cellStyle name="Normal 12 3 4 3" xfId="5496" xr:uid="{00000000-0005-0000-0000-0000390E0000}"/>
    <cellStyle name="Normal 12 3 4 3 2" xfId="13946" xr:uid="{087E8E9C-A01B-4444-AB77-DD4A95288E7B}"/>
    <cellStyle name="Normal 12 3 4 4" xfId="9728" xr:uid="{4A1E69C1-FFD0-4658-907D-DE42D4683EC6}"/>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09AEA15D-2207-4941-B60C-921340BA59BB}"/>
    <cellStyle name="Normal 12 3 5 2 3" xfId="12286" xr:uid="{C80B3CE7-882E-4677-817A-4541DE8C8C95}"/>
    <cellStyle name="Normal 12 3 5 3" xfId="5909" xr:uid="{00000000-0005-0000-0000-00003D0E0000}"/>
    <cellStyle name="Normal 12 3 5 3 2" xfId="14359" xr:uid="{7E97890E-2ECC-4C65-A8D2-D501066956FA}"/>
    <cellStyle name="Normal 12 3 5 4" xfId="10141" xr:uid="{48FFD3EC-8490-4A67-B8DB-9960523E0835}"/>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0CE68B57-3D4B-4C01-A74D-27FF7B3290F6}"/>
    <cellStyle name="Normal 12 3 6 2 3" xfId="12699" xr:uid="{5B94B321-6F04-4C87-A0CD-5F18943047FE}"/>
    <cellStyle name="Normal 12 3 6 3" xfId="6322" xr:uid="{00000000-0005-0000-0000-0000410E0000}"/>
    <cellStyle name="Normal 12 3 6 3 2" xfId="14772" xr:uid="{BE2E03E9-6DEF-4F54-B706-0394297D70E3}"/>
    <cellStyle name="Normal 12 3 6 4" xfId="10554" xr:uid="{31EF99E3-FBB4-4CF6-B78D-BE3EC21A9279}"/>
    <cellStyle name="Normal 12 3 7" xfId="2452" xr:uid="{00000000-0005-0000-0000-0000420E0000}"/>
    <cellStyle name="Normal 12 3 7 2" xfId="6735" xr:uid="{00000000-0005-0000-0000-0000430E0000}"/>
    <cellStyle name="Normal 12 3 7 2 2" xfId="15185" xr:uid="{42C33BCC-2164-49F3-A4C1-62E7B4266AE1}"/>
    <cellStyle name="Normal 12 3 7 3" xfId="10967" xr:uid="{94E7B272-392D-487F-9BF9-42C00C4D2F1E}"/>
    <cellStyle name="Normal 12 3 8" xfId="4669" xr:uid="{00000000-0005-0000-0000-0000440E0000}"/>
    <cellStyle name="Normal 12 3 8 2" xfId="13119" xr:uid="{03A0128F-C079-402A-B9B1-EC9A81AA4EBC}"/>
    <cellStyle name="Normal 12 3 9" xfId="8901" xr:uid="{F5051F6A-61E5-4344-83C6-8AAE49CE7E99}"/>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D4161DE2-5FD3-4203-A727-0955D6AE4E40}"/>
    <cellStyle name="Normal 12 4 2 2 3" xfId="11462" xr:uid="{65712DD2-2444-4CBA-BC52-769BDF289959}"/>
    <cellStyle name="Normal 12 4 2 3" xfId="5085" xr:uid="{00000000-0005-0000-0000-0000490E0000}"/>
    <cellStyle name="Normal 12 4 2 3 2" xfId="13535" xr:uid="{B9257397-3EA6-4CBC-9AAD-6EE79F5AF03E}"/>
    <cellStyle name="Normal 12 4 2 4" xfId="9317" xr:uid="{C279C974-3917-4B75-BBEE-7F245D396E60}"/>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45046EF0-FB38-4A2D-8791-5CEFCE17B279}"/>
    <cellStyle name="Normal 12 4 3 2 3" xfId="11875" xr:uid="{CB6C3B40-B4C3-482A-8CE7-B12FF70C46FC}"/>
    <cellStyle name="Normal 12 4 3 3" xfId="5498" xr:uid="{00000000-0005-0000-0000-00004D0E0000}"/>
    <cellStyle name="Normal 12 4 3 3 2" xfId="13948" xr:uid="{CA184EA3-E12C-4533-B7F5-B8378AB0BF0B}"/>
    <cellStyle name="Normal 12 4 3 4" xfId="9730" xr:uid="{E5880CC3-1AB0-4783-8464-45F80BF86F3C}"/>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674FE6FB-4CCD-42C6-97EA-BB2D825F07D1}"/>
    <cellStyle name="Normal 12 4 4 2 3" xfId="12288" xr:uid="{278ED22E-C1DB-4605-A7D8-223A9C50B872}"/>
    <cellStyle name="Normal 12 4 4 3" xfId="5911" xr:uid="{00000000-0005-0000-0000-0000510E0000}"/>
    <cellStyle name="Normal 12 4 4 3 2" xfId="14361" xr:uid="{D525F253-2AD2-4FED-9F00-9CEA77AA78CE}"/>
    <cellStyle name="Normal 12 4 4 4" xfId="10143" xr:uid="{8C821082-DB28-4391-8069-E54942451F67}"/>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8F66EDEE-894C-4702-B8FF-9C659FA574BD}"/>
    <cellStyle name="Normal 12 4 5 2 3" xfId="12701" xr:uid="{DEA8FC99-E54B-4DBC-92F6-0E7B1FFE3AF5}"/>
    <cellStyle name="Normal 12 4 5 3" xfId="6324" xr:uid="{00000000-0005-0000-0000-0000550E0000}"/>
    <cellStyle name="Normal 12 4 5 3 2" xfId="14774" xr:uid="{ED2EE81A-137B-49D3-A30F-861D9F8C6F86}"/>
    <cellStyle name="Normal 12 4 5 4" xfId="10556" xr:uid="{53985534-FFE5-4048-ACEF-24FF32447DE4}"/>
    <cellStyle name="Normal 12 4 6" xfId="2454" xr:uid="{00000000-0005-0000-0000-0000560E0000}"/>
    <cellStyle name="Normal 12 4 6 2" xfId="6737" xr:uid="{00000000-0005-0000-0000-0000570E0000}"/>
    <cellStyle name="Normal 12 4 6 2 2" xfId="15187" xr:uid="{A643AFBA-992A-4E31-8DF3-C02221986947}"/>
    <cellStyle name="Normal 12 4 6 3" xfId="10969" xr:uid="{373A8418-4B9B-4273-8E55-3D53D2B41C30}"/>
    <cellStyle name="Normal 12 4 7" xfId="4671" xr:uid="{00000000-0005-0000-0000-0000580E0000}"/>
    <cellStyle name="Normal 12 4 7 2" xfId="13121" xr:uid="{C125802F-3AF2-43F1-9C7F-FF087552ECA9}"/>
    <cellStyle name="Normal 12 4 8" xfId="8903" xr:uid="{43EF5A59-7F90-4486-A60F-0311CFBDC365}"/>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4108DD99-C57D-4914-BBEC-EFAF6F951CEE}"/>
    <cellStyle name="Normal 12 6 2 3" xfId="11455" xr:uid="{154B488B-8477-4343-AD6C-CC578A19F775}"/>
    <cellStyle name="Normal 12 6 3" xfId="5078" xr:uid="{00000000-0005-0000-0000-00005D0E0000}"/>
    <cellStyle name="Normal 12 6 3 2" xfId="13528" xr:uid="{823CA263-DBE3-4FF3-80E8-5BEFAD17A1E0}"/>
    <cellStyle name="Normal 12 6 4" xfId="9310" xr:uid="{85A21F7A-7AE0-42EA-9C4C-0A3E034EAF08}"/>
    <cellStyle name="Normal 12 7" xfId="1183" xr:uid="{00000000-0005-0000-0000-00005E0E0000}"/>
    <cellStyle name="Normal 12 7 2" xfId="3414" xr:uid="{00000000-0005-0000-0000-00005F0E0000}"/>
    <cellStyle name="Normal 12 7 2 2" xfId="7636" xr:uid="{00000000-0005-0000-0000-0000600E0000}"/>
    <cellStyle name="Normal 12 7 2 2 2" xfId="16086" xr:uid="{581D9AAB-6208-48E5-B392-31D687276978}"/>
    <cellStyle name="Normal 12 7 2 3" xfId="11868" xr:uid="{BBC8FA5F-BB4D-4DB0-8011-CEA0F9C8D47E}"/>
    <cellStyle name="Normal 12 7 3" xfId="5491" xr:uid="{00000000-0005-0000-0000-0000610E0000}"/>
    <cellStyle name="Normal 12 7 3 2" xfId="13941" xr:uid="{BED9AB75-F213-4D2B-BAED-E9C30BC2DFF3}"/>
    <cellStyle name="Normal 12 7 4" xfId="9723" xr:uid="{EB6183EA-C7B6-4FB6-BC42-FD8B3D95D692}"/>
    <cellStyle name="Normal 12 8" xfId="1597" xr:uid="{00000000-0005-0000-0000-0000620E0000}"/>
    <cellStyle name="Normal 12 8 2" xfId="3827" xr:uid="{00000000-0005-0000-0000-0000630E0000}"/>
    <cellStyle name="Normal 12 8 2 2" xfId="8049" xr:uid="{00000000-0005-0000-0000-0000640E0000}"/>
    <cellStyle name="Normal 12 8 2 2 2" xfId="16499" xr:uid="{EC2C065B-4523-40E6-98BD-14B043BF74AB}"/>
    <cellStyle name="Normal 12 8 2 3" xfId="12281" xr:uid="{0D079A69-F117-4BA9-A32D-3022D9664203}"/>
    <cellStyle name="Normal 12 8 3" xfId="5904" xr:uid="{00000000-0005-0000-0000-0000650E0000}"/>
    <cellStyle name="Normal 12 8 3 2" xfId="14354" xr:uid="{47B68828-CBC0-44CF-9961-BDBAD790EA15}"/>
    <cellStyle name="Normal 12 8 4" xfId="10136" xr:uid="{C6460CCB-1B0D-47C4-926F-FAA61F0C6F1B}"/>
    <cellStyle name="Normal 12 9" xfId="2011" xr:uid="{00000000-0005-0000-0000-0000660E0000}"/>
    <cellStyle name="Normal 12 9 2" xfId="4240" xr:uid="{00000000-0005-0000-0000-0000670E0000}"/>
    <cellStyle name="Normal 12 9 2 2" xfId="8462" xr:uid="{00000000-0005-0000-0000-0000680E0000}"/>
    <cellStyle name="Normal 12 9 2 2 2" xfId="16912" xr:uid="{7146EA67-EBC1-4F52-BDC7-2DAAC0384677}"/>
    <cellStyle name="Normal 12 9 2 3" xfId="12694" xr:uid="{0E204133-B012-4EA5-B60D-6C39DDDA559E}"/>
    <cellStyle name="Normal 12 9 3" xfId="6317" xr:uid="{00000000-0005-0000-0000-0000690E0000}"/>
    <cellStyle name="Normal 12 9 3 2" xfId="14767" xr:uid="{3734F322-F87E-497D-B920-C91F4F9B3BFA}"/>
    <cellStyle name="Normal 12 9 4" xfId="10549" xr:uid="{29585539-B77B-4594-9C6C-3E47A2778178}"/>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3BC65816-BAC1-4323-82B4-0FC62D3983AD}"/>
    <cellStyle name="Normal 14 2 2 3" xfId="11463" xr:uid="{D5CCB890-5734-4F59-A194-ABE838346A4F}"/>
    <cellStyle name="Normal 14 2 3" xfId="5086" xr:uid="{00000000-0005-0000-0000-0000700E0000}"/>
    <cellStyle name="Normal 14 2 3 2" xfId="13536" xr:uid="{B6DA67E8-5A00-4F6D-8DF8-29244349FE95}"/>
    <cellStyle name="Normal 14 2 4" xfId="9318" xr:uid="{A4E23857-0401-4E08-AC48-CC3348C0BF1C}"/>
    <cellStyle name="Normal 14 3" xfId="1191" xr:uid="{00000000-0005-0000-0000-0000710E0000}"/>
    <cellStyle name="Normal 14 3 2" xfId="3422" xr:uid="{00000000-0005-0000-0000-0000720E0000}"/>
    <cellStyle name="Normal 14 3 2 2" xfId="7644" xr:uid="{00000000-0005-0000-0000-0000730E0000}"/>
    <cellStyle name="Normal 14 3 2 2 2" xfId="16094" xr:uid="{5BCFE5B8-D0A2-4BBE-A7B2-C0918975AAA3}"/>
    <cellStyle name="Normal 14 3 2 3" xfId="11876" xr:uid="{436BF22E-FB01-4230-83AE-74C35F515897}"/>
    <cellStyle name="Normal 14 3 3" xfId="5499" xr:uid="{00000000-0005-0000-0000-0000740E0000}"/>
    <cellStyle name="Normal 14 3 3 2" xfId="13949" xr:uid="{6FC29CDB-61CF-45CB-8369-8D25E2352377}"/>
    <cellStyle name="Normal 14 3 4" xfId="9731" xr:uid="{07B90F9C-3C37-47F7-86ED-6F2DE6BDD119}"/>
    <cellStyle name="Normal 14 4" xfId="1605" xr:uid="{00000000-0005-0000-0000-0000750E0000}"/>
    <cellStyle name="Normal 14 4 2" xfId="3835" xr:uid="{00000000-0005-0000-0000-0000760E0000}"/>
    <cellStyle name="Normal 14 4 2 2" xfId="8057" xr:uid="{00000000-0005-0000-0000-0000770E0000}"/>
    <cellStyle name="Normal 14 4 2 2 2" xfId="16507" xr:uid="{29AA920D-A2CF-489A-BC47-3A2CC9387EF3}"/>
    <cellStyle name="Normal 14 4 2 3" xfId="12289" xr:uid="{E456D01C-605A-45A9-99E4-CB2650195406}"/>
    <cellStyle name="Normal 14 4 3" xfId="5912" xr:uid="{00000000-0005-0000-0000-0000780E0000}"/>
    <cellStyle name="Normal 14 4 3 2" xfId="14362" xr:uid="{C8101DE7-CB1F-4A73-BFD0-6CCE3ADC57AC}"/>
    <cellStyle name="Normal 14 4 4" xfId="10144" xr:uid="{A1FBAC00-21BE-4435-BD7A-176731D37AC5}"/>
    <cellStyle name="Normal 14 5" xfId="2019" xr:uid="{00000000-0005-0000-0000-0000790E0000}"/>
    <cellStyle name="Normal 14 5 2" xfId="4248" xr:uid="{00000000-0005-0000-0000-00007A0E0000}"/>
    <cellStyle name="Normal 14 5 2 2" xfId="8470" xr:uid="{00000000-0005-0000-0000-00007B0E0000}"/>
    <cellStyle name="Normal 14 5 2 2 2" xfId="16920" xr:uid="{5D7815EC-8BD6-4D36-8396-DB81468A961A}"/>
    <cellStyle name="Normal 14 5 2 3" xfId="12702" xr:uid="{D33191A9-BAF3-4A44-997A-414DF736E153}"/>
    <cellStyle name="Normal 14 5 3" xfId="6325" xr:uid="{00000000-0005-0000-0000-00007C0E0000}"/>
    <cellStyle name="Normal 14 5 3 2" xfId="14775" xr:uid="{F30BB953-C8C5-446B-ACC5-3F9B8CF9F62D}"/>
    <cellStyle name="Normal 14 5 4" xfId="10557" xr:uid="{5A6E86CF-630B-427C-A6F6-15D17BB531AB}"/>
    <cellStyle name="Normal 14 6" xfId="2455" xr:uid="{00000000-0005-0000-0000-00007D0E0000}"/>
    <cellStyle name="Normal 14 6 2" xfId="6738" xr:uid="{00000000-0005-0000-0000-00007E0E0000}"/>
    <cellStyle name="Normal 14 6 2 2" xfId="15188" xr:uid="{970D09CF-EDB1-43F7-AAA1-A65ABC6546AE}"/>
    <cellStyle name="Normal 14 6 3" xfId="10970" xr:uid="{2C09358A-133B-4BCC-B5C8-06CB57BAA889}"/>
    <cellStyle name="Normal 14 7" xfId="4672" xr:uid="{00000000-0005-0000-0000-00007F0E0000}"/>
    <cellStyle name="Normal 14 7 2" xfId="13122" xr:uid="{A187B0DB-AD35-4510-8187-F718F60F02E7}"/>
    <cellStyle name="Normal 14 8" xfId="8904" xr:uid="{7AE02604-69BC-4C91-B539-F459C644D5ED}"/>
    <cellStyle name="Normal 15" xfId="4496" xr:uid="{00000000-0005-0000-0000-0000800E0000}"/>
    <cellStyle name="Normal 15 2" xfId="12948" xr:uid="{66A79E52-A5D8-48B4-890C-44AE56771941}"/>
    <cellStyle name="Normal 16" xfId="4500" xr:uid="{00000000-0005-0000-0000-0000810E0000}"/>
    <cellStyle name="Normal 16 2" xfId="8715" xr:uid="{00000000-0005-0000-0000-0000820E0000}"/>
    <cellStyle name="Normal 16 2 2" xfId="17165" xr:uid="{5F613D30-C975-4643-B78C-32FB764FD2C1}"/>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5FC64B64-0F59-4D40-A226-CEDB1C6C81A7}"/>
    <cellStyle name="Normal 16 3 2 3" xfId="17171" xr:uid="{7C2BBF76-7842-4BF5-A1EB-F384EA2C17FA}"/>
    <cellStyle name="Normal 16 3 3" xfId="17168" xr:uid="{B4C3C83F-4336-46FC-892F-78396553D46C}"/>
    <cellStyle name="Normal 16 4" xfId="12951" xr:uid="{C528B7F6-5FCC-4413-ADA5-FEB549D4C312}"/>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061E2F04-2CF9-46E0-8761-1B9BD981D4AF}"/>
    <cellStyle name="Normal 2 4 2 10 2 3" xfId="12703" xr:uid="{48605593-F9CD-4AB3-9749-3AD4955E6C16}"/>
    <cellStyle name="Normal 2 4 2 10 3" xfId="6326" xr:uid="{00000000-0005-0000-0000-0000910E0000}"/>
    <cellStyle name="Normal 2 4 2 10 3 2" xfId="14776" xr:uid="{7CBD062A-0F32-4726-B4F3-5487FD9CE3B2}"/>
    <cellStyle name="Normal 2 4 2 10 4" xfId="10558" xr:uid="{3A080780-7AC9-47A4-BF1B-C33F22CAFB88}"/>
    <cellStyle name="Normal 2 4 2 11" xfId="2456" xr:uid="{00000000-0005-0000-0000-0000920E0000}"/>
    <cellStyle name="Normal 2 4 2 11 2" xfId="6739" xr:uid="{00000000-0005-0000-0000-0000930E0000}"/>
    <cellStyle name="Normal 2 4 2 11 2 2" xfId="15189" xr:uid="{882A763E-39DE-4831-BE4B-02495C832BA2}"/>
    <cellStyle name="Normal 2 4 2 11 3" xfId="10971" xr:uid="{BC4B4538-4FE5-4F0D-90A1-1D7FA9462114}"/>
    <cellStyle name="Normal 2 4 2 12" xfId="4673" xr:uid="{00000000-0005-0000-0000-0000940E0000}"/>
    <cellStyle name="Normal 2 4 2 12 2" xfId="13123" xr:uid="{64D5A4F6-C492-4838-A438-D0A1A75E1CF0}"/>
    <cellStyle name="Normal 2 4 2 13" xfId="8905" xr:uid="{80F7A20B-0647-4E46-BBCE-CDA9ACF6F5CF}"/>
    <cellStyle name="Normal 2 4 2 2" xfId="280" xr:uid="{00000000-0005-0000-0000-0000950E0000}"/>
    <cellStyle name="Normal 2 4 2 3" xfId="281" xr:uid="{00000000-0005-0000-0000-0000960E0000}"/>
    <cellStyle name="Normal 2 4 2 3 10" xfId="4674" xr:uid="{00000000-0005-0000-0000-0000970E0000}"/>
    <cellStyle name="Normal 2 4 2 3 10 2" xfId="13124" xr:uid="{709A59B3-B390-413D-B1AA-4714D09D5868}"/>
    <cellStyle name="Normal 2 4 2 3 11" xfId="8906" xr:uid="{8BB0680C-E4BD-43BA-AE26-393CDCBC2A75}"/>
    <cellStyle name="Normal 2 4 2 3 2" xfId="282" xr:uid="{00000000-0005-0000-0000-0000980E0000}"/>
    <cellStyle name="Normal 2 4 2 3 2 10" xfId="8907" xr:uid="{70546DA4-ABB9-4CDE-BFDA-B39C26A5DA55}"/>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8B1AC201-2483-4B6F-A107-6157AF42F7FB}"/>
    <cellStyle name="Normal 2 4 2 3 2 2 2 2 2 3" xfId="11468" xr:uid="{475A974A-A7BF-4A5B-A7A5-7CF70512EAE5}"/>
    <cellStyle name="Normal 2 4 2 3 2 2 2 2 3" xfId="5091" xr:uid="{00000000-0005-0000-0000-00009E0E0000}"/>
    <cellStyle name="Normal 2 4 2 3 2 2 2 2 3 2" xfId="13541" xr:uid="{AC00621E-83AA-40F3-AA2E-9D9C10315D3F}"/>
    <cellStyle name="Normal 2 4 2 3 2 2 2 2 4" xfId="9323" xr:uid="{ACECCFF3-3AF4-42FA-96F6-A1ED6D211A22}"/>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60AAC65A-343D-4FC3-AB04-7175ABBF7FAB}"/>
    <cellStyle name="Normal 2 4 2 3 2 2 2 3 2 3" xfId="11881" xr:uid="{EE67156A-BE8F-4911-A698-547F9308D310}"/>
    <cellStyle name="Normal 2 4 2 3 2 2 2 3 3" xfId="5504" xr:uid="{00000000-0005-0000-0000-0000A20E0000}"/>
    <cellStyle name="Normal 2 4 2 3 2 2 2 3 3 2" xfId="13954" xr:uid="{06E68482-CC77-4807-BD92-3EF9DE805CDF}"/>
    <cellStyle name="Normal 2 4 2 3 2 2 2 3 4" xfId="9736" xr:uid="{C9818E38-8608-4D21-AA2E-5A81B519CF8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E88BEAF5-B96D-41CF-8EDE-A25DADB763F4}"/>
    <cellStyle name="Normal 2 4 2 3 2 2 2 4 2 3" xfId="12294" xr:uid="{0976FFF3-94D5-4B6A-B0D2-24FE791D8929}"/>
    <cellStyle name="Normal 2 4 2 3 2 2 2 4 3" xfId="5917" xr:uid="{00000000-0005-0000-0000-0000A60E0000}"/>
    <cellStyle name="Normal 2 4 2 3 2 2 2 4 3 2" xfId="14367" xr:uid="{F442ADC0-9A3C-45AE-9734-C70A59070169}"/>
    <cellStyle name="Normal 2 4 2 3 2 2 2 4 4" xfId="10149" xr:uid="{905AF3AF-2FA5-49CE-B8E2-5E14FEF97AFF}"/>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8A29158D-53C4-4A86-BB6B-3BACF60B4C08}"/>
    <cellStyle name="Normal 2 4 2 3 2 2 2 5 2 3" xfId="12707" xr:uid="{283A8D93-4055-425D-BA8D-238F2D36D81E}"/>
    <cellStyle name="Normal 2 4 2 3 2 2 2 5 3" xfId="6330" xr:uid="{00000000-0005-0000-0000-0000AA0E0000}"/>
    <cellStyle name="Normal 2 4 2 3 2 2 2 5 3 2" xfId="14780" xr:uid="{25D4057C-9321-4150-82BC-0B0B27DA830B}"/>
    <cellStyle name="Normal 2 4 2 3 2 2 2 5 4" xfId="10562" xr:uid="{BE40EC31-701A-4D9A-8C94-5A05F7F265B6}"/>
    <cellStyle name="Normal 2 4 2 3 2 2 2 6" xfId="2460" xr:uid="{00000000-0005-0000-0000-0000AB0E0000}"/>
    <cellStyle name="Normal 2 4 2 3 2 2 2 6 2" xfId="6743" xr:uid="{00000000-0005-0000-0000-0000AC0E0000}"/>
    <cellStyle name="Normal 2 4 2 3 2 2 2 6 2 2" xfId="15193" xr:uid="{E284631B-52A7-4658-8FE3-316AA520D4BC}"/>
    <cellStyle name="Normal 2 4 2 3 2 2 2 6 3" xfId="10975" xr:uid="{4EDE3297-A644-4A45-89DE-AAC5A5B88472}"/>
    <cellStyle name="Normal 2 4 2 3 2 2 2 7" xfId="4677" xr:uid="{00000000-0005-0000-0000-0000AD0E0000}"/>
    <cellStyle name="Normal 2 4 2 3 2 2 2 7 2" xfId="13127" xr:uid="{E6B03FD8-6D68-484F-B8CB-4C117F7C313C}"/>
    <cellStyle name="Normal 2 4 2 3 2 2 2 8" xfId="8909" xr:uid="{144EB44B-33FB-416A-8391-35C6B7EF85FA}"/>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109EC097-5AED-4DBC-BC24-E2460B8C3FA8}"/>
    <cellStyle name="Normal 2 4 2 3 2 2 3 2 3" xfId="11467" xr:uid="{C32B78F1-93AC-49A8-B414-330B634B85E6}"/>
    <cellStyle name="Normal 2 4 2 3 2 2 3 3" xfId="5090" xr:uid="{00000000-0005-0000-0000-0000B10E0000}"/>
    <cellStyle name="Normal 2 4 2 3 2 2 3 3 2" xfId="13540" xr:uid="{FDB4793E-C433-4F66-87DC-867CDF638438}"/>
    <cellStyle name="Normal 2 4 2 3 2 2 3 4" xfId="9322" xr:uid="{141E047C-A19D-4DD9-A042-BC79649CFB63}"/>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DC5C1D07-E8ED-40C0-A2E9-ED96E2B6824B}"/>
    <cellStyle name="Normal 2 4 2 3 2 2 4 2 3" xfId="11880" xr:uid="{3298FBA7-E461-4D39-A7D4-E45CC91300A6}"/>
    <cellStyle name="Normal 2 4 2 3 2 2 4 3" xfId="5503" xr:uid="{00000000-0005-0000-0000-0000B50E0000}"/>
    <cellStyle name="Normal 2 4 2 3 2 2 4 3 2" xfId="13953" xr:uid="{B82B3F41-64BB-42F2-BFEC-E078016E7156}"/>
    <cellStyle name="Normal 2 4 2 3 2 2 4 4" xfId="9735" xr:uid="{0C9095AB-0518-449D-9577-F8C3F14CF71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34608442-0932-47BC-9D5E-68DC4D76EDA1}"/>
    <cellStyle name="Normal 2 4 2 3 2 2 5 2 3" xfId="12293" xr:uid="{CD0B8212-4C66-49EB-9AAF-1E6F0FF67EF7}"/>
    <cellStyle name="Normal 2 4 2 3 2 2 5 3" xfId="5916" xr:uid="{00000000-0005-0000-0000-0000B90E0000}"/>
    <cellStyle name="Normal 2 4 2 3 2 2 5 3 2" xfId="14366" xr:uid="{1DF1F350-11CD-4889-90F3-24BBB1938D18}"/>
    <cellStyle name="Normal 2 4 2 3 2 2 5 4" xfId="10148" xr:uid="{5245E2E1-A9E0-42B8-8155-55D579F514E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ECC1CF47-4475-420E-AB44-276A6ADB4A3A}"/>
    <cellStyle name="Normal 2 4 2 3 2 2 6 2 3" xfId="12706" xr:uid="{05AC972D-06B8-4D57-833A-2D5DEBB6FBB1}"/>
    <cellStyle name="Normal 2 4 2 3 2 2 6 3" xfId="6329" xr:uid="{00000000-0005-0000-0000-0000BD0E0000}"/>
    <cellStyle name="Normal 2 4 2 3 2 2 6 3 2" xfId="14779" xr:uid="{BD47E82E-F605-4373-88C3-EBB0A9B0D846}"/>
    <cellStyle name="Normal 2 4 2 3 2 2 6 4" xfId="10561" xr:uid="{3C288E08-C73E-4D56-B029-D95D8EBA66C0}"/>
    <cellStyle name="Normal 2 4 2 3 2 2 7" xfId="2459" xr:uid="{00000000-0005-0000-0000-0000BE0E0000}"/>
    <cellStyle name="Normal 2 4 2 3 2 2 7 2" xfId="6742" xr:uid="{00000000-0005-0000-0000-0000BF0E0000}"/>
    <cellStyle name="Normal 2 4 2 3 2 2 7 2 2" xfId="15192" xr:uid="{D606048B-C1DF-4A8E-BBD6-0175C8C311B8}"/>
    <cellStyle name="Normal 2 4 2 3 2 2 7 3" xfId="10974" xr:uid="{601D66F0-B6AC-4A8C-9F84-76AA8A968D5C}"/>
    <cellStyle name="Normal 2 4 2 3 2 2 8" xfId="4676" xr:uid="{00000000-0005-0000-0000-0000C00E0000}"/>
    <cellStyle name="Normal 2 4 2 3 2 2 8 2" xfId="13126" xr:uid="{F504159F-6978-493B-BEFF-18556543BD46}"/>
    <cellStyle name="Normal 2 4 2 3 2 2 9" xfId="8908" xr:uid="{5AA85E9F-7B81-4497-BA36-C95E254CDA2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C8B2E3CD-20AC-461B-BDEA-6015764B0BFA}"/>
    <cellStyle name="Normal 2 4 2 3 2 3 2 2 3" xfId="11469" xr:uid="{928C452E-6961-4DB2-BA17-6B69CCF9BBF7}"/>
    <cellStyle name="Normal 2 4 2 3 2 3 2 3" xfId="5092" xr:uid="{00000000-0005-0000-0000-0000C50E0000}"/>
    <cellStyle name="Normal 2 4 2 3 2 3 2 3 2" xfId="13542" xr:uid="{AE2051A9-8DEE-4092-A108-C661DDD41627}"/>
    <cellStyle name="Normal 2 4 2 3 2 3 2 4" xfId="9324" xr:uid="{0DC5EF53-5F26-40EC-A2D1-1B6151634B1A}"/>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09C40D45-984F-4EDF-B376-2BA8814D8BB1}"/>
    <cellStyle name="Normal 2 4 2 3 2 3 3 2 3" xfId="11882" xr:uid="{A706B92C-7C5B-42DF-8487-7AEBE4ED59F8}"/>
    <cellStyle name="Normal 2 4 2 3 2 3 3 3" xfId="5505" xr:uid="{00000000-0005-0000-0000-0000C90E0000}"/>
    <cellStyle name="Normal 2 4 2 3 2 3 3 3 2" xfId="13955" xr:uid="{AC9E9AFA-BEB3-45FD-A296-63C952FB2F96}"/>
    <cellStyle name="Normal 2 4 2 3 2 3 3 4" xfId="9737" xr:uid="{CEBCEE22-D930-4F63-82F7-8AF3835BEF5C}"/>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E4636275-D559-43E7-849F-E88EE8F55731}"/>
    <cellStyle name="Normal 2 4 2 3 2 3 4 2 3" xfId="12295" xr:uid="{00479743-5440-46EE-A07C-FC9B844FE9EB}"/>
    <cellStyle name="Normal 2 4 2 3 2 3 4 3" xfId="5918" xr:uid="{00000000-0005-0000-0000-0000CD0E0000}"/>
    <cellStyle name="Normal 2 4 2 3 2 3 4 3 2" xfId="14368" xr:uid="{E1B04515-98B3-4FE1-977F-D6B4660626B9}"/>
    <cellStyle name="Normal 2 4 2 3 2 3 4 4" xfId="10150" xr:uid="{F404C44E-AD41-48EE-8F0B-02DE6178887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DD561A9C-576B-4127-8829-8E851DA61511}"/>
    <cellStyle name="Normal 2 4 2 3 2 3 5 2 3" xfId="12708" xr:uid="{F8F02C13-EB11-4109-B2E0-2904B57C2FE7}"/>
    <cellStyle name="Normal 2 4 2 3 2 3 5 3" xfId="6331" xr:uid="{00000000-0005-0000-0000-0000D10E0000}"/>
    <cellStyle name="Normal 2 4 2 3 2 3 5 3 2" xfId="14781" xr:uid="{7DE1F785-EAAA-4C55-98F4-4ADD34361E39}"/>
    <cellStyle name="Normal 2 4 2 3 2 3 5 4" xfId="10563" xr:uid="{8E08C8BB-6F45-4E1D-9DA7-F4DCE4DBF026}"/>
    <cellStyle name="Normal 2 4 2 3 2 3 6" xfId="2461" xr:uid="{00000000-0005-0000-0000-0000D20E0000}"/>
    <cellStyle name="Normal 2 4 2 3 2 3 6 2" xfId="6744" xr:uid="{00000000-0005-0000-0000-0000D30E0000}"/>
    <cellStyle name="Normal 2 4 2 3 2 3 6 2 2" xfId="15194" xr:uid="{A72D6A0C-2F34-4E86-AE0C-CB9534BF0D21}"/>
    <cellStyle name="Normal 2 4 2 3 2 3 6 3" xfId="10976" xr:uid="{5BEF839D-6F56-476A-81F2-852B48D6186C}"/>
    <cellStyle name="Normal 2 4 2 3 2 3 7" xfId="4678" xr:uid="{00000000-0005-0000-0000-0000D40E0000}"/>
    <cellStyle name="Normal 2 4 2 3 2 3 7 2" xfId="13128" xr:uid="{681EBDC9-31C2-4BFB-90EE-EA063B9FD8F0}"/>
    <cellStyle name="Normal 2 4 2 3 2 3 8" xfId="8910" xr:uid="{C4E85D44-B5D7-4854-BCC4-1665337EBF04}"/>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233BAF70-F161-4059-980F-8910E723B898}"/>
    <cellStyle name="Normal 2 4 2 3 2 4 2 3" xfId="11466" xr:uid="{0825C350-313F-4B80-93B1-4D771CDBFFFB}"/>
    <cellStyle name="Normal 2 4 2 3 2 4 3" xfId="5089" xr:uid="{00000000-0005-0000-0000-0000D80E0000}"/>
    <cellStyle name="Normal 2 4 2 3 2 4 3 2" xfId="13539" xr:uid="{2046F388-82B6-4746-89D2-92EFEC4BA7F7}"/>
    <cellStyle name="Normal 2 4 2 3 2 4 4" xfId="9321" xr:uid="{8F70833D-4DC1-4EEE-B2A1-2EB64B08EC03}"/>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74C5591F-EF57-4E0C-82C6-854937B5316E}"/>
    <cellStyle name="Normal 2 4 2 3 2 5 2 3" xfId="11879" xr:uid="{B6C5E15F-1F5D-4497-A109-F54E35620E31}"/>
    <cellStyle name="Normal 2 4 2 3 2 5 3" xfId="5502" xr:uid="{00000000-0005-0000-0000-0000DC0E0000}"/>
    <cellStyle name="Normal 2 4 2 3 2 5 3 2" xfId="13952" xr:uid="{132AA039-92EA-4CB1-90D3-7EE0B0913A0F}"/>
    <cellStyle name="Normal 2 4 2 3 2 5 4" xfId="9734" xr:uid="{59A0E885-A519-4ACA-953B-17811E1915A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4E41A95E-AFDA-47C6-B8FA-B910ED82DC4C}"/>
    <cellStyle name="Normal 2 4 2 3 2 6 2 3" xfId="12292" xr:uid="{76E63928-26A9-4FD4-8E97-E6B2054A5D59}"/>
    <cellStyle name="Normal 2 4 2 3 2 6 3" xfId="5915" xr:uid="{00000000-0005-0000-0000-0000E00E0000}"/>
    <cellStyle name="Normal 2 4 2 3 2 6 3 2" xfId="14365" xr:uid="{AC2B9000-2C13-4C00-BA7C-9820B6E92702}"/>
    <cellStyle name="Normal 2 4 2 3 2 6 4" xfId="10147" xr:uid="{B2A89319-0206-4E09-9AD5-4717DAC01C04}"/>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2F50E70B-3998-45F5-B8E5-B019C720C3B1}"/>
    <cellStyle name="Normal 2 4 2 3 2 7 2 3" xfId="12705" xr:uid="{229B9BD3-CB2B-432A-9AAB-037FBF761DBE}"/>
    <cellStyle name="Normal 2 4 2 3 2 7 3" xfId="6328" xr:uid="{00000000-0005-0000-0000-0000E40E0000}"/>
    <cellStyle name="Normal 2 4 2 3 2 7 3 2" xfId="14778" xr:uid="{B27327FE-34B0-424A-8C95-8BA17651C8F2}"/>
    <cellStyle name="Normal 2 4 2 3 2 7 4" xfId="10560" xr:uid="{9CFCB7AF-1AA4-4758-B62C-638396A47E09}"/>
    <cellStyle name="Normal 2 4 2 3 2 8" xfId="2458" xr:uid="{00000000-0005-0000-0000-0000E50E0000}"/>
    <cellStyle name="Normal 2 4 2 3 2 8 2" xfId="6741" xr:uid="{00000000-0005-0000-0000-0000E60E0000}"/>
    <cellStyle name="Normal 2 4 2 3 2 8 2 2" xfId="15191" xr:uid="{8F7341C8-1C57-4586-A204-7FE6DA0A549A}"/>
    <cellStyle name="Normal 2 4 2 3 2 8 3" xfId="10973" xr:uid="{C42725BE-9C49-4EE5-A9FC-8B27554E1234}"/>
    <cellStyle name="Normal 2 4 2 3 2 9" xfId="4675" xr:uid="{00000000-0005-0000-0000-0000E70E0000}"/>
    <cellStyle name="Normal 2 4 2 3 2 9 2" xfId="13125" xr:uid="{C0E7D9F4-292B-4D64-B8E9-005D925DAADF}"/>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A34EF0F5-3454-45D8-A650-6BE7301EC72F}"/>
    <cellStyle name="Normal 2 4 2 3 3 2 2 2 3" xfId="11471" xr:uid="{F2061651-060F-4C09-A00F-3AB9DECCB77D}"/>
    <cellStyle name="Normal 2 4 2 3 3 2 2 3" xfId="5094" xr:uid="{00000000-0005-0000-0000-0000ED0E0000}"/>
    <cellStyle name="Normal 2 4 2 3 3 2 2 3 2" xfId="13544" xr:uid="{8C5B20C9-4170-48A4-8F80-ABE95C5BB63F}"/>
    <cellStyle name="Normal 2 4 2 3 3 2 2 4" xfId="9326" xr:uid="{DB1FC622-E9EB-46A1-B97D-EB0A18092622}"/>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20FF09A9-8636-47B4-8FA2-A5577AFBF1DD}"/>
    <cellStyle name="Normal 2 4 2 3 3 2 3 2 3" xfId="11884" xr:uid="{2D232ECE-8122-4FCB-A819-51074C01F05A}"/>
    <cellStyle name="Normal 2 4 2 3 3 2 3 3" xfId="5507" xr:uid="{00000000-0005-0000-0000-0000F10E0000}"/>
    <cellStyle name="Normal 2 4 2 3 3 2 3 3 2" xfId="13957" xr:uid="{4C53361B-4152-49B7-B6F5-BB766B42DBFE}"/>
    <cellStyle name="Normal 2 4 2 3 3 2 3 4" xfId="9739" xr:uid="{5FBC492B-C62F-4842-AA62-0683CF136CBD}"/>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5AE2CB48-A8C0-4CF5-916A-31EDC014A33C}"/>
    <cellStyle name="Normal 2 4 2 3 3 2 4 2 3" xfId="12297" xr:uid="{21F97169-AA9D-4471-A96F-BAF1082B40A2}"/>
    <cellStyle name="Normal 2 4 2 3 3 2 4 3" xfId="5920" xr:uid="{00000000-0005-0000-0000-0000F50E0000}"/>
    <cellStyle name="Normal 2 4 2 3 3 2 4 3 2" xfId="14370" xr:uid="{066737C0-E481-4645-A3A5-BBAB10DE346E}"/>
    <cellStyle name="Normal 2 4 2 3 3 2 4 4" xfId="10152" xr:uid="{1AB6367E-347A-46EA-894F-B31F5C51408D}"/>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5CA3F464-ADAD-442D-B2DD-7320F8E7A45F}"/>
    <cellStyle name="Normal 2 4 2 3 3 2 5 2 3" xfId="12710" xr:uid="{A1D715D5-D6C1-4CDC-A6EA-08703575B46F}"/>
    <cellStyle name="Normal 2 4 2 3 3 2 5 3" xfId="6333" xr:uid="{00000000-0005-0000-0000-0000F90E0000}"/>
    <cellStyle name="Normal 2 4 2 3 3 2 5 3 2" xfId="14783" xr:uid="{6DED0C90-FDD1-457A-B6BD-CD0DC37E37C2}"/>
    <cellStyle name="Normal 2 4 2 3 3 2 5 4" xfId="10565" xr:uid="{EB5A70F6-7D21-46DE-93FB-8F968A4584A0}"/>
    <cellStyle name="Normal 2 4 2 3 3 2 6" xfId="2463" xr:uid="{00000000-0005-0000-0000-0000FA0E0000}"/>
    <cellStyle name="Normal 2 4 2 3 3 2 6 2" xfId="6746" xr:uid="{00000000-0005-0000-0000-0000FB0E0000}"/>
    <cellStyle name="Normal 2 4 2 3 3 2 6 2 2" xfId="15196" xr:uid="{0B930A87-0431-4096-9AB6-DCAF9429A191}"/>
    <cellStyle name="Normal 2 4 2 3 3 2 6 3" xfId="10978" xr:uid="{E396F86E-A0B4-4D62-946C-AFB30A579FD7}"/>
    <cellStyle name="Normal 2 4 2 3 3 2 7" xfId="4680" xr:uid="{00000000-0005-0000-0000-0000FC0E0000}"/>
    <cellStyle name="Normal 2 4 2 3 3 2 7 2" xfId="13130" xr:uid="{D18E96C4-388B-44FF-92EE-596EF045F0AE}"/>
    <cellStyle name="Normal 2 4 2 3 3 2 8" xfId="8912" xr:uid="{81C04D3D-942F-4192-B2FA-5D0FF2B84F3A}"/>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E023FCC3-FAE0-4E51-B5B9-249741F304CA}"/>
    <cellStyle name="Normal 2 4 2 3 3 3 2 3" xfId="11470" xr:uid="{91AB115F-05D4-4F2F-B9D5-2429CB64DB39}"/>
    <cellStyle name="Normal 2 4 2 3 3 3 3" xfId="5093" xr:uid="{00000000-0005-0000-0000-0000000F0000}"/>
    <cellStyle name="Normal 2 4 2 3 3 3 3 2" xfId="13543" xr:uid="{B89ECDB9-8D8F-4C0C-A195-9D964F891D38}"/>
    <cellStyle name="Normal 2 4 2 3 3 3 4" xfId="9325" xr:uid="{0EB7B720-4F90-4F7C-ADD6-CAA377F3B92D}"/>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BE566B38-FE50-460F-B0A6-0C8623C52171}"/>
    <cellStyle name="Normal 2 4 2 3 3 4 2 3" xfId="11883" xr:uid="{928976D6-8AB7-42EC-9EAC-497D6B4D1E8F}"/>
    <cellStyle name="Normal 2 4 2 3 3 4 3" xfId="5506" xr:uid="{00000000-0005-0000-0000-0000040F0000}"/>
    <cellStyle name="Normal 2 4 2 3 3 4 3 2" xfId="13956" xr:uid="{749A4E25-AF6C-41FA-A060-A8E91CE7AA6B}"/>
    <cellStyle name="Normal 2 4 2 3 3 4 4" xfId="9738" xr:uid="{074560DA-4EF8-470A-890B-7CC690101966}"/>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3ADE6C0D-7C46-47E5-96A4-02E322BCE0A5}"/>
    <cellStyle name="Normal 2 4 2 3 3 5 2 3" xfId="12296" xr:uid="{116B8969-F436-4E99-BA5F-E2845D1766AE}"/>
    <cellStyle name="Normal 2 4 2 3 3 5 3" xfId="5919" xr:uid="{00000000-0005-0000-0000-0000080F0000}"/>
    <cellStyle name="Normal 2 4 2 3 3 5 3 2" xfId="14369" xr:uid="{B450C04D-527E-4F2F-AD51-5747AEA61C40}"/>
    <cellStyle name="Normal 2 4 2 3 3 5 4" xfId="10151" xr:uid="{24B682BB-D893-4037-A126-95CB67FB3DA5}"/>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C43A5057-9D20-463E-B560-32FAE9C7329C}"/>
    <cellStyle name="Normal 2 4 2 3 3 6 2 3" xfId="12709" xr:uid="{5CC17A4A-FF1E-4739-B103-8CE138C22649}"/>
    <cellStyle name="Normal 2 4 2 3 3 6 3" xfId="6332" xr:uid="{00000000-0005-0000-0000-00000C0F0000}"/>
    <cellStyle name="Normal 2 4 2 3 3 6 3 2" xfId="14782" xr:uid="{237767BB-B1BE-40D1-AD61-64D400C51D76}"/>
    <cellStyle name="Normal 2 4 2 3 3 6 4" xfId="10564" xr:uid="{D65C5C6A-FAC0-4162-A1A4-4B401155572F}"/>
    <cellStyle name="Normal 2 4 2 3 3 7" xfId="2462" xr:uid="{00000000-0005-0000-0000-00000D0F0000}"/>
    <cellStyle name="Normal 2 4 2 3 3 7 2" xfId="6745" xr:uid="{00000000-0005-0000-0000-00000E0F0000}"/>
    <cellStyle name="Normal 2 4 2 3 3 7 2 2" xfId="15195" xr:uid="{6AB684B7-D8E5-4123-A457-738F66952642}"/>
    <cellStyle name="Normal 2 4 2 3 3 7 3" xfId="10977" xr:uid="{AE7980FC-1B07-4ED5-8BF8-97333923CDCD}"/>
    <cellStyle name="Normal 2 4 2 3 3 8" xfId="4679" xr:uid="{00000000-0005-0000-0000-00000F0F0000}"/>
    <cellStyle name="Normal 2 4 2 3 3 8 2" xfId="13129" xr:uid="{8C55FC41-683C-48CB-90FD-6749B1919448}"/>
    <cellStyle name="Normal 2 4 2 3 3 9" xfId="8911" xr:uid="{ADD10072-6A8C-40E0-93F3-CB86408C2FE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8B6E0DDE-5D8C-4F33-9124-723B11B54651}"/>
    <cellStyle name="Normal 2 4 2 3 4 2 2 3" xfId="11472" xr:uid="{B6871039-64CC-4F08-A3F9-6B7B0B163125}"/>
    <cellStyle name="Normal 2 4 2 3 4 2 3" xfId="5095" xr:uid="{00000000-0005-0000-0000-0000140F0000}"/>
    <cellStyle name="Normal 2 4 2 3 4 2 3 2" xfId="13545" xr:uid="{1DB1A79F-78AC-49A3-8969-C0E0711A9F2B}"/>
    <cellStyle name="Normal 2 4 2 3 4 2 4" xfId="9327" xr:uid="{B124FF60-939C-4E79-9F4E-CE389EBCECD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CB858F01-1848-4977-8645-84A249641DDD}"/>
    <cellStyle name="Normal 2 4 2 3 4 3 2 3" xfId="11885" xr:uid="{43F873D9-EF80-4A65-868C-92CA93B3AD29}"/>
    <cellStyle name="Normal 2 4 2 3 4 3 3" xfId="5508" xr:uid="{00000000-0005-0000-0000-0000180F0000}"/>
    <cellStyle name="Normal 2 4 2 3 4 3 3 2" xfId="13958" xr:uid="{7DD9A822-A666-4E6E-9EBD-C2C3CEA76381}"/>
    <cellStyle name="Normal 2 4 2 3 4 3 4" xfId="9740" xr:uid="{B4355ADD-5751-480B-9CB1-8FCF4CB2A21F}"/>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7607B295-58BE-4B62-9965-536E713BDF18}"/>
    <cellStyle name="Normal 2 4 2 3 4 4 2 3" xfId="12298" xr:uid="{1406C7E9-76B2-40FD-B2D7-9E96B0AAE061}"/>
    <cellStyle name="Normal 2 4 2 3 4 4 3" xfId="5921" xr:uid="{00000000-0005-0000-0000-00001C0F0000}"/>
    <cellStyle name="Normal 2 4 2 3 4 4 3 2" xfId="14371" xr:uid="{9DE25DBC-8568-4BBD-AE65-EACDA41904DB}"/>
    <cellStyle name="Normal 2 4 2 3 4 4 4" xfId="10153" xr:uid="{86D5FE58-AB6F-40AA-922D-BDBA294DA3B1}"/>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E7D29F31-0FC5-4B8B-971F-F61E4DE2D2D6}"/>
    <cellStyle name="Normal 2 4 2 3 4 5 2 3" xfId="12711" xr:uid="{B49DECEA-E2D2-44E1-B4C0-C5D73743CEEF}"/>
    <cellStyle name="Normal 2 4 2 3 4 5 3" xfId="6334" xr:uid="{00000000-0005-0000-0000-0000200F0000}"/>
    <cellStyle name="Normal 2 4 2 3 4 5 3 2" xfId="14784" xr:uid="{99F43C61-F330-4FDD-AE17-DD72C52B7699}"/>
    <cellStyle name="Normal 2 4 2 3 4 5 4" xfId="10566" xr:uid="{AF1DD715-48EE-4826-9775-DD610C19C23E}"/>
    <cellStyle name="Normal 2 4 2 3 4 6" xfId="2464" xr:uid="{00000000-0005-0000-0000-0000210F0000}"/>
    <cellStyle name="Normal 2 4 2 3 4 6 2" xfId="6747" xr:uid="{00000000-0005-0000-0000-0000220F0000}"/>
    <cellStyle name="Normal 2 4 2 3 4 6 2 2" xfId="15197" xr:uid="{493E05C7-42C9-470E-AE0E-7686F38EFBDF}"/>
    <cellStyle name="Normal 2 4 2 3 4 6 3" xfId="10979" xr:uid="{1F081752-C938-4B87-A96D-0C62669D134B}"/>
    <cellStyle name="Normal 2 4 2 3 4 7" xfId="4681" xr:uid="{00000000-0005-0000-0000-0000230F0000}"/>
    <cellStyle name="Normal 2 4 2 3 4 7 2" xfId="13131" xr:uid="{E006EC62-4F8E-48CF-B8A7-04C2E8C75AE6}"/>
    <cellStyle name="Normal 2 4 2 3 4 8" xfId="8913" xr:uid="{03F56983-EB0B-4C31-A639-C161FD5E2AFC}"/>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B86CD57A-9055-447C-972D-FFFD8630E787}"/>
    <cellStyle name="Normal 2 4 2 3 5 2 3" xfId="11465" xr:uid="{DD314492-F27A-45E7-A2B3-EE7A5E31BAAD}"/>
    <cellStyle name="Normal 2 4 2 3 5 3" xfId="5088" xr:uid="{00000000-0005-0000-0000-0000270F0000}"/>
    <cellStyle name="Normal 2 4 2 3 5 3 2" xfId="13538" xr:uid="{35241B8B-847A-468D-9A55-32080920828B}"/>
    <cellStyle name="Normal 2 4 2 3 5 4" xfId="9320" xr:uid="{42057B69-5737-45A6-AEE5-1F6F972E0445}"/>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E02F1733-A5DF-487C-B70B-94EB74FE1D4A}"/>
    <cellStyle name="Normal 2 4 2 3 6 2 3" xfId="11878" xr:uid="{894930A1-9209-4D6A-8340-9515AB424544}"/>
    <cellStyle name="Normal 2 4 2 3 6 3" xfId="5501" xr:uid="{00000000-0005-0000-0000-00002B0F0000}"/>
    <cellStyle name="Normal 2 4 2 3 6 3 2" xfId="13951" xr:uid="{2BFC2919-1EDC-4D6C-A33A-41255AF2E3FF}"/>
    <cellStyle name="Normal 2 4 2 3 6 4" xfId="9733" xr:uid="{334AA8D2-1396-4498-BD40-DC80BB11CA2E}"/>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97921D88-BC3A-4460-95D3-EB4AAFF80A7C}"/>
    <cellStyle name="Normal 2 4 2 3 7 2 3" xfId="12291" xr:uid="{7C518B32-ECE5-42A6-A65C-17D363D59A00}"/>
    <cellStyle name="Normal 2 4 2 3 7 3" xfId="5914" xr:uid="{00000000-0005-0000-0000-00002F0F0000}"/>
    <cellStyle name="Normal 2 4 2 3 7 3 2" xfId="14364" xr:uid="{85BC3AA9-F32D-4A35-A71A-BA3A5A947CE1}"/>
    <cellStyle name="Normal 2 4 2 3 7 4" xfId="10146" xr:uid="{7514FD99-9DBC-46CE-B1F1-CD3BF8BB5748}"/>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DE969F18-7188-4A78-8C0D-BD010A473AD3}"/>
    <cellStyle name="Normal 2 4 2 3 8 2 3" xfId="12704" xr:uid="{C5D4D106-63D2-4D42-9241-36365DE73044}"/>
    <cellStyle name="Normal 2 4 2 3 8 3" xfId="6327" xr:uid="{00000000-0005-0000-0000-0000330F0000}"/>
    <cellStyle name="Normal 2 4 2 3 8 3 2" xfId="14777" xr:uid="{EBE9CBC2-E261-42E8-8B30-381E3D5F4948}"/>
    <cellStyle name="Normal 2 4 2 3 8 4" xfId="10559" xr:uid="{F85C9C58-39AE-491F-B2E6-B2BB569E010D}"/>
    <cellStyle name="Normal 2 4 2 3 9" xfId="2457" xr:uid="{00000000-0005-0000-0000-0000340F0000}"/>
    <cellStyle name="Normal 2 4 2 3 9 2" xfId="6740" xr:uid="{00000000-0005-0000-0000-0000350F0000}"/>
    <cellStyle name="Normal 2 4 2 3 9 2 2" xfId="15190" xr:uid="{E59C5BD8-EDF4-47BE-96A6-6367523F0EA3}"/>
    <cellStyle name="Normal 2 4 2 3 9 3" xfId="10972" xr:uid="{8EA4ADFF-52FE-4A1C-8791-88B3947F2E97}"/>
    <cellStyle name="Normal 2 4 2 4" xfId="289" xr:uid="{00000000-0005-0000-0000-0000360F0000}"/>
    <cellStyle name="Normal 2 4 2 4 10" xfId="8914" xr:uid="{57363EF9-3473-48C2-89D1-29B4EB7FEEFA}"/>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11C59D38-477B-4257-A8D9-F8EF5E1A6E15}"/>
    <cellStyle name="Normal 2 4 2 4 2 2 2 2 3" xfId="11475" xr:uid="{114A4E1A-61CB-4111-8E15-BAB7563661D2}"/>
    <cellStyle name="Normal 2 4 2 4 2 2 2 3" xfId="5098" xr:uid="{00000000-0005-0000-0000-00003C0F0000}"/>
    <cellStyle name="Normal 2 4 2 4 2 2 2 3 2" xfId="13548" xr:uid="{FE708164-A0F5-4502-8D67-230ACEC80936}"/>
    <cellStyle name="Normal 2 4 2 4 2 2 2 4" xfId="9330" xr:uid="{B4B4EBAC-572E-4414-91F5-E5A2C4A07AFE}"/>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5498CA73-7045-4101-A797-53BCA9E5D517}"/>
    <cellStyle name="Normal 2 4 2 4 2 2 3 2 3" xfId="11888" xr:uid="{BF477746-D7FB-44A5-AB39-F8850B04F7D9}"/>
    <cellStyle name="Normal 2 4 2 4 2 2 3 3" xfId="5511" xr:uid="{00000000-0005-0000-0000-0000400F0000}"/>
    <cellStyle name="Normal 2 4 2 4 2 2 3 3 2" xfId="13961" xr:uid="{9762E9D0-6527-45CC-9035-7EA1A1F6D214}"/>
    <cellStyle name="Normal 2 4 2 4 2 2 3 4" xfId="9743" xr:uid="{4BB8F4CE-70CD-4BAC-A825-4A441239225F}"/>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E49EB3C2-FB2A-493E-B87C-70B2D617AA67}"/>
    <cellStyle name="Normal 2 4 2 4 2 2 4 2 3" xfId="12301" xr:uid="{63F2FF7C-10D0-4710-9DEB-A1218CE6D3E8}"/>
    <cellStyle name="Normal 2 4 2 4 2 2 4 3" xfId="5924" xr:uid="{00000000-0005-0000-0000-0000440F0000}"/>
    <cellStyle name="Normal 2 4 2 4 2 2 4 3 2" xfId="14374" xr:uid="{B95A75A0-2229-45D6-B421-2C82AD409A0A}"/>
    <cellStyle name="Normal 2 4 2 4 2 2 4 4" xfId="10156" xr:uid="{944632BD-EF02-4287-B5AD-FE6FED9A0624}"/>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51E75F2B-6B0D-4C4E-860B-4B97EF390E90}"/>
    <cellStyle name="Normal 2 4 2 4 2 2 5 2 3" xfId="12714" xr:uid="{5A62582E-67FA-4D03-B13E-F76F1C15F21E}"/>
    <cellStyle name="Normal 2 4 2 4 2 2 5 3" xfId="6337" xr:uid="{00000000-0005-0000-0000-0000480F0000}"/>
    <cellStyle name="Normal 2 4 2 4 2 2 5 3 2" xfId="14787" xr:uid="{660902B5-EB74-4EF1-983F-55BD396D8F3E}"/>
    <cellStyle name="Normal 2 4 2 4 2 2 5 4" xfId="10569" xr:uid="{8720E72A-9BD0-4B55-93E1-46671A20BA08}"/>
    <cellStyle name="Normal 2 4 2 4 2 2 6" xfId="2467" xr:uid="{00000000-0005-0000-0000-0000490F0000}"/>
    <cellStyle name="Normal 2 4 2 4 2 2 6 2" xfId="6750" xr:uid="{00000000-0005-0000-0000-00004A0F0000}"/>
    <cellStyle name="Normal 2 4 2 4 2 2 6 2 2" xfId="15200" xr:uid="{79D4A245-24AE-4F08-B843-CC26745F0790}"/>
    <cellStyle name="Normal 2 4 2 4 2 2 6 3" xfId="10982" xr:uid="{652B3DFE-1354-44BA-8C7D-0FE2EB227D1E}"/>
    <cellStyle name="Normal 2 4 2 4 2 2 7" xfId="4684" xr:uid="{00000000-0005-0000-0000-00004B0F0000}"/>
    <cellStyle name="Normal 2 4 2 4 2 2 7 2" xfId="13134" xr:uid="{774DB821-3AE3-4AE9-92F6-50C62EDDCF90}"/>
    <cellStyle name="Normal 2 4 2 4 2 2 8" xfId="8916" xr:uid="{052F5C76-980B-4E4F-80C5-D073A74DEFEB}"/>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90E22740-B298-4811-8E5E-8AA3C1CF8BBC}"/>
    <cellStyle name="Normal 2 4 2 4 2 3 2 3" xfId="11474" xr:uid="{A8F77C1D-F455-4629-971C-84C07211D6A5}"/>
    <cellStyle name="Normal 2 4 2 4 2 3 3" xfId="5097" xr:uid="{00000000-0005-0000-0000-00004F0F0000}"/>
    <cellStyle name="Normal 2 4 2 4 2 3 3 2" xfId="13547" xr:uid="{6A34B65B-7283-4D20-8AA7-98B87E2AB4C4}"/>
    <cellStyle name="Normal 2 4 2 4 2 3 4" xfId="9329" xr:uid="{7121DA03-61AD-413F-82DC-8D5CFC6CF8D3}"/>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90F1AC75-60FF-4E3A-920B-D8B3CF841F20}"/>
    <cellStyle name="Normal 2 4 2 4 2 4 2 3" xfId="11887" xr:uid="{ABAB79F1-3C8F-41FC-89F4-083329C4ABF1}"/>
    <cellStyle name="Normal 2 4 2 4 2 4 3" xfId="5510" xr:uid="{00000000-0005-0000-0000-0000530F0000}"/>
    <cellStyle name="Normal 2 4 2 4 2 4 3 2" xfId="13960" xr:uid="{A2E5C7B8-48EE-4FF9-AB15-A616D2CAAF53}"/>
    <cellStyle name="Normal 2 4 2 4 2 4 4" xfId="9742" xr:uid="{C7745B03-3356-4234-B0CD-C95E83E8B224}"/>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D894FDBE-553D-4C02-B20D-DBDEA4F295E9}"/>
    <cellStyle name="Normal 2 4 2 4 2 5 2 3" xfId="12300" xr:uid="{6A8E7D93-D070-4822-8CAB-C92A0092CEBA}"/>
    <cellStyle name="Normal 2 4 2 4 2 5 3" xfId="5923" xr:uid="{00000000-0005-0000-0000-0000570F0000}"/>
    <cellStyle name="Normal 2 4 2 4 2 5 3 2" xfId="14373" xr:uid="{A9FC5A71-D313-45F5-AE4E-123E0927430D}"/>
    <cellStyle name="Normal 2 4 2 4 2 5 4" xfId="10155" xr:uid="{82FEE996-95AA-4246-90B0-62FF6DC42E34}"/>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E8DC3F8C-ED88-4BD5-8AEC-10EB26202C85}"/>
    <cellStyle name="Normal 2 4 2 4 2 6 2 3" xfId="12713" xr:uid="{2827F10E-06CD-4407-962D-F0FCE6E77ACB}"/>
    <cellStyle name="Normal 2 4 2 4 2 6 3" xfId="6336" xr:uid="{00000000-0005-0000-0000-00005B0F0000}"/>
    <cellStyle name="Normal 2 4 2 4 2 6 3 2" xfId="14786" xr:uid="{FC3EE56B-350D-4F12-835B-58A949571744}"/>
    <cellStyle name="Normal 2 4 2 4 2 6 4" xfId="10568" xr:uid="{912648BC-E0B9-4CBF-9C46-93D616417EB5}"/>
    <cellStyle name="Normal 2 4 2 4 2 7" xfId="2466" xr:uid="{00000000-0005-0000-0000-00005C0F0000}"/>
    <cellStyle name="Normal 2 4 2 4 2 7 2" xfId="6749" xr:uid="{00000000-0005-0000-0000-00005D0F0000}"/>
    <cellStyle name="Normal 2 4 2 4 2 7 2 2" xfId="15199" xr:uid="{18D7F4A8-8D5A-4ABD-A629-46814FCAA7DB}"/>
    <cellStyle name="Normal 2 4 2 4 2 7 3" xfId="10981" xr:uid="{AAE5D856-0E86-4E78-804E-83D490D7A4F5}"/>
    <cellStyle name="Normal 2 4 2 4 2 8" xfId="4683" xr:uid="{00000000-0005-0000-0000-00005E0F0000}"/>
    <cellStyle name="Normal 2 4 2 4 2 8 2" xfId="13133" xr:uid="{94D543EA-CCA3-4DA1-8F94-ADB17ECE3FAB}"/>
    <cellStyle name="Normal 2 4 2 4 2 9" xfId="8915" xr:uid="{4F195A3D-6415-490F-B60E-5C7D68EB9C4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E1B974F3-5312-4C82-871D-78912750B6F4}"/>
    <cellStyle name="Normal 2 4 2 4 3 2 2 3" xfId="11476" xr:uid="{64E7B6F1-8F95-4531-8998-A7925FBB9BDB}"/>
    <cellStyle name="Normal 2 4 2 4 3 2 3" xfId="5099" xr:uid="{00000000-0005-0000-0000-0000630F0000}"/>
    <cellStyle name="Normal 2 4 2 4 3 2 3 2" xfId="13549" xr:uid="{E8323C8D-C9B6-4F93-BF66-EE6DA931D14D}"/>
    <cellStyle name="Normal 2 4 2 4 3 2 4" xfId="9331" xr:uid="{67C27057-EF76-4E39-8008-69966DCC5E09}"/>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EF3014DD-A689-4F82-8622-5560F5393C6A}"/>
    <cellStyle name="Normal 2 4 2 4 3 3 2 3" xfId="11889" xr:uid="{6A005686-DF03-452F-856B-25AEA9DAE6CB}"/>
    <cellStyle name="Normal 2 4 2 4 3 3 3" xfId="5512" xr:uid="{00000000-0005-0000-0000-0000670F0000}"/>
    <cellStyle name="Normal 2 4 2 4 3 3 3 2" xfId="13962" xr:uid="{85555915-8450-403D-B4D8-2725BBDD9BD7}"/>
    <cellStyle name="Normal 2 4 2 4 3 3 4" xfId="9744" xr:uid="{4814D72D-920C-4E05-A5A2-30D48F77B2E1}"/>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BD422326-7E00-4574-A0EB-0D367339E3D2}"/>
    <cellStyle name="Normal 2 4 2 4 3 4 2 3" xfId="12302" xr:uid="{BF304EDE-D892-4599-878C-555366B123E0}"/>
    <cellStyle name="Normal 2 4 2 4 3 4 3" xfId="5925" xr:uid="{00000000-0005-0000-0000-00006B0F0000}"/>
    <cellStyle name="Normal 2 4 2 4 3 4 3 2" xfId="14375" xr:uid="{A4DCA6D6-9BF5-4B7F-BE14-2FDE50E869C8}"/>
    <cellStyle name="Normal 2 4 2 4 3 4 4" xfId="10157" xr:uid="{2035904A-2D12-4BD7-B956-3627E567CC78}"/>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C547FB34-D479-46B0-B22F-85DCD559268D}"/>
    <cellStyle name="Normal 2 4 2 4 3 5 2 3" xfId="12715" xr:uid="{69FEFC3A-2E6D-4264-9935-AD961D2D9C4B}"/>
    <cellStyle name="Normal 2 4 2 4 3 5 3" xfId="6338" xr:uid="{00000000-0005-0000-0000-00006F0F0000}"/>
    <cellStyle name="Normal 2 4 2 4 3 5 3 2" xfId="14788" xr:uid="{34BED032-705F-4EF8-BE04-D25BF90D1844}"/>
    <cellStyle name="Normal 2 4 2 4 3 5 4" xfId="10570" xr:uid="{4322033B-4185-487C-9F15-08598B33A67C}"/>
    <cellStyle name="Normal 2 4 2 4 3 6" xfId="2468" xr:uid="{00000000-0005-0000-0000-0000700F0000}"/>
    <cellStyle name="Normal 2 4 2 4 3 6 2" xfId="6751" xr:uid="{00000000-0005-0000-0000-0000710F0000}"/>
    <cellStyle name="Normal 2 4 2 4 3 6 2 2" xfId="15201" xr:uid="{9FBA8053-F20B-404C-B373-9DF144B62BC3}"/>
    <cellStyle name="Normal 2 4 2 4 3 6 3" xfId="10983" xr:uid="{657923FF-4717-489E-84FA-A30D9090A815}"/>
    <cellStyle name="Normal 2 4 2 4 3 7" xfId="4685" xr:uid="{00000000-0005-0000-0000-0000720F0000}"/>
    <cellStyle name="Normal 2 4 2 4 3 7 2" xfId="13135" xr:uid="{FF81F9C0-F225-4BFA-9EE0-60F1E0E428B1}"/>
    <cellStyle name="Normal 2 4 2 4 3 8" xfId="8917" xr:uid="{D7A6359E-C5D5-4E74-BCDA-E5A5ACF9024D}"/>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27C6C39B-FC11-4CFC-AA8D-CD7F4112FCC2}"/>
    <cellStyle name="Normal 2 4 2 4 4 2 3" xfId="11473" xr:uid="{B287D6E2-2D80-4FDF-832F-60A202C5C4AE}"/>
    <cellStyle name="Normal 2 4 2 4 4 3" xfId="5096" xr:uid="{00000000-0005-0000-0000-0000760F0000}"/>
    <cellStyle name="Normal 2 4 2 4 4 3 2" xfId="13546" xr:uid="{0E2FC34C-B279-495F-8348-5BF39A0935FE}"/>
    <cellStyle name="Normal 2 4 2 4 4 4" xfId="9328" xr:uid="{48175424-5813-4292-9836-E128B8A195F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2F85EA23-5546-474B-B153-FFA025C6B526}"/>
    <cellStyle name="Normal 2 4 2 4 5 2 3" xfId="11886" xr:uid="{1FF8322C-64D5-4B4B-9844-8354A03A3022}"/>
    <cellStyle name="Normal 2 4 2 4 5 3" xfId="5509" xr:uid="{00000000-0005-0000-0000-00007A0F0000}"/>
    <cellStyle name="Normal 2 4 2 4 5 3 2" xfId="13959" xr:uid="{17A761BA-1876-4AFE-8F1F-3384255CF5DF}"/>
    <cellStyle name="Normal 2 4 2 4 5 4" xfId="9741" xr:uid="{57072ED7-82C9-47E7-9411-187292B1682F}"/>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5FECD02F-5677-4075-9269-A311662649C1}"/>
    <cellStyle name="Normal 2 4 2 4 6 2 3" xfId="12299" xr:uid="{E605563A-D8B7-4E0A-A508-9148A0F03768}"/>
    <cellStyle name="Normal 2 4 2 4 6 3" xfId="5922" xr:uid="{00000000-0005-0000-0000-00007E0F0000}"/>
    <cellStyle name="Normal 2 4 2 4 6 3 2" xfId="14372" xr:uid="{3CD062FA-16C5-4C51-BADB-AEA87A0D5C27}"/>
    <cellStyle name="Normal 2 4 2 4 6 4" xfId="10154" xr:uid="{82628D2D-A457-4FB6-B350-9DAC43281233}"/>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C95359A3-1149-47F0-BCF6-BD98E29E679D}"/>
    <cellStyle name="Normal 2 4 2 4 7 2 3" xfId="12712" xr:uid="{0F7061EF-6D0F-46AF-B171-55E0F6C95962}"/>
    <cellStyle name="Normal 2 4 2 4 7 3" xfId="6335" xr:uid="{00000000-0005-0000-0000-0000820F0000}"/>
    <cellStyle name="Normal 2 4 2 4 7 3 2" xfId="14785" xr:uid="{A75A8972-7033-498C-A7C4-CF171D14757F}"/>
    <cellStyle name="Normal 2 4 2 4 7 4" xfId="10567" xr:uid="{90518B12-3BBF-4AA0-9969-77B0151C932A}"/>
    <cellStyle name="Normal 2 4 2 4 8" xfId="2465" xr:uid="{00000000-0005-0000-0000-0000830F0000}"/>
    <cellStyle name="Normal 2 4 2 4 8 2" xfId="6748" xr:uid="{00000000-0005-0000-0000-0000840F0000}"/>
    <cellStyle name="Normal 2 4 2 4 8 2 2" xfId="15198" xr:uid="{DC926ACA-B683-46AD-8579-7AE3242BC229}"/>
    <cellStyle name="Normal 2 4 2 4 8 3" xfId="10980" xr:uid="{DA0A064B-8F54-43D7-8F32-C517E274FD1E}"/>
    <cellStyle name="Normal 2 4 2 4 9" xfId="4682" xr:uid="{00000000-0005-0000-0000-0000850F0000}"/>
    <cellStyle name="Normal 2 4 2 4 9 2" xfId="13132" xr:uid="{297B7702-8DEB-4A31-9735-4F9ABCDAFEA2}"/>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C5F21A2C-34C0-47F3-8632-CBA04822555E}"/>
    <cellStyle name="Normal 2 4 2 5 2 2 2 3" xfId="11478" xr:uid="{A1620F42-7EC0-42F2-AE24-E71FE0CA8FF3}"/>
    <cellStyle name="Normal 2 4 2 5 2 2 3" xfId="5101" xr:uid="{00000000-0005-0000-0000-00008B0F0000}"/>
    <cellStyle name="Normal 2 4 2 5 2 2 3 2" xfId="13551" xr:uid="{2E1C7510-7DB3-46C4-9FF4-EC54A2409C2B}"/>
    <cellStyle name="Normal 2 4 2 5 2 2 4" xfId="9333" xr:uid="{45B825D4-5412-4CBA-8CB7-FEDAE1CF9D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0C98C9DD-5F46-44AD-8EC6-6276EE950C41}"/>
    <cellStyle name="Normal 2 4 2 5 2 3 2 3" xfId="11891" xr:uid="{4A9F5A65-D8F6-4177-A3F1-30BE606B82AD}"/>
    <cellStyle name="Normal 2 4 2 5 2 3 3" xfId="5514" xr:uid="{00000000-0005-0000-0000-00008F0F0000}"/>
    <cellStyle name="Normal 2 4 2 5 2 3 3 2" xfId="13964" xr:uid="{177BA4E6-DD8F-4FEE-B124-50562FD39955}"/>
    <cellStyle name="Normal 2 4 2 5 2 3 4" xfId="9746" xr:uid="{311403C4-745A-4860-892E-D54CC71C8E7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3E98FBA4-684E-4C72-8978-ED2BE29B2B86}"/>
    <cellStyle name="Normal 2 4 2 5 2 4 2 3" xfId="12304" xr:uid="{D0C9B509-CF81-4AA3-B3C2-D97F9D839294}"/>
    <cellStyle name="Normal 2 4 2 5 2 4 3" xfId="5927" xr:uid="{00000000-0005-0000-0000-0000930F0000}"/>
    <cellStyle name="Normal 2 4 2 5 2 4 3 2" xfId="14377" xr:uid="{891E942D-E94F-4B3B-89C4-BF0F61989C9D}"/>
    <cellStyle name="Normal 2 4 2 5 2 4 4" xfId="10159" xr:uid="{FEEA43A2-39AE-4A0B-8B77-55D3DB46975C}"/>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03DCBF2A-6794-4043-A550-248D345643CB}"/>
    <cellStyle name="Normal 2 4 2 5 2 5 2 3" xfId="12717" xr:uid="{DD2A3B0B-6A12-423A-B4E9-9263F28916B7}"/>
    <cellStyle name="Normal 2 4 2 5 2 5 3" xfId="6340" xr:uid="{00000000-0005-0000-0000-0000970F0000}"/>
    <cellStyle name="Normal 2 4 2 5 2 5 3 2" xfId="14790" xr:uid="{A3447C89-CF53-4ADE-808E-C006782880C1}"/>
    <cellStyle name="Normal 2 4 2 5 2 5 4" xfId="10572" xr:uid="{136A9854-7CB0-4273-9E4E-F74E3DB034D2}"/>
    <cellStyle name="Normal 2 4 2 5 2 6" xfId="2470" xr:uid="{00000000-0005-0000-0000-0000980F0000}"/>
    <cellStyle name="Normal 2 4 2 5 2 6 2" xfId="6753" xr:uid="{00000000-0005-0000-0000-0000990F0000}"/>
    <cellStyle name="Normal 2 4 2 5 2 6 2 2" xfId="15203" xr:uid="{C6196C7C-25F6-45BB-90DD-892A0D721D06}"/>
    <cellStyle name="Normal 2 4 2 5 2 6 3" xfId="10985" xr:uid="{3AB4D627-DC4E-4ABA-9F91-C306CB8BB69D}"/>
    <cellStyle name="Normal 2 4 2 5 2 7" xfId="4687" xr:uid="{00000000-0005-0000-0000-00009A0F0000}"/>
    <cellStyle name="Normal 2 4 2 5 2 7 2" xfId="13137" xr:uid="{99F018C8-847E-4DBE-9058-40318C808B71}"/>
    <cellStyle name="Normal 2 4 2 5 2 8" xfId="8919" xr:uid="{13A3BEC1-34ED-4BC3-8D8C-4D94F8516640}"/>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52DC4419-1927-467D-B63C-539BB8D12A64}"/>
    <cellStyle name="Normal 2 4 2 5 3 2 3" xfId="11477" xr:uid="{017F205C-171E-4E78-B78C-1866E8046119}"/>
    <cellStyle name="Normal 2 4 2 5 3 3" xfId="5100" xr:uid="{00000000-0005-0000-0000-00009E0F0000}"/>
    <cellStyle name="Normal 2 4 2 5 3 3 2" xfId="13550" xr:uid="{336FAE80-574F-47FF-92BE-274DBD19ABFC}"/>
    <cellStyle name="Normal 2 4 2 5 3 4" xfId="9332" xr:uid="{27725F56-B833-414B-A5AB-927519A98E1C}"/>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D2D35A72-59D9-44FA-B830-1B8B6E910BB1}"/>
    <cellStyle name="Normal 2 4 2 5 4 2 3" xfId="11890" xr:uid="{E53FD0D2-B47B-40CD-8DD0-42FA5697D973}"/>
    <cellStyle name="Normal 2 4 2 5 4 3" xfId="5513" xr:uid="{00000000-0005-0000-0000-0000A20F0000}"/>
    <cellStyle name="Normal 2 4 2 5 4 3 2" xfId="13963" xr:uid="{AE1B27C8-A1B6-4FC7-A4C2-33D120E82E54}"/>
    <cellStyle name="Normal 2 4 2 5 4 4" xfId="9745" xr:uid="{A9158C3B-08FB-4C8A-8A9E-C46F25B92453}"/>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74BDDB53-66F2-4081-BE2C-37F188D2735A}"/>
    <cellStyle name="Normal 2 4 2 5 5 2 3" xfId="12303" xr:uid="{C01BDBA3-0077-4021-9322-085208DB8484}"/>
    <cellStyle name="Normal 2 4 2 5 5 3" xfId="5926" xr:uid="{00000000-0005-0000-0000-0000A60F0000}"/>
    <cellStyle name="Normal 2 4 2 5 5 3 2" xfId="14376" xr:uid="{97FA4FDF-0E70-450C-84CD-A02C4C610A23}"/>
    <cellStyle name="Normal 2 4 2 5 5 4" xfId="10158" xr:uid="{725162A4-69B4-4463-AFD6-9F20F34B174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251B51E9-A7C8-4967-AE97-E2EF9C46FB16}"/>
    <cellStyle name="Normal 2 4 2 5 6 2 3" xfId="12716" xr:uid="{AAB11FEC-A308-41AE-AB16-7110A2CCE8D4}"/>
    <cellStyle name="Normal 2 4 2 5 6 3" xfId="6339" xr:uid="{00000000-0005-0000-0000-0000AA0F0000}"/>
    <cellStyle name="Normal 2 4 2 5 6 3 2" xfId="14789" xr:uid="{43F0D0B3-D8E8-45AA-AFC4-B53113C37EF5}"/>
    <cellStyle name="Normal 2 4 2 5 6 4" xfId="10571" xr:uid="{77855FA9-4AE3-4299-BBC0-3F27A1CC7E5F}"/>
    <cellStyle name="Normal 2 4 2 5 7" xfId="2469" xr:uid="{00000000-0005-0000-0000-0000AB0F0000}"/>
    <cellStyle name="Normal 2 4 2 5 7 2" xfId="6752" xr:uid="{00000000-0005-0000-0000-0000AC0F0000}"/>
    <cellStyle name="Normal 2 4 2 5 7 2 2" xfId="15202" xr:uid="{15FD43F7-50C7-4CF8-AA49-7B72F08339C2}"/>
    <cellStyle name="Normal 2 4 2 5 7 3" xfId="10984" xr:uid="{B4A96674-A64D-4449-93DB-617C198B060D}"/>
    <cellStyle name="Normal 2 4 2 5 8" xfId="4686" xr:uid="{00000000-0005-0000-0000-0000AD0F0000}"/>
    <cellStyle name="Normal 2 4 2 5 8 2" xfId="13136" xr:uid="{DAC8D20A-5A69-49D2-937C-F46F969BC106}"/>
    <cellStyle name="Normal 2 4 2 5 9" xfId="8918" xr:uid="{DB5A29CC-7764-487B-B6FF-7C2FFF007BF9}"/>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0726259B-51D4-410D-9444-A48A5D732AA2}"/>
    <cellStyle name="Normal 2 4 2 6 2 2 3" xfId="11479" xr:uid="{E342530B-C8E6-4E75-B583-61FA66B4AC5A}"/>
    <cellStyle name="Normal 2 4 2 6 2 3" xfId="5102" xr:uid="{00000000-0005-0000-0000-0000B20F0000}"/>
    <cellStyle name="Normal 2 4 2 6 2 3 2" xfId="13552" xr:uid="{E887E93F-E509-432A-9268-6D9F29F2FEC0}"/>
    <cellStyle name="Normal 2 4 2 6 2 4" xfId="9334" xr:uid="{60F23B9B-974E-4340-8DF4-547713A53371}"/>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4C4E589C-4699-4859-B89F-791B017A5059}"/>
    <cellStyle name="Normal 2 4 2 6 3 2 3" xfId="11892" xr:uid="{9BF7AA54-2947-44DC-A7CA-5301E93EBBC1}"/>
    <cellStyle name="Normal 2 4 2 6 3 3" xfId="5515" xr:uid="{00000000-0005-0000-0000-0000B60F0000}"/>
    <cellStyle name="Normal 2 4 2 6 3 3 2" xfId="13965" xr:uid="{E4201C25-0923-4F53-B673-5D3E9BAB0B3C}"/>
    <cellStyle name="Normal 2 4 2 6 3 4" xfId="9747" xr:uid="{C30516CB-9AEA-4979-847D-F317BCD6645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C2EE2A6A-4691-411B-8AC1-74A538E40960}"/>
    <cellStyle name="Normal 2 4 2 6 4 2 3" xfId="12305" xr:uid="{B6642330-3331-416F-8E67-6B6136F7A6DA}"/>
    <cellStyle name="Normal 2 4 2 6 4 3" xfId="5928" xr:uid="{00000000-0005-0000-0000-0000BA0F0000}"/>
    <cellStyle name="Normal 2 4 2 6 4 3 2" xfId="14378" xr:uid="{D417D4B3-5DE4-4137-AE09-D04D68575154}"/>
    <cellStyle name="Normal 2 4 2 6 4 4" xfId="10160" xr:uid="{08B70891-4827-4F7D-9AB0-68FB16DE7EF2}"/>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798950F1-0029-4277-B669-FA132235EF4E}"/>
    <cellStyle name="Normal 2 4 2 6 5 2 3" xfId="12718" xr:uid="{BCE068C4-8D48-44DD-8181-70F4AE8C448A}"/>
    <cellStyle name="Normal 2 4 2 6 5 3" xfId="6341" xr:uid="{00000000-0005-0000-0000-0000BE0F0000}"/>
    <cellStyle name="Normal 2 4 2 6 5 3 2" xfId="14791" xr:uid="{5274A9BA-A5DB-43BF-8306-E6A5D9E001F7}"/>
    <cellStyle name="Normal 2 4 2 6 5 4" xfId="10573" xr:uid="{42EED98F-82C4-4160-B28F-FA8106B17784}"/>
    <cellStyle name="Normal 2 4 2 6 6" xfId="2471" xr:uid="{00000000-0005-0000-0000-0000BF0F0000}"/>
    <cellStyle name="Normal 2 4 2 6 6 2" xfId="6754" xr:uid="{00000000-0005-0000-0000-0000C00F0000}"/>
    <cellStyle name="Normal 2 4 2 6 6 2 2" xfId="15204" xr:uid="{90D1A641-FD35-45C4-922E-F0FFABABCA33}"/>
    <cellStyle name="Normal 2 4 2 6 6 3" xfId="10986" xr:uid="{164D7888-6A6B-4403-B4CB-503D703C19B4}"/>
    <cellStyle name="Normal 2 4 2 6 7" xfId="4688" xr:uid="{00000000-0005-0000-0000-0000C10F0000}"/>
    <cellStyle name="Normal 2 4 2 6 7 2" xfId="13138" xr:uid="{3EAD7837-5A95-4A26-ABD4-8C8A344EE1C3}"/>
    <cellStyle name="Normal 2 4 2 6 8" xfId="8920" xr:uid="{68029ABD-37DF-47FF-BCAE-6E0E977BA5AD}"/>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02259379-6FA4-4A0B-BEF5-084B5762FE75}"/>
    <cellStyle name="Normal 2 4 2 7 2 3" xfId="11464" xr:uid="{64E7FE22-73C2-432C-865F-ED9EDF5844A8}"/>
    <cellStyle name="Normal 2 4 2 7 3" xfId="5087" xr:uid="{00000000-0005-0000-0000-0000C50F0000}"/>
    <cellStyle name="Normal 2 4 2 7 3 2" xfId="13537" xr:uid="{6B09F526-DDB8-440C-AE2F-6E9EB2B00EB1}"/>
    <cellStyle name="Normal 2 4 2 7 4" xfId="9319" xr:uid="{9954B64D-1C1E-4385-9A5A-AF80A7F1F202}"/>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9CE2B663-836C-4480-8CB0-CA59F7037689}"/>
    <cellStyle name="Normal 2 4 2 8 2 3" xfId="11877" xr:uid="{3E054DCC-5D4B-48F9-99C9-CD6315B30701}"/>
    <cellStyle name="Normal 2 4 2 8 3" xfId="5500" xr:uid="{00000000-0005-0000-0000-0000C90F0000}"/>
    <cellStyle name="Normal 2 4 2 8 3 2" xfId="13950" xr:uid="{F0DD16D4-F11D-4DDF-8424-CE0F2A847AF7}"/>
    <cellStyle name="Normal 2 4 2 8 4" xfId="9732" xr:uid="{8B1D6C82-40C3-4E1D-AE90-FE080068E1A1}"/>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41ED4C2D-D1BE-4171-B2A0-ABD9CAEBC52E}"/>
    <cellStyle name="Normal 2 4 2 9 2 3" xfId="12290" xr:uid="{AB0119BF-15CD-4D1A-B15F-D5858B138CDD}"/>
    <cellStyle name="Normal 2 4 2 9 3" xfId="5913" xr:uid="{00000000-0005-0000-0000-0000CD0F0000}"/>
    <cellStyle name="Normal 2 4 2 9 3 2" xfId="14363" xr:uid="{AF1509AF-0F01-45BB-B7D6-D9A318062768}"/>
    <cellStyle name="Normal 2 4 2 9 4" xfId="10145" xr:uid="{9C05504A-425A-481B-AA81-2C92D5FC7887}"/>
    <cellStyle name="Normal 2 4 3" xfId="296" xr:uid="{00000000-0005-0000-0000-0000CE0F0000}"/>
    <cellStyle name="Normal 2 4 3 10" xfId="8921" xr:uid="{509D7D33-8321-43B0-861D-F8BD885E0A6D}"/>
    <cellStyle name="Normal 2 4 3 2" xfId="297" xr:uid="{00000000-0005-0000-0000-0000CF0F0000}"/>
    <cellStyle name="Normal 2 4 3 3" xfId="298" xr:uid="{00000000-0005-0000-0000-0000D00F0000}"/>
    <cellStyle name="Normal 2 4 3 3 10" xfId="8922" xr:uid="{22D73807-2FA6-46E3-9631-7B2022D50252}"/>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AC077A95-0501-4E03-90ED-F0EFD9030BD7}"/>
    <cellStyle name="Normal 2 4 3 3 2 2 2 2 3" xfId="11483" xr:uid="{76864E2B-70B1-4B1B-85E4-BEC0993C162B}"/>
    <cellStyle name="Normal 2 4 3 3 2 2 2 3" xfId="5106" xr:uid="{00000000-0005-0000-0000-0000D60F0000}"/>
    <cellStyle name="Normal 2 4 3 3 2 2 2 3 2" xfId="13556" xr:uid="{C6ABDF69-6F03-46E8-B267-B581CE76A94B}"/>
    <cellStyle name="Normal 2 4 3 3 2 2 2 4" xfId="9338" xr:uid="{C79B05B2-3F34-4FBA-98E8-5F20A865577A}"/>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AF0AF098-FE78-494D-952E-8B7C3526400E}"/>
    <cellStyle name="Normal 2 4 3 3 2 2 3 2 3" xfId="11896" xr:uid="{9BDA3EF4-0C89-4323-9362-789AFBB6DFE7}"/>
    <cellStyle name="Normal 2 4 3 3 2 2 3 3" xfId="5519" xr:uid="{00000000-0005-0000-0000-0000DA0F0000}"/>
    <cellStyle name="Normal 2 4 3 3 2 2 3 3 2" xfId="13969" xr:uid="{4162AB59-4143-4621-9DB1-CBB0213A2C98}"/>
    <cellStyle name="Normal 2 4 3 3 2 2 3 4" xfId="9751" xr:uid="{C219E23C-4B5C-4A7F-B3F4-39A1EE9B68D5}"/>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8B6E73A9-23FB-472C-A343-97CB4BE68BA8}"/>
    <cellStyle name="Normal 2 4 3 3 2 2 4 2 3" xfId="12309" xr:uid="{F22391EB-51E1-461D-BA9A-5F6F8E50DFBB}"/>
    <cellStyle name="Normal 2 4 3 3 2 2 4 3" xfId="5932" xr:uid="{00000000-0005-0000-0000-0000DE0F0000}"/>
    <cellStyle name="Normal 2 4 3 3 2 2 4 3 2" xfId="14382" xr:uid="{8D6C6F3C-81F1-47A8-B2E2-058BB0D36E4B}"/>
    <cellStyle name="Normal 2 4 3 3 2 2 4 4" xfId="10164" xr:uid="{56A7955C-BEF2-409C-92D8-B64969305073}"/>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F973169B-F5F3-4917-B26F-B33F494AA732}"/>
    <cellStyle name="Normal 2 4 3 3 2 2 5 2 3" xfId="12722" xr:uid="{1D782F48-8CA2-4013-8E4E-AA03F8BEDE77}"/>
    <cellStyle name="Normal 2 4 3 3 2 2 5 3" xfId="6345" xr:uid="{00000000-0005-0000-0000-0000E20F0000}"/>
    <cellStyle name="Normal 2 4 3 3 2 2 5 3 2" xfId="14795" xr:uid="{9D40C8BF-55E0-49D7-84E5-F88379135060}"/>
    <cellStyle name="Normal 2 4 3 3 2 2 5 4" xfId="10577" xr:uid="{407F0149-5849-47B3-8042-8854D74A0901}"/>
    <cellStyle name="Normal 2 4 3 3 2 2 6" xfId="2475" xr:uid="{00000000-0005-0000-0000-0000E30F0000}"/>
    <cellStyle name="Normal 2 4 3 3 2 2 6 2" xfId="6758" xr:uid="{00000000-0005-0000-0000-0000E40F0000}"/>
    <cellStyle name="Normal 2 4 3 3 2 2 6 2 2" xfId="15208" xr:uid="{367843B5-C28A-40CB-896A-2B8AA3996DCD}"/>
    <cellStyle name="Normal 2 4 3 3 2 2 6 3" xfId="10990" xr:uid="{F6BFB167-D38A-4E6C-8E8E-EFBC962FA4BD}"/>
    <cellStyle name="Normal 2 4 3 3 2 2 7" xfId="4692" xr:uid="{00000000-0005-0000-0000-0000E50F0000}"/>
    <cellStyle name="Normal 2 4 3 3 2 2 7 2" xfId="13142" xr:uid="{2A68C0C8-60F1-4380-9FA9-231727CE926C}"/>
    <cellStyle name="Normal 2 4 3 3 2 2 8" xfId="8924" xr:uid="{243BE095-2BA8-4393-8B8F-DE9A217C74A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F64E2BE4-E854-4E07-8AE3-A034CCAD9E57}"/>
    <cellStyle name="Normal 2 4 3 3 2 3 2 3" xfId="11482" xr:uid="{27DC5D4B-B041-4DCC-B3C1-72A80ED94E18}"/>
    <cellStyle name="Normal 2 4 3 3 2 3 3" xfId="5105" xr:uid="{00000000-0005-0000-0000-0000E90F0000}"/>
    <cellStyle name="Normal 2 4 3 3 2 3 3 2" xfId="13555" xr:uid="{43EF731C-065E-427F-A1DA-116E94D0BFD4}"/>
    <cellStyle name="Normal 2 4 3 3 2 3 4" xfId="9337" xr:uid="{6CEA47C5-A825-422E-9595-320701181576}"/>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4BB931A8-8D07-4FDF-AFDD-21849C44362B}"/>
    <cellStyle name="Normal 2 4 3 3 2 4 2 3" xfId="11895" xr:uid="{ED2756CB-2584-491F-A751-FCF5725049AE}"/>
    <cellStyle name="Normal 2 4 3 3 2 4 3" xfId="5518" xr:uid="{00000000-0005-0000-0000-0000ED0F0000}"/>
    <cellStyle name="Normal 2 4 3 3 2 4 3 2" xfId="13968" xr:uid="{7E64AEE6-0406-4F51-8A6B-93A863F0786E}"/>
    <cellStyle name="Normal 2 4 3 3 2 4 4" xfId="9750" xr:uid="{4CFDCABA-1405-4114-B59C-77BC737E2A3C}"/>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82F395B3-7860-4F7A-9EE3-E5AD0C8D4F4D}"/>
    <cellStyle name="Normal 2 4 3 3 2 5 2 3" xfId="12308" xr:uid="{A877AC0F-B6BD-48E4-997D-11C7825696F3}"/>
    <cellStyle name="Normal 2 4 3 3 2 5 3" xfId="5931" xr:uid="{00000000-0005-0000-0000-0000F10F0000}"/>
    <cellStyle name="Normal 2 4 3 3 2 5 3 2" xfId="14381" xr:uid="{1034122A-3CC4-4C9C-A31D-18425109B1D9}"/>
    <cellStyle name="Normal 2 4 3 3 2 5 4" xfId="10163" xr:uid="{E424982C-8ECE-4424-8D42-4690AF65DFBE}"/>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AC837C5A-E0F3-420A-ABF2-767083F73E4D}"/>
    <cellStyle name="Normal 2 4 3 3 2 6 2 3" xfId="12721" xr:uid="{07890249-4707-4B1B-8E3C-CE3BC7A05F68}"/>
    <cellStyle name="Normal 2 4 3 3 2 6 3" xfId="6344" xr:uid="{00000000-0005-0000-0000-0000F50F0000}"/>
    <cellStyle name="Normal 2 4 3 3 2 6 3 2" xfId="14794" xr:uid="{D7A8463F-1EB8-4277-8838-0F27E3D1FB68}"/>
    <cellStyle name="Normal 2 4 3 3 2 6 4" xfId="10576" xr:uid="{FDCB067B-69E7-418F-88AB-002F01194104}"/>
    <cellStyle name="Normal 2 4 3 3 2 7" xfId="2474" xr:uid="{00000000-0005-0000-0000-0000F60F0000}"/>
    <cellStyle name="Normal 2 4 3 3 2 7 2" xfId="6757" xr:uid="{00000000-0005-0000-0000-0000F70F0000}"/>
    <cellStyle name="Normal 2 4 3 3 2 7 2 2" xfId="15207" xr:uid="{82C5CF03-225C-4666-B3B5-406CB4B18277}"/>
    <cellStyle name="Normal 2 4 3 3 2 7 3" xfId="10989" xr:uid="{81D89BDD-7D9A-4920-8DDD-F4F82D8C1278}"/>
    <cellStyle name="Normal 2 4 3 3 2 8" xfId="4691" xr:uid="{00000000-0005-0000-0000-0000F80F0000}"/>
    <cellStyle name="Normal 2 4 3 3 2 8 2" xfId="13141" xr:uid="{272B6407-F848-4952-A1A1-F7E66D62D3C6}"/>
    <cellStyle name="Normal 2 4 3 3 2 9" xfId="8923" xr:uid="{01C63C9D-5B88-458D-8A34-C5B3D7643255}"/>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17726C54-3834-49DC-9ACB-FBDDAB6DE6D8}"/>
    <cellStyle name="Normal 2 4 3 3 3 2 2 3" xfId="11484" xr:uid="{0BF555FC-F9F2-4C3C-8823-1C951EB51FA2}"/>
    <cellStyle name="Normal 2 4 3 3 3 2 3" xfId="5107" xr:uid="{00000000-0005-0000-0000-0000FD0F0000}"/>
    <cellStyle name="Normal 2 4 3 3 3 2 3 2" xfId="13557" xr:uid="{923DE99C-0D8C-4C32-9B69-7EDFCF3EBA56}"/>
    <cellStyle name="Normal 2 4 3 3 3 2 4" xfId="9339" xr:uid="{F6A28BD6-EE75-4A78-9B53-D306154106D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D2CF9EDD-4D83-4A19-9655-7FC8DCA57EFD}"/>
    <cellStyle name="Normal 2 4 3 3 3 3 2 3" xfId="11897" xr:uid="{FD9AFCFB-9A43-4587-B566-10ED9895F3DE}"/>
    <cellStyle name="Normal 2 4 3 3 3 3 3" xfId="5520" xr:uid="{00000000-0005-0000-0000-000001100000}"/>
    <cellStyle name="Normal 2 4 3 3 3 3 3 2" xfId="13970" xr:uid="{C8FD6AEE-DD17-4B7B-B0D2-F2261CF75C7A}"/>
    <cellStyle name="Normal 2 4 3 3 3 3 4" xfId="9752" xr:uid="{9674CAE7-B97A-42BF-8402-8859F6891919}"/>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12E675EF-1825-4D64-B337-2B1E0FD48AB7}"/>
    <cellStyle name="Normal 2 4 3 3 3 4 2 3" xfId="12310" xr:uid="{24CAA91F-1E0F-4CE3-97F2-D3E97C054254}"/>
    <cellStyle name="Normal 2 4 3 3 3 4 3" xfId="5933" xr:uid="{00000000-0005-0000-0000-000005100000}"/>
    <cellStyle name="Normal 2 4 3 3 3 4 3 2" xfId="14383" xr:uid="{F7CB0F66-32D4-4A8E-8D8A-94C868B4A295}"/>
    <cellStyle name="Normal 2 4 3 3 3 4 4" xfId="10165" xr:uid="{4594419B-AAF6-4A7A-B93A-B602720A0C4D}"/>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FD88436A-AD1D-4BCD-9F2D-469390DE1FBC}"/>
    <cellStyle name="Normal 2 4 3 3 3 5 2 3" xfId="12723" xr:uid="{A829F928-CD6A-47FC-B98A-585029562A82}"/>
    <cellStyle name="Normal 2 4 3 3 3 5 3" xfId="6346" xr:uid="{00000000-0005-0000-0000-000009100000}"/>
    <cellStyle name="Normal 2 4 3 3 3 5 3 2" xfId="14796" xr:uid="{4A14B47E-CCE2-49C9-8EAE-4E0B2DB6AE9E}"/>
    <cellStyle name="Normal 2 4 3 3 3 5 4" xfId="10578" xr:uid="{E4A27D4A-E074-44F6-9019-6E3CACDFEFF3}"/>
    <cellStyle name="Normal 2 4 3 3 3 6" xfId="2476" xr:uid="{00000000-0005-0000-0000-00000A100000}"/>
    <cellStyle name="Normal 2 4 3 3 3 6 2" xfId="6759" xr:uid="{00000000-0005-0000-0000-00000B100000}"/>
    <cellStyle name="Normal 2 4 3 3 3 6 2 2" xfId="15209" xr:uid="{8154D9C8-8EFD-4F86-8476-1A91CD402F65}"/>
    <cellStyle name="Normal 2 4 3 3 3 6 3" xfId="10991" xr:uid="{BD864EF0-E3F4-477D-91A5-B28D428B2059}"/>
    <cellStyle name="Normal 2 4 3 3 3 7" xfId="4693" xr:uid="{00000000-0005-0000-0000-00000C100000}"/>
    <cellStyle name="Normal 2 4 3 3 3 7 2" xfId="13143" xr:uid="{9B517A32-E693-4CD6-99CB-4AD820D8FC5A}"/>
    <cellStyle name="Normal 2 4 3 3 3 8" xfId="8925" xr:uid="{B3AC3539-D9BD-40F5-BBDF-AF99875665B2}"/>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F44B1CC8-9020-4B29-8E96-AEC5340A0B7B}"/>
    <cellStyle name="Normal 2 4 3 3 4 2 3" xfId="11481" xr:uid="{A82DEC4B-CD4E-444E-82D4-86D24EC037D7}"/>
    <cellStyle name="Normal 2 4 3 3 4 3" xfId="5104" xr:uid="{00000000-0005-0000-0000-000010100000}"/>
    <cellStyle name="Normal 2 4 3 3 4 3 2" xfId="13554" xr:uid="{5C0F2960-231F-4958-9E55-2D0146419B1A}"/>
    <cellStyle name="Normal 2 4 3 3 4 4" xfId="9336" xr:uid="{A5C2E413-D798-4C1B-84A1-B1E14291DB9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744FDF16-FA4A-4817-A7CC-7E71A2621E1C}"/>
    <cellStyle name="Normal 2 4 3 3 5 2 3" xfId="11894" xr:uid="{8E755302-0ECE-492F-8DBF-86FCBB89238E}"/>
    <cellStyle name="Normal 2 4 3 3 5 3" xfId="5517" xr:uid="{00000000-0005-0000-0000-000014100000}"/>
    <cellStyle name="Normal 2 4 3 3 5 3 2" xfId="13967" xr:uid="{8F801ED5-3F29-40FE-8845-82834B4B10B5}"/>
    <cellStyle name="Normal 2 4 3 3 5 4" xfId="9749" xr:uid="{9FF35D11-0555-4EE8-A5C9-5D06A21B60AE}"/>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E3554F29-5831-40B9-9BA3-7D72D77906E8}"/>
    <cellStyle name="Normal 2 4 3 3 6 2 3" xfId="12307" xr:uid="{ADF41C60-8E02-40D6-95AC-CEE8C7DE1D2E}"/>
    <cellStyle name="Normal 2 4 3 3 6 3" xfId="5930" xr:uid="{00000000-0005-0000-0000-000018100000}"/>
    <cellStyle name="Normal 2 4 3 3 6 3 2" xfId="14380" xr:uid="{06E4A920-AF3F-4A55-9B9C-0369BCD84BBD}"/>
    <cellStyle name="Normal 2 4 3 3 6 4" xfId="10162" xr:uid="{DB2E7129-68B2-4EDF-8472-1EAC8C7633E5}"/>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454ACB98-F764-4367-8B25-EACD60428EFA}"/>
    <cellStyle name="Normal 2 4 3 3 7 2 3" xfId="12720" xr:uid="{CB3AB69D-0910-48DD-9405-42720A5642BC}"/>
    <cellStyle name="Normal 2 4 3 3 7 3" xfId="6343" xr:uid="{00000000-0005-0000-0000-00001C100000}"/>
    <cellStyle name="Normal 2 4 3 3 7 3 2" xfId="14793" xr:uid="{05414224-3ED8-416D-ABC9-A08A807E4D84}"/>
    <cellStyle name="Normal 2 4 3 3 7 4" xfId="10575" xr:uid="{5F859B47-DB30-4F39-9B02-D50AF7F52889}"/>
    <cellStyle name="Normal 2 4 3 3 8" xfId="2473" xr:uid="{00000000-0005-0000-0000-00001D100000}"/>
    <cellStyle name="Normal 2 4 3 3 8 2" xfId="6756" xr:uid="{00000000-0005-0000-0000-00001E100000}"/>
    <cellStyle name="Normal 2 4 3 3 8 2 2" xfId="15206" xr:uid="{9F8FE07E-DEB2-4E42-B8AE-C4A443B71A20}"/>
    <cellStyle name="Normal 2 4 3 3 8 3" xfId="10988" xr:uid="{B339144B-FD30-4110-9DCF-228CF9FDA8E3}"/>
    <cellStyle name="Normal 2 4 3 3 9" xfId="4690" xr:uid="{00000000-0005-0000-0000-00001F100000}"/>
    <cellStyle name="Normal 2 4 3 3 9 2" xfId="13140" xr:uid="{E4E147F9-A337-4338-9D55-18741201EAFC}"/>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991856B7-E8EE-4B20-9A5A-7411B863AB43}"/>
    <cellStyle name="Normal 2 4 3 4 2 3" xfId="11480" xr:uid="{5E333BA8-BBCE-4C21-BBCA-B6AC1B06A584}"/>
    <cellStyle name="Normal 2 4 3 4 3" xfId="5103" xr:uid="{00000000-0005-0000-0000-000023100000}"/>
    <cellStyle name="Normal 2 4 3 4 3 2" xfId="13553" xr:uid="{9E9A6F28-0CFD-43DE-AECF-4C269655E849}"/>
    <cellStyle name="Normal 2 4 3 4 4" xfId="9335" xr:uid="{A92D56E5-B2D4-4410-BCAF-3659AA91DCFC}"/>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55F91002-9B06-4382-962E-17A516FC7FAE}"/>
    <cellStyle name="Normal 2 4 3 5 2 3" xfId="11893" xr:uid="{615BE1AA-BA50-4021-BCE7-0995C3222C5F}"/>
    <cellStyle name="Normal 2 4 3 5 3" xfId="5516" xr:uid="{00000000-0005-0000-0000-000027100000}"/>
    <cellStyle name="Normal 2 4 3 5 3 2" xfId="13966" xr:uid="{D68B7533-4D7B-4449-9EFA-FFC359B3F96C}"/>
    <cellStyle name="Normal 2 4 3 5 4" xfId="9748" xr:uid="{9C327098-3DED-45E5-888F-986A2780040B}"/>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C8D542FB-A4CD-4147-9DF6-5F9D10073039}"/>
    <cellStyle name="Normal 2 4 3 6 2 3" xfId="12306" xr:uid="{69A5E235-E040-43A0-B7EA-2CE99290A8BB}"/>
    <cellStyle name="Normal 2 4 3 6 3" xfId="5929" xr:uid="{00000000-0005-0000-0000-00002B100000}"/>
    <cellStyle name="Normal 2 4 3 6 3 2" xfId="14379" xr:uid="{A40B820C-BC95-487C-BD9A-6CA67211A482}"/>
    <cellStyle name="Normal 2 4 3 6 4" xfId="10161" xr:uid="{59D817A2-7C12-41AA-A14E-D86A8708A4B3}"/>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B9006DE3-7B84-4F96-AE53-4D561ED24D04}"/>
    <cellStyle name="Normal 2 4 3 7 2 3" xfId="12719" xr:uid="{DC389A0A-BBBF-4A98-9037-EC5B40E1F57A}"/>
    <cellStyle name="Normal 2 4 3 7 3" xfId="6342" xr:uid="{00000000-0005-0000-0000-00002F100000}"/>
    <cellStyle name="Normal 2 4 3 7 3 2" xfId="14792" xr:uid="{83442EE1-E45D-4C40-B32A-347E404B86D0}"/>
    <cellStyle name="Normal 2 4 3 7 4" xfId="10574" xr:uid="{FFEDC9E2-3DCA-4034-A2E5-7D69B99B3E0B}"/>
    <cellStyle name="Normal 2 4 3 8" xfId="2472" xr:uid="{00000000-0005-0000-0000-000030100000}"/>
    <cellStyle name="Normal 2 4 3 8 2" xfId="6755" xr:uid="{00000000-0005-0000-0000-000031100000}"/>
    <cellStyle name="Normal 2 4 3 8 2 2" xfId="15205" xr:uid="{2018CADF-0C61-4483-83C9-A4ED6C886477}"/>
    <cellStyle name="Normal 2 4 3 8 3" xfId="10987" xr:uid="{15BECD9C-137E-432B-8E20-F7358923DBAC}"/>
    <cellStyle name="Normal 2 4 3 9" xfId="4689" xr:uid="{00000000-0005-0000-0000-000032100000}"/>
    <cellStyle name="Normal 2 4 3 9 2" xfId="13139" xr:uid="{972DFD28-EF16-41A7-92B6-FEBDA0FD10D9}"/>
    <cellStyle name="Normal 2 4 4" xfId="302" xr:uid="{00000000-0005-0000-0000-000033100000}"/>
    <cellStyle name="Normal 2 4 5" xfId="303" xr:uid="{00000000-0005-0000-0000-000034100000}"/>
    <cellStyle name="Normal 2 4 5 10" xfId="4694" xr:uid="{00000000-0005-0000-0000-000035100000}"/>
    <cellStyle name="Normal 2 4 5 10 2" xfId="13144" xr:uid="{973FBF64-03F2-4B2B-BF86-64C07BE813F0}"/>
    <cellStyle name="Normal 2 4 5 11" xfId="8926" xr:uid="{F3D8E808-ED96-453D-A485-065A0931A7BF}"/>
    <cellStyle name="Normal 2 4 5 2" xfId="304" xr:uid="{00000000-0005-0000-0000-000036100000}"/>
    <cellStyle name="Normal 2 4 5 2 10" xfId="8927" xr:uid="{194AB91E-C9EB-45C6-8C6B-C7AC761C9F0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E15A0EEC-A879-4CEB-AC17-0D23B8591A8A}"/>
    <cellStyle name="Normal 2 4 5 2 2 2 2 2 3" xfId="11488" xr:uid="{15FC3E78-057C-48F3-9C1C-DCB247EE58BD}"/>
    <cellStyle name="Normal 2 4 5 2 2 2 2 3" xfId="5111" xr:uid="{00000000-0005-0000-0000-00003C100000}"/>
    <cellStyle name="Normal 2 4 5 2 2 2 2 3 2" xfId="13561" xr:uid="{0C0B9DBB-74D3-4983-825B-985E6CB4FD6F}"/>
    <cellStyle name="Normal 2 4 5 2 2 2 2 4" xfId="9343" xr:uid="{F90D307D-C106-423F-87D9-65FBD5110136}"/>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8AD26389-CE1E-4EF0-942C-FEB8F8A773E6}"/>
    <cellStyle name="Normal 2 4 5 2 2 2 3 2 3" xfId="11901" xr:uid="{D15B46C6-4ADE-430F-A59D-C5F27A321F41}"/>
    <cellStyle name="Normal 2 4 5 2 2 2 3 3" xfId="5524" xr:uid="{00000000-0005-0000-0000-000040100000}"/>
    <cellStyle name="Normal 2 4 5 2 2 2 3 3 2" xfId="13974" xr:uid="{7F558EEF-4C93-4A8C-9E5E-4A3A73318A6E}"/>
    <cellStyle name="Normal 2 4 5 2 2 2 3 4" xfId="9756" xr:uid="{04A531C5-9C9D-42B6-8800-EE78547A8AE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8A263A93-2B0D-4D91-B29A-AC79E67877CF}"/>
    <cellStyle name="Normal 2 4 5 2 2 2 4 2 3" xfId="12314" xr:uid="{64D1D5CE-4C22-4E49-80DE-ED67D95A40C3}"/>
    <cellStyle name="Normal 2 4 5 2 2 2 4 3" xfId="5937" xr:uid="{00000000-0005-0000-0000-000044100000}"/>
    <cellStyle name="Normal 2 4 5 2 2 2 4 3 2" xfId="14387" xr:uid="{35CB8FEB-BCD3-471E-A485-637A098AC1FC}"/>
    <cellStyle name="Normal 2 4 5 2 2 2 4 4" xfId="10169" xr:uid="{C5179F00-D2BC-4DFB-8C81-2B487B6F7EB9}"/>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C82E257B-EDE2-4B56-9CD8-69B6BCD513A4}"/>
    <cellStyle name="Normal 2 4 5 2 2 2 5 2 3" xfId="12727" xr:uid="{52F4E55C-EAAA-4E82-AB67-C0BFB956BC2B}"/>
    <cellStyle name="Normal 2 4 5 2 2 2 5 3" xfId="6350" xr:uid="{00000000-0005-0000-0000-000048100000}"/>
    <cellStyle name="Normal 2 4 5 2 2 2 5 3 2" xfId="14800" xr:uid="{B744D875-1C1A-4D46-B846-0616AFED0F1B}"/>
    <cellStyle name="Normal 2 4 5 2 2 2 5 4" xfId="10582" xr:uid="{40F9E106-1BCF-4F6A-B30C-F1DB98366262}"/>
    <cellStyle name="Normal 2 4 5 2 2 2 6" xfId="2480" xr:uid="{00000000-0005-0000-0000-000049100000}"/>
    <cellStyle name="Normal 2 4 5 2 2 2 6 2" xfId="6763" xr:uid="{00000000-0005-0000-0000-00004A100000}"/>
    <cellStyle name="Normal 2 4 5 2 2 2 6 2 2" xfId="15213" xr:uid="{BE8ADA67-C78D-482E-9E2A-00B5C4C88E42}"/>
    <cellStyle name="Normal 2 4 5 2 2 2 6 3" xfId="10995" xr:uid="{F1DC10D7-1837-4172-AD90-5BFDF132EFD9}"/>
    <cellStyle name="Normal 2 4 5 2 2 2 7" xfId="4697" xr:uid="{00000000-0005-0000-0000-00004B100000}"/>
    <cellStyle name="Normal 2 4 5 2 2 2 7 2" xfId="13147" xr:uid="{CD34CACC-2E3A-4A06-A422-7B9006D6CD2E}"/>
    <cellStyle name="Normal 2 4 5 2 2 2 8" xfId="8929" xr:uid="{2B6EE7A5-982B-4B20-A066-8D1AE3E44121}"/>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4C7970C9-B974-445B-9AD3-75BB88426112}"/>
    <cellStyle name="Normal 2 4 5 2 2 3 2 3" xfId="11487" xr:uid="{00909149-ADA7-4C63-A3C6-D89F117A9A72}"/>
    <cellStyle name="Normal 2 4 5 2 2 3 3" xfId="5110" xr:uid="{00000000-0005-0000-0000-00004F100000}"/>
    <cellStyle name="Normal 2 4 5 2 2 3 3 2" xfId="13560" xr:uid="{6E7EA81B-5F0B-4F76-8181-2EFFC99BDF3F}"/>
    <cellStyle name="Normal 2 4 5 2 2 3 4" xfId="9342" xr:uid="{8D6E2137-5754-444F-B424-380262708C37}"/>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9B567625-A9BF-4462-94F4-9DB293A21969}"/>
    <cellStyle name="Normal 2 4 5 2 2 4 2 3" xfId="11900" xr:uid="{D0C7A423-5C17-439E-A4EF-74B64FA384D2}"/>
    <cellStyle name="Normal 2 4 5 2 2 4 3" xfId="5523" xr:uid="{00000000-0005-0000-0000-000053100000}"/>
    <cellStyle name="Normal 2 4 5 2 2 4 3 2" xfId="13973" xr:uid="{DBDF8E3A-8942-499F-AC8E-36045852F41C}"/>
    <cellStyle name="Normal 2 4 5 2 2 4 4" xfId="9755" xr:uid="{68E75AF1-04BE-4C5B-BE76-58897696150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9212D3EE-B9B4-477D-9BFF-69E08EEBB669}"/>
    <cellStyle name="Normal 2 4 5 2 2 5 2 3" xfId="12313" xr:uid="{3EF39073-3736-4491-8084-0086D4CF0138}"/>
    <cellStyle name="Normal 2 4 5 2 2 5 3" xfId="5936" xr:uid="{00000000-0005-0000-0000-000057100000}"/>
    <cellStyle name="Normal 2 4 5 2 2 5 3 2" xfId="14386" xr:uid="{552A6F0C-030A-4F04-BE11-4F50C314259E}"/>
    <cellStyle name="Normal 2 4 5 2 2 5 4" xfId="10168" xr:uid="{9E9978C2-E2A5-40C4-8289-9642C8D7AF66}"/>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B2C4C27B-D42E-4593-BC68-A8EC4E88323A}"/>
    <cellStyle name="Normal 2 4 5 2 2 6 2 3" xfId="12726" xr:uid="{0FE73165-3334-4533-A8DA-BBB625CD279B}"/>
    <cellStyle name="Normal 2 4 5 2 2 6 3" xfId="6349" xr:uid="{00000000-0005-0000-0000-00005B100000}"/>
    <cellStyle name="Normal 2 4 5 2 2 6 3 2" xfId="14799" xr:uid="{99D4E31A-0BC8-46DB-AE2C-717D00752B58}"/>
    <cellStyle name="Normal 2 4 5 2 2 6 4" xfId="10581" xr:uid="{49BF9884-F21D-45E0-ADD3-21939BB794EE}"/>
    <cellStyle name="Normal 2 4 5 2 2 7" xfId="2479" xr:uid="{00000000-0005-0000-0000-00005C100000}"/>
    <cellStyle name="Normal 2 4 5 2 2 7 2" xfId="6762" xr:uid="{00000000-0005-0000-0000-00005D100000}"/>
    <cellStyle name="Normal 2 4 5 2 2 7 2 2" xfId="15212" xr:uid="{B821C09A-9937-43A8-AF4B-6B9C7C4909F7}"/>
    <cellStyle name="Normal 2 4 5 2 2 7 3" xfId="10994" xr:uid="{32391A76-0ADA-4B8B-994A-6F320B073D2E}"/>
    <cellStyle name="Normal 2 4 5 2 2 8" xfId="4696" xr:uid="{00000000-0005-0000-0000-00005E100000}"/>
    <cellStyle name="Normal 2 4 5 2 2 8 2" xfId="13146" xr:uid="{3D99A8B3-DFA3-46EA-92EF-70320F90CC69}"/>
    <cellStyle name="Normal 2 4 5 2 2 9" xfId="8928" xr:uid="{5CB4769C-892C-4C86-9579-0B2828DEDF61}"/>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8A4FF539-CC5A-46F0-A621-A802DF8BE2F2}"/>
    <cellStyle name="Normal 2 4 5 2 3 2 2 3" xfId="11489" xr:uid="{AF03E4B3-AE6F-4A40-885A-8778460D7092}"/>
    <cellStyle name="Normal 2 4 5 2 3 2 3" xfId="5112" xr:uid="{00000000-0005-0000-0000-000063100000}"/>
    <cellStyle name="Normal 2 4 5 2 3 2 3 2" xfId="13562" xr:uid="{DE16AA3F-936B-4DC2-A9FF-9082352FFFA9}"/>
    <cellStyle name="Normal 2 4 5 2 3 2 4" xfId="9344" xr:uid="{5125D5DE-F1F2-4E52-A74F-F69CCEE2747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B4B780C6-805C-4F7C-9D3F-3463751BE02D}"/>
    <cellStyle name="Normal 2 4 5 2 3 3 2 3" xfId="11902" xr:uid="{FC37EF57-6FD1-4137-95C6-BC572782E963}"/>
    <cellStyle name="Normal 2 4 5 2 3 3 3" xfId="5525" xr:uid="{00000000-0005-0000-0000-000067100000}"/>
    <cellStyle name="Normal 2 4 5 2 3 3 3 2" xfId="13975" xr:uid="{7DBDD170-FC88-4836-BB03-6A76B5F23EFC}"/>
    <cellStyle name="Normal 2 4 5 2 3 3 4" xfId="9757" xr:uid="{B9A5CD02-F240-43E7-8F01-144F10165EC7}"/>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55AA68D7-F46B-4529-9710-B0264F695635}"/>
    <cellStyle name="Normal 2 4 5 2 3 4 2 3" xfId="12315" xr:uid="{6DF4080D-2496-4173-85E0-6DF4D54A7685}"/>
    <cellStyle name="Normal 2 4 5 2 3 4 3" xfId="5938" xr:uid="{00000000-0005-0000-0000-00006B100000}"/>
    <cellStyle name="Normal 2 4 5 2 3 4 3 2" xfId="14388" xr:uid="{47C72F46-445A-46DC-B9CA-ABA34DE95397}"/>
    <cellStyle name="Normal 2 4 5 2 3 4 4" xfId="10170" xr:uid="{291349A3-2F24-4895-BEA1-C02D85BBD8D2}"/>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5A96DF17-DDA9-442D-B3AA-F4E665004AE3}"/>
    <cellStyle name="Normal 2 4 5 2 3 5 2 3" xfId="12728" xr:uid="{881AE901-B435-4ACE-9BBF-92DD8B7999FE}"/>
    <cellStyle name="Normal 2 4 5 2 3 5 3" xfId="6351" xr:uid="{00000000-0005-0000-0000-00006F100000}"/>
    <cellStyle name="Normal 2 4 5 2 3 5 3 2" xfId="14801" xr:uid="{366D1FE9-EF6D-429E-9A02-339031BC07F7}"/>
    <cellStyle name="Normal 2 4 5 2 3 5 4" xfId="10583" xr:uid="{29F605C2-1B57-4BB2-B7B9-1ACEBCE88CD9}"/>
    <cellStyle name="Normal 2 4 5 2 3 6" xfId="2481" xr:uid="{00000000-0005-0000-0000-000070100000}"/>
    <cellStyle name="Normal 2 4 5 2 3 6 2" xfId="6764" xr:uid="{00000000-0005-0000-0000-000071100000}"/>
    <cellStyle name="Normal 2 4 5 2 3 6 2 2" xfId="15214" xr:uid="{6C372B07-40F7-45EE-84F4-31A3E070D53E}"/>
    <cellStyle name="Normal 2 4 5 2 3 6 3" xfId="10996" xr:uid="{21E64748-59A3-48A9-BA2E-47E16BAEFD92}"/>
    <cellStyle name="Normal 2 4 5 2 3 7" xfId="4698" xr:uid="{00000000-0005-0000-0000-000072100000}"/>
    <cellStyle name="Normal 2 4 5 2 3 7 2" xfId="13148" xr:uid="{F309B082-59DD-45E8-9ACF-94266F0272B6}"/>
    <cellStyle name="Normal 2 4 5 2 3 8" xfId="8930" xr:uid="{A3FDCA80-EEC7-4BB0-9E12-A0C48F48590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F93D9F19-8984-4DAC-9220-9615ABDB5C26}"/>
    <cellStyle name="Normal 2 4 5 2 4 2 3" xfId="11486" xr:uid="{73DF6D2A-33CA-4CF0-A1A4-7E820CF47F9E}"/>
    <cellStyle name="Normal 2 4 5 2 4 3" xfId="5109" xr:uid="{00000000-0005-0000-0000-000076100000}"/>
    <cellStyle name="Normal 2 4 5 2 4 3 2" xfId="13559" xr:uid="{C58A34B9-774B-461E-8235-5222C17D7C5F}"/>
    <cellStyle name="Normal 2 4 5 2 4 4" xfId="9341" xr:uid="{26E62B10-BB3B-4B27-BE32-B0105D711F7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E67AA9B5-B38A-46BA-9058-88A3F058F255}"/>
    <cellStyle name="Normal 2 4 5 2 5 2 3" xfId="11899" xr:uid="{9288B410-4CB8-4F23-9525-E27671F5CB23}"/>
    <cellStyle name="Normal 2 4 5 2 5 3" xfId="5522" xr:uid="{00000000-0005-0000-0000-00007A100000}"/>
    <cellStyle name="Normal 2 4 5 2 5 3 2" xfId="13972" xr:uid="{A01615D8-F474-45B4-AE46-CF5832346990}"/>
    <cellStyle name="Normal 2 4 5 2 5 4" xfId="9754" xr:uid="{4691E812-AD07-4EA4-B757-AE079D99349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34BA387E-EBC3-4E8C-A53A-56F8FCF7711A}"/>
    <cellStyle name="Normal 2 4 5 2 6 2 3" xfId="12312" xr:uid="{CA4D3CC6-160B-4043-BEC3-04909AD01415}"/>
    <cellStyle name="Normal 2 4 5 2 6 3" xfId="5935" xr:uid="{00000000-0005-0000-0000-00007E100000}"/>
    <cellStyle name="Normal 2 4 5 2 6 3 2" xfId="14385" xr:uid="{F9BF422D-D23E-44EB-BDFD-5031D75735EC}"/>
    <cellStyle name="Normal 2 4 5 2 6 4" xfId="10167" xr:uid="{A7280480-31EB-4A04-9498-01FF6957E12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D20FDE4D-72AA-4885-AB2C-4D928D63EDAE}"/>
    <cellStyle name="Normal 2 4 5 2 7 2 3" xfId="12725" xr:uid="{AB890702-60F7-48F4-8074-920349E092A2}"/>
    <cellStyle name="Normal 2 4 5 2 7 3" xfId="6348" xr:uid="{00000000-0005-0000-0000-000082100000}"/>
    <cellStyle name="Normal 2 4 5 2 7 3 2" xfId="14798" xr:uid="{45304D7C-581D-40DE-ACFB-761AB43CF438}"/>
    <cellStyle name="Normal 2 4 5 2 7 4" xfId="10580" xr:uid="{D9B9834A-06CB-48D7-B994-185564102D8B}"/>
    <cellStyle name="Normal 2 4 5 2 8" xfId="2478" xr:uid="{00000000-0005-0000-0000-000083100000}"/>
    <cellStyle name="Normal 2 4 5 2 8 2" xfId="6761" xr:uid="{00000000-0005-0000-0000-000084100000}"/>
    <cellStyle name="Normal 2 4 5 2 8 2 2" xfId="15211" xr:uid="{82AD6E8C-2349-4800-A3C1-86B0025050A3}"/>
    <cellStyle name="Normal 2 4 5 2 8 3" xfId="10993" xr:uid="{7A2250F5-4D3D-4003-B404-013AFCB8B9E1}"/>
    <cellStyle name="Normal 2 4 5 2 9" xfId="4695" xr:uid="{00000000-0005-0000-0000-000085100000}"/>
    <cellStyle name="Normal 2 4 5 2 9 2" xfId="13145" xr:uid="{7581BAFB-19A6-4C82-9596-BAFF57ABF5AB}"/>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109664FD-D7CF-4A37-ADAC-4FE0FE493827}"/>
    <cellStyle name="Normal 2 4 5 3 2 2 2 3" xfId="11491" xr:uid="{12D627AD-372F-4807-8440-691626475884}"/>
    <cellStyle name="Normal 2 4 5 3 2 2 3" xfId="5114" xr:uid="{00000000-0005-0000-0000-00008B100000}"/>
    <cellStyle name="Normal 2 4 5 3 2 2 3 2" xfId="13564" xr:uid="{EC9C196D-32A3-4F43-80E5-9A40598DB0B8}"/>
    <cellStyle name="Normal 2 4 5 3 2 2 4" xfId="9346" xr:uid="{4E2DB54B-CD2B-43DD-BB0C-D6A97BF396C1}"/>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BB7DD902-6636-4E81-9BE0-7F3D0D8BFAA3}"/>
    <cellStyle name="Normal 2 4 5 3 2 3 2 3" xfId="11904" xr:uid="{7ABA2CA8-AAEE-4111-8243-6E99AA920FB8}"/>
    <cellStyle name="Normal 2 4 5 3 2 3 3" xfId="5527" xr:uid="{00000000-0005-0000-0000-00008F100000}"/>
    <cellStyle name="Normal 2 4 5 3 2 3 3 2" xfId="13977" xr:uid="{9662112A-51E6-4211-BF91-5625A39D4A21}"/>
    <cellStyle name="Normal 2 4 5 3 2 3 4" xfId="9759" xr:uid="{F5A78D14-4722-4472-A2DD-B930315559BF}"/>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49B54560-18D9-4A68-AE02-CCFDF0B69969}"/>
    <cellStyle name="Normal 2 4 5 3 2 4 2 3" xfId="12317" xr:uid="{C5C83B88-1469-4510-9D5A-A7D561AC53BD}"/>
    <cellStyle name="Normal 2 4 5 3 2 4 3" xfId="5940" xr:uid="{00000000-0005-0000-0000-000093100000}"/>
    <cellStyle name="Normal 2 4 5 3 2 4 3 2" xfId="14390" xr:uid="{48563C4C-BDFE-448B-8354-ECB8788C2C21}"/>
    <cellStyle name="Normal 2 4 5 3 2 4 4" xfId="10172" xr:uid="{F1664BC9-1E52-41B6-BE26-F150AA6416C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97FF517E-B8D9-4DE2-BE2A-05FD98F934E8}"/>
    <cellStyle name="Normal 2 4 5 3 2 5 2 3" xfId="12730" xr:uid="{C1F9D4BC-FE9C-417B-A3A6-B4261037D276}"/>
    <cellStyle name="Normal 2 4 5 3 2 5 3" xfId="6353" xr:uid="{00000000-0005-0000-0000-000097100000}"/>
    <cellStyle name="Normal 2 4 5 3 2 5 3 2" xfId="14803" xr:uid="{161BE80A-1BF8-4A7C-8CFA-AAFC8013EA2A}"/>
    <cellStyle name="Normal 2 4 5 3 2 5 4" xfId="10585" xr:uid="{29F044DD-698E-4F14-A88B-0DBC6A92A4A9}"/>
    <cellStyle name="Normal 2 4 5 3 2 6" xfId="2483" xr:uid="{00000000-0005-0000-0000-000098100000}"/>
    <cellStyle name="Normal 2 4 5 3 2 6 2" xfId="6766" xr:uid="{00000000-0005-0000-0000-000099100000}"/>
    <cellStyle name="Normal 2 4 5 3 2 6 2 2" xfId="15216" xr:uid="{FF92CA84-4B66-4C40-A425-5FE9801DA917}"/>
    <cellStyle name="Normal 2 4 5 3 2 6 3" xfId="10998" xr:uid="{25EE2A89-C530-46EC-AE0D-72DC05EE264E}"/>
    <cellStyle name="Normal 2 4 5 3 2 7" xfId="4700" xr:uid="{00000000-0005-0000-0000-00009A100000}"/>
    <cellStyle name="Normal 2 4 5 3 2 7 2" xfId="13150" xr:uid="{62BD6AEA-15B5-4F9C-9913-3A87E1A9F15B}"/>
    <cellStyle name="Normal 2 4 5 3 2 8" xfId="8932" xr:uid="{CF23F7C8-4EA0-4715-BDCA-DAF2170940F2}"/>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42A2F6EF-AAA8-4E8C-B13D-0DBB34239757}"/>
    <cellStyle name="Normal 2 4 5 3 3 2 3" xfId="11490" xr:uid="{9339BD0D-5DF1-40DE-8B45-041A2BA60FEC}"/>
    <cellStyle name="Normal 2 4 5 3 3 3" xfId="5113" xr:uid="{00000000-0005-0000-0000-00009E100000}"/>
    <cellStyle name="Normal 2 4 5 3 3 3 2" xfId="13563" xr:uid="{A23DB2A5-6D30-4BAD-ADA8-07C5AEC449BA}"/>
    <cellStyle name="Normal 2 4 5 3 3 4" xfId="9345" xr:uid="{0F89A8CA-2BBC-4922-A811-52BE42EAF5D3}"/>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037601A4-C864-4F9E-B1CA-A3DC60807352}"/>
    <cellStyle name="Normal 2 4 5 3 4 2 3" xfId="11903" xr:uid="{A426F247-3878-4509-A349-6B56CC7BF215}"/>
    <cellStyle name="Normal 2 4 5 3 4 3" xfId="5526" xr:uid="{00000000-0005-0000-0000-0000A2100000}"/>
    <cellStyle name="Normal 2 4 5 3 4 3 2" xfId="13976" xr:uid="{A8E7CA22-6B0F-47CD-8AEA-4E8DA643514C}"/>
    <cellStyle name="Normal 2 4 5 3 4 4" xfId="9758" xr:uid="{A2E874A2-295F-4D17-86C5-2AEDFD934998}"/>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8B035DE2-8A61-4FA9-B25C-D8232CB7F8C2}"/>
    <cellStyle name="Normal 2 4 5 3 5 2 3" xfId="12316" xr:uid="{06328666-AE74-4D76-987D-C3103730CBB0}"/>
    <cellStyle name="Normal 2 4 5 3 5 3" xfId="5939" xr:uid="{00000000-0005-0000-0000-0000A6100000}"/>
    <cellStyle name="Normal 2 4 5 3 5 3 2" xfId="14389" xr:uid="{052EF553-C67C-4CC3-A617-4852A84DB693}"/>
    <cellStyle name="Normal 2 4 5 3 5 4" xfId="10171" xr:uid="{49337DE0-4362-41CE-BC2D-9CBA4779E933}"/>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92755C53-0E82-4980-9AC6-A983203476BC}"/>
    <cellStyle name="Normal 2 4 5 3 6 2 3" xfId="12729" xr:uid="{C9DE58EB-240A-480A-9FB5-E1EF00FA238F}"/>
    <cellStyle name="Normal 2 4 5 3 6 3" xfId="6352" xr:uid="{00000000-0005-0000-0000-0000AA100000}"/>
    <cellStyle name="Normal 2 4 5 3 6 3 2" xfId="14802" xr:uid="{4AFEBE08-2AFF-4D95-98D7-125A50D269FD}"/>
    <cellStyle name="Normal 2 4 5 3 6 4" xfId="10584" xr:uid="{5998B3F2-597F-4B6D-8E0A-3C3D6BAAE9D3}"/>
    <cellStyle name="Normal 2 4 5 3 7" xfId="2482" xr:uid="{00000000-0005-0000-0000-0000AB100000}"/>
    <cellStyle name="Normal 2 4 5 3 7 2" xfId="6765" xr:uid="{00000000-0005-0000-0000-0000AC100000}"/>
    <cellStyle name="Normal 2 4 5 3 7 2 2" xfId="15215" xr:uid="{71D772B2-2383-46D2-B5C8-8C0019F080A7}"/>
    <cellStyle name="Normal 2 4 5 3 7 3" xfId="10997" xr:uid="{DB7899A9-C2AF-4A51-A7A3-BC2E7C58E6FB}"/>
    <cellStyle name="Normal 2 4 5 3 8" xfId="4699" xr:uid="{00000000-0005-0000-0000-0000AD100000}"/>
    <cellStyle name="Normal 2 4 5 3 8 2" xfId="13149" xr:uid="{90BD5D31-49EB-4EB2-9098-2040BF3ECBB1}"/>
    <cellStyle name="Normal 2 4 5 3 9" xfId="8931" xr:uid="{5A6AEF7B-6614-4271-A9F8-E1139062BE4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7B4AE558-098A-4F76-9C57-754AC257BEAF}"/>
    <cellStyle name="Normal 2 4 5 4 2 2 3" xfId="11492" xr:uid="{4042E560-FEA5-4482-A158-33A6FDF3DAE3}"/>
    <cellStyle name="Normal 2 4 5 4 2 3" xfId="5115" xr:uid="{00000000-0005-0000-0000-0000B2100000}"/>
    <cellStyle name="Normal 2 4 5 4 2 3 2" xfId="13565" xr:uid="{E5452B9A-B298-44D4-A0CE-A3BA3E57A2EA}"/>
    <cellStyle name="Normal 2 4 5 4 2 4" xfId="9347" xr:uid="{B2287AA6-566A-44D6-BEA6-4F50E76173A3}"/>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EF9B34FF-79AC-45F3-B98F-502B23416D3C}"/>
    <cellStyle name="Normal 2 4 5 4 3 2 3" xfId="11905" xr:uid="{3A363F6B-09B0-4D3D-A53A-0F962DCB1653}"/>
    <cellStyle name="Normal 2 4 5 4 3 3" xfId="5528" xr:uid="{00000000-0005-0000-0000-0000B6100000}"/>
    <cellStyle name="Normal 2 4 5 4 3 3 2" xfId="13978" xr:uid="{9CBF8BB5-BF15-4DE2-BC6D-4E459FFF2A49}"/>
    <cellStyle name="Normal 2 4 5 4 3 4" xfId="9760" xr:uid="{F4D9AEC7-13BE-4703-9D88-D9E76C0E678B}"/>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5F897557-82F3-4717-8319-856B5B75A141}"/>
    <cellStyle name="Normal 2 4 5 4 4 2 3" xfId="12318" xr:uid="{35105FFF-3036-48AD-AA7C-D63A723C571F}"/>
    <cellStyle name="Normal 2 4 5 4 4 3" xfId="5941" xr:uid="{00000000-0005-0000-0000-0000BA100000}"/>
    <cellStyle name="Normal 2 4 5 4 4 3 2" xfId="14391" xr:uid="{F8F03D28-47E6-41F0-AC0C-B246C6452930}"/>
    <cellStyle name="Normal 2 4 5 4 4 4" xfId="10173" xr:uid="{F06E230A-6E86-4827-B2A5-53B3F9BBA8A4}"/>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9946EE44-C942-4C86-A0CD-DF6299944AE8}"/>
    <cellStyle name="Normal 2 4 5 4 5 2 3" xfId="12731" xr:uid="{9B2D1008-DD98-4008-8E14-877D2714640D}"/>
    <cellStyle name="Normal 2 4 5 4 5 3" xfId="6354" xr:uid="{00000000-0005-0000-0000-0000BE100000}"/>
    <cellStyle name="Normal 2 4 5 4 5 3 2" xfId="14804" xr:uid="{EDE85DA1-1B92-4948-BE25-0120DD7D720A}"/>
    <cellStyle name="Normal 2 4 5 4 5 4" xfId="10586" xr:uid="{88C231FA-4B8B-4616-92EB-2A800C7EC4E6}"/>
    <cellStyle name="Normal 2 4 5 4 6" xfId="2484" xr:uid="{00000000-0005-0000-0000-0000BF100000}"/>
    <cellStyle name="Normal 2 4 5 4 6 2" xfId="6767" xr:uid="{00000000-0005-0000-0000-0000C0100000}"/>
    <cellStyle name="Normal 2 4 5 4 6 2 2" xfId="15217" xr:uid="{B56DFF67-D4A1-4796-8C85-D0C52E63BA8B}"/>
    <cellStyle name="Normal 2 4 5 4 6 3" xfId="10999" xr:uid="{C5E1578C-B1CD-4310-94B9-D05141E84FF1}"/>
    <cellStyle name="Normal 2 4 5 4 7" xfId="4701" xr:uid="{00000000-0005-0000-0000-0000C1100000}"/>
    <cellStyle name="Normal 2 4 5 4 7 2" xfId="13151" xr:uid="{66FC7CBC-9693-4373-A02C-8D72E3529B62}"/>
    <cellStyle name="Normal 2 4 5 4 8" xfId="8933" xr:uid="{7106564F-D256-4C98-8A01-09123586F721}"/>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9D0A1A85-E098-40DA-98DB-7B2207699388}"/>
    <cellStyle name="Normal 2 4 5 5 2 3" xfId="11485" xr:uid="{D5E53000-2AB4-43CB-B646-864612DFC32A}"/>
    <cellStyle name="Normal 2 4 5 5 3" xfId="5108" xr:uid="{00000000-0005-0000-0000-0000C5100000}"/>
    <cellStyle name="Normal 2 4 5 5 3 2" xfId="13558" xr:uid="{8FB916D7-60CF-43C2-8C5A-CD095992E53C}"/>
    <cellStyle name="Normal 2 4 5 5 4" xfId="9340" xr:uid="{C029FBD3-3840-49DA-B5EC-B6E2CECD2C83}"/>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815F00DF-CC09-4312-8B6C-B0D94A43126C}"/>
    <cellStyle name="Normal 2 4 5 6 2 3" xfId="11898" xr:uid="{8E37B88B-0A0A-4239-AA85-5F4E47EAC593}"/>
    <cellStyle name="Normal 2 4 5 6 3" xfId="5521" xr:uid="{00000000-0005-0000-0000-0000C9100000}"/>
    <cellStyle name="Normal 2 4 5 6 3 2" xfId="13971" xr:uid="{022E54F2-BC57-4BAB-A384-02F34E699F22}"/>
    <cellStyle name="Normal 2 4 5 6 4" xfId="9753" xr:uid="{A09A202F-069E-4A69-881A-A7528D013812}"/>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10301E2F-0F66-4C01-8676-D436F18AB30E}"/>
    <cellStyle name="Normal 2 4 5 7 2 3" xfId="12311" xr:uid="{D061C7C3-964F-4E5E-9A30-469F532C575E}"/>
    <cellStyle name="Normal 2 4 5 7 3" xfId="5934" xr:uid="{00000000-0005-0000-0000-0000CD100000}"/>
    <cellStyle name="Normal 2 4 5 7 3 2" xfId="14384" xr:uid="{66003B4E-B98A-4B07-A542-3490A47D798F}"/>
    <cellStyle name="Normal 2 4 5 7 4" xfId="10166" xr:uid="{4FE074CB-9638-4D3B-8FA3-6C386434024A}"/>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DA3781A1-5EA4-430E-BE09-D07BBC4480AC}"/>
    <cellStyle name="Normal 2 4 5 8 2 3" xfId="12724" xr:uid="{760E5599-F527-4562-8600-8854B16630A7}"/>
    <cellStyle name="Normal 2 4 5 8 3" xfId="6347" xr:uid="{00000000-0005-0000-0000-0000D1100000}"/>
    <cellStyle name="Normal 2 4 5 8 3 2" xfId="14797" xr:uid="{F1FB87A1-207B-4477-951C-3D0D1986FC30}"/>
    <cellStyle name="Normal 2 4 5 8 4" xfId="10579" xr:uid="{304CA74D-FC71-47FE-86B3-BC3A9E7A4936}"/>
    <cellStyle name="Normal 2 4 5 9" xfId="2477" xr:uid="{00000000-0005-0000-0000-0000D2100000}"/>
    <cellStyle name="Normal 2 4 5 9 2" xfId="6760" xr:uid="{00000000-0005-0000-0000-0000D3100000}"/>
    <cellStyle name="Normal 2 4 5 9 2 2" xfId="15210" xr:uid="{C3A2912B-17A5-44E2-9CA8-6DFBE57FC262}"/>
    <cellStyle name="Normal 2 4 5 9 3" xfId="10992" xr:uid="{0E3D3E5A-1B79-4A14-9F98-2357B430F64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F561B297-D364-48AE-ABA0-28A8F2754F3F}"/>
    <cellStyle name="Normal 2 4 7 2 2 2 3" xfId="11494" xr:uid="{01281E80-8E5F-4855-86E0-1910D8AE2447}"/>
    <cellStyle name="Normal 2 4 7 2 2 3" xfId="5117" xr:uid="{00000000-0005-0000-0000-0000DA100000}"/>
    <cellStyle name="Normal 2 4 7 2 2 3 2" xfId="13567" xr:uid="{03523E9F-6DC4-4606-ADEA-3678983EEB3E}"/>
    <cellStyle name="Normal 2 4 7 2 2 4" xfId="9349" xr:uid="{59CAA4EA-513E-4856-9058-2C5DB31F087C}"/>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6A361F34-1E17-4112-94E2-C2DD070B9086}"/>
    <cellStyle name="Normal 2 4 7 2 3 2 3" xfId="11907" xr:uid="{3C0EDE63-ED53-48FE-9FA0-C42428C4C708}"/>
    <cellStyle name="Normal 2 4 7 2 3 3" xfId="5530" xr:uid="{00000000-0005-0000-0000-0000DE100000}"/>
    <cellStyle name="Normal 2 4 7 2 3 3 2" xfId="13980" xr:uid="{87917BCD-79B1-40E0-875F-83D076965996}"/>
    <cellStyle name="Normal 2 4 7 2 3 4" xfId="9762" xr:uid="{4E80122A-6B6E-4449-80C6-784AAC16861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EECB0749-98A0-4900-AD61-5125B4B2D00F}"/>
    <cellStyle name="Normal 2 4 7 2 4 2 3" xfId="12320" xr:uid="{DC0D5B2B-1899-4085-814B-65BB7971224D}"/>
    <cellStyle name="Normal 2 4 7 2 4 3" xfId="5943" xr:uid="{00000000-0005-0000-0000-0000E2100000}"/>
    <cellStyle name="Normal 2 4 7 2 4 3 2" xfId="14393" xr:uid="{71B21CED-C04B-4338-A656-8C7E4EED5C0E}"/>
    <cellStyle name="Normal 2 4 7 2 4 4" xfId="10175" xr:uid="{A3FA61A4-12F2-4569-929C-BB2ABD335676}"/>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2E7BDA1E-A430-4E31-A366-EBF0D5FF8471}"/>
    <cellStyle name="Normal 2 4 7 2 5 2 3" xfId="12733" xr:uid="{CE949110-D813-4076-8FF9-7F16E39A3925}"/>
    <cellStyle name="Normal 2 4 7 2 5 3" xfId="6356" xr:uid="{00000000-0005-0000-0000-0000E6100000}"/>
    <cellStyle name="Normal 2 4 7 2 5 3 2" xfId="14806" xr:uid="{4A5BE91A-442C-43EA-913D-23BF1BBF756A}"/>
    <cellStyle name="Normal 2 4 7 2 5 4" xfId="10588" xr:uid="{B82A6261-31EB-4637-A960-5B4C1DE9A41A}"/>
    <cellStyle name="Normal 2 4 7 2 6" xfId="2486" xr:uid="{00000000-0005-0000-0000-0000E7100000}"/>
    <cellStyle name="Normal 2 4 7 2 6 2" xfId="6769" xr:uid="{00000000-0005-0000-0000-0000E8100000}"/>
    <cellStyle name="Normal 2 4 7 2 6 2 2" xfId="15219" xr:uid="{855F8992-2C1F-4088-924B-7B96FB0E7BDE}"/>
    <cellStyle name="Normal 2 4 7 2 6 3" xfId="11001" xr:uid="{156FA123-971A-42D2-A81D-36C83DC7FCB0}"/>
    <cellStyle name="Normal 2 4 7 2 7" xfId="4703" xr:uid="{00000000-0005-0000-0000-0000E9100000}"/>
    <cellStyle name="Normal 2 4 7 2 7 2" xfId="13153" xr:uid="{BA89BB7A-C072-4F59-B78A-0D7A797123F1}"/>
    <cellStyle name="Normal 2 4 7 2 8" xfId="8935" xr:uid="{3431D5D5-E456-473C-BB55-FDEDEFA02562}"/>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AD23F8FE-487C-4ADC-BBD9-9B6EBB13E3BE}"/>
    <cellStyle name="Normal 2 4 7 3 2 3" xfId="11493" xr:uid="{9B15BAB7-CB24-43F9-9543-B8C126882937}"/>
    <cellStyle name="Normal 2 4 7 3 3" xfId="5116" xr:uid="{00000000-0005-0000-0000-0000ED100000}"/>
    <cellStyle name="Normal 2 4 7 3 3 2" xfId="13566" xr:uid="{EFAA681A-C039-41ED-9E74-6A7CD4B55393}"/>
    <cellStyle name="Normal 2 4 7 3 4" xfId="9348" xr:uid="{5BE69893-684B-40DC-AA2D-FC7493F68C88}"/>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93424393-FBEB-417E-AE59-EFA383B561A8}"/>
    <cellStyle name="Normal 2 4 7 4 2 3" xfId="11906" xr:uid="{39A7BFE9-405C-423C-AA74-C9F08BD72427}"/>
    <cellStyle name="Normal 2 4 7 4 3" xfId="5529" xr:uid="{00000000-0005-0000-0000-0000F1100000}"/>
    <cellStyle name="Normal 2 4 7 4 3 2" xfId="13979" xr:uid="{2D237FC2-4C0A-46A0-B7B1-FE3F2674ADAB}"/>
    <cellStyle name="Normal 2 4 7 4 4" xfId="9761" xr:uid="{15CE3183-E7C6-4FB4-AB98-3C013793C651}"/>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D1048D9F-7221-4BBC-BBEF-D0233E7AE65A}"/>
    <cellStyle name="Normal 2 4 7 5 2 3" xfId="12319" xr:uid="{D29CEC13-B67E-41AF-ACC3-9C70700FDB61}"/>
    <cellStyle name="Normal 2 4 7 5 3" xfId="5942" xr:uid="{00000000-0005-0000-0000-0000F5100000}"/>
    <cellStyle name="Normal 2 4 7 5 3 2" xfId="14392" xr:uid="{EF313FA3-8439-424B-B336-8367A8297DFB}"/>
    <cellStyle name="Normal 2 4 7 5 4" xfId="10174" xr:uid="{4B7FA638-54BF-475D-97CF-94659D619007}"/>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4C71E786-C0E4-4C96-8E17-933A5E313115}"/>
    <cellStyle name="Normal 2 4 7 6 2 3" xfId="12732" xr:uid="{14F7F40A-ACD3-41AF-950B-535F9DEEBA15}"/>
    <cellStyle name="Normal 2 4 7 6 3" xfId="6355" xr:uid="{00000000-0005-0000-0000-0000F9100000}"/>
    <cellStyle name="Normal 2 4 7 6 3 2" xfId="14805" xr:uid="{76705672-AE99-4146-BE93-CB0ED5C8E6A3}"/>
    <cellStyle name="Normal 2 4 7 6 4" xfId="10587" xr:uid="{59DED27D-9231-4C55-8BFD-D90DA1EE66C9}"/>
    <cellStyle name="Normal 2 4 7 7" xfId="2485" xr:uid="{00000000-0005-0000-0000-0000FA100000}"/>
    <cellStyle name="Normal 2 4 7 7 2" xfId="6768" xr:uid="{00000000-0005-0000-0000-0000FB100000}"/>
    <cellStyle name="Normal 2 4 7 7 2 2" xfId="15218" xr:uid="{DFD89386-AF85-4A8F-A83D-1560726323A2}"/>
    <cellStyle name="Normal 2 4 7 7 3" xfId="11000" xr:uid="{42A03456-649A-4098-8F7F-EC10EA7865FA}"/>
    <cellStyle name="Normal 2 4 7 8" xfId="4702" xr:uid="{00000000-0005-0000-0000-0000FC100000}"/>
    <cellStyle name="Normal 2 4 7 8 2" xfId="13152" xr:uid="{505A1B04-6159-456A-A635-95B8579A0144}"/>
    <cellStyle name="Normal 2 4 7 9" xfId="8934" xr:uid="{EED07A65-F5D9-425F-9A2C-4C2BAB04AFD2}"/>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2723F823-4500-46D9-97AD-48AA8F7D5C5C}"/>
    <cellStyle name="Normal 2 4 8 2 2 3" xfId="11495" xr:uid="{DC671056-DB87-4A43-B8C2-01645B239C70}"/>
    <cellStyle name="Normal 2 4 8 2 3" xfId="5118" xr:uid="{00000000-0005-0000-0000-000001110000}"/>
    <cellStyle name="Normal 2 4 8 2 3 2" xfId="13568" xr:uid="{3A01E8F7-9212-4968-8564-E4BF8954062A}"/>
    <cellStyle name="Normal 2 4 8 2 4" xfId="9350" xr:uid="{88911AE6-F058-49B0-8AED-6A3CC730CC49}"/>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164E3681-712F-4C43-94C3-2FFDAE3C74C2}"/>
    <cellStyle name="Normal 2 4 8 3 2 3" xfId="11908" xr:uid="{395F9E60-426D-444B-96FF-BFB4CB4F7333}"/>
    <cellStyle name="Normal 2 4 8 3 3" xfId="5531" xr:uid="{00000000-0005-0000-0000-000005110000}"/>
    <cellStyle name="Normal 2 4 8 3 3 2" xfId="13981" xr:uid="{BD0315F7-46B9-4EBE-8EB5-349713401278}"/>
    <cellStyle name="Normal 2 4 8 3 4" xfId="9763" xr:uid="{7DB0EEBE-C12C-456E-A07A-6D5C438CED6D}"/>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C225CD28-9BB6-479E-A7D6-5949333927DA}"/>
    <cellStyle name="Normal 2 4 8 4 2 3" xfId="12321" xr:uid="{7AD545DE-C2B5-4F98-8FB5-995D47390D11}"/>
    <cellStyle name="Normal 2 4 8 4 3" xfId="5944" xr:uid="{00000000-0005-0000-0000-000009110000}"/>
    <cellStyle name="Normal 2 4 8 4 3 2" xfId="14394" xr:uid="{59111716-31D8-47B0-AC90-D7249908CC6D}"/>
    <cellStyle name="Normal 2 4 8 4 4" xfId="10176" xr:uid="{8C2D92E8-3BF0-4D67-9C6D-3580AF76E3CB}"/>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05C09007-D96E-4AE4-91C1-AC3FB7E66044}"/>
    <cellStyle name="Normal 2 4 8 5 2 3" xfId="12734" xr:uid="{911D8ECA-8C59-4CF2-8AA7-3923755B3991}"/>
    <cellStyle name="Normal 2 4 8 5 3" xfId="6357" xr:uid="{00000000-0005-0000-0000-00000D110000}"/>
    <cellStyle name="Normal 2 4 8 5 3 2" xfId="14807" xr:uid="{9E48D8A1-E4FD-4B28-8A34-14DD39C4614C}"/>
    <cellStyle name="Normal 2 4 8 5 4" xfId="10589" xr:uid="{E0124555-2808-458A-89FB-218FF41679CF}"/>
    <cellStyle name="Normal 2 4 8 6" xfId="2487" xr:uid="{00000000-0005-0000-0000-00000E110000}"/>
    <cellStyle name="Normal 2 4 8 6 2" xfId="6770" xr:uid="{00000000-0005-0000-0000-00000F110000}"/>
    <cellStyle name="Normal 2 4 8 6 2 2" xfId="15220" xr:uid="{F4B203BD-84CB-4231-A55A-B460496D380C}"/>
    <cellStyle name="Normal 2 4 8 6 3" xfId="11002" xr:uid="{B2F46EFA-60E9-4255-ABB5-A7C32617309E}"/>
    <cellStyle name="Normal 2 4 8 7" xfId="4704" xr:uid="{00000000-0005-0000-0000-000010110000}"/>
    <cellStyle name="Normal 2 4 8 7 2" xfId="13154" xr:uid="{7706926D-2CA8-4720-A701-6B9EA8DF456C}"/>
    <cellStyle name="Normal 2 4 8 8" xfId="8936" xr:uid="{1AD4D2BB-E90E-4D9A-8526-CCB0003878C5}"/>
    <cellStyle name="Normal 2 5" xfId="315" xr:uid="{00000000-0005-0000-0000-000011110000}"/>
    <cellStyle name="Normal 2 5 10" xfId="4705" xr:uid="{00000000-0005-0000-0000-000012110000}"/>
    <cellStyle name="Normal 2 5 10 2" xfId="13155" xr:uid="{A7BED5B6-7E25-4375-83C5-59B167C5BF6C}"/>
    <cellStyle name="Normal 2 5 11" xfId="8937" xr:uid="{D6717FFC-FA81-4510-BE55-E1F95ABA2C16}"/>
    <cellStyle name="Normal 2 5 2" xfId="316" xr:uid="{00000000-0005-0000-0000-000013110000}"/>
    <cellStyle name="Normal 2 5 3" xfId="317" xr:uid="{00000000-0005-0000-0000-000014110000}"/>
    <cellStyle name="Normal 2 5 4" xfId="318" xr:uid="{00000000-0005-0000-0000-000015110000}"/>
    <cellStyle name="Normal 2 5 4 10" xfId="8938" xr:uid="{44767F6D-0309-4ADC-B2FA-5C25B8E1608C}"/>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A68C9585-495B-47B8-90BF-2A111A1B153B}"/>
    <cellStyle name="Normal 2 5 4 2 2 2 2 3" xfId="11499" xr:uid="{3CB585B3-FF01-4B95-87F9-BAEC40AB5C02}"/>
    <cellStyle name="Normal 2 5 4 2 2 2 3" xfId="5122" xr:uid="{00000000-0005-0000-0000-00001B110000}"/>
    <cellStyle name="Normal 2 5 4 2 2 2 3 2" xfId="13572" xr:uid="{A8E34D43-E042-49CA-AD98-4096E402E5C3}"/>
    <cellStyle name="Normal 2 5 4 2 2 2 4" xfId="9354" xr:uid="{80DFBD16-68E7-475E-8358-C3447462DD93}"/>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84585C41-80D5-4EE6-9F29-8DF05A02E644}"/>
    <cellStyle name="Normal 2 5 4 2 2 3 2 3" xfId="11912" xr:uid="{897B18E2-62BA-4088-906B-6554915C930F}"/>
    <cellStyle name="Normal 2 5 4 2 2 3 3" xfId="5535" xr:uid="{00000000-0005-0000-0000-00001F110000}"/>
    <cellStyle name="Normal 2 5 4 2 2 3 3 2" xfId="13985" xr:uid="{72D4B37F-69F9-441C-A9A4-F9FE70D31199}"/>
    <cellStyle name="Normal 2 5 4 2 2 3 4" xfId="9767" xr:uid="{C12C9459-52AD-4E50-A94E-96F47B3D15A1}"/>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0DE220FD-3ABF-4938-9FE8-329153A0BCA1}"/>
    <cellStyle name="Normal 2 5 4 2 2 4 2 3" xfId="12325" xr:uid="{12E0057D-289F-4DA1-BDCE-A09B239D008E}"/>
    <cellStyle name="Normal 2 5 4 2 2 4 3" xfId="5948" xr:uid="{00000000-0005-0000-0000-000023110000}"/>
    <cellStyle name="Normal 2 5 4 2 2 4 3 2" xfId="14398" xr:uid="{BC4CB80B-1261-4900-9C53-65CD58048351}"/>
    <cellStyle name="Normal 2 5 4 2 2 4 4" xfId="10180" xr:uid="{D5D13F72-DB67-481A-AF50-F3D63324B47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FD95DEB5-0D2D-47B2-82EC-9F833A253B85}"/>
    <cellStyle name="Normal 2 5 4 2 2 5 2 3" xfId="12738" xr:uid="{9E3DB217-C56C-4C42-A305-8174E427D9AA}"/>
    <cellStyle name="Normal 2 5 4 2 2 5 3" xfId="6361" xr:uid="{00000000-0005-0000-0000-000027110000}"/>
    <cellStyle name="Normal 2 5 4 2 2 5 3 2" xfId="14811" xr:uid="{75EBBEA7-1CBE-45D1-A58D-826A9E73FDCD}"/>
    <cellStyle name="Normal 2 5 4 2 2 5 4" xfId="10593" xr:uid="{942B6D6C-D683-4978-95FC-33F5FEF78F2E}"/>
    <cellStyle name="Normal 2 5 4 2 2 6" xfId="2491" xr:uid="{00000000-0005-0000-0000-000028110000}"/>
    <cellStyle name="Normal 2 5 4 2 2 6 2" xfId="6774" xr:uid="{00000000-0005-0000-0000-000029110000}"/>
    <cellStyle name="Normal 2 5 4 2 2 6 2 2" xfId="15224" xr:uid="{F24E6730-BBA6-4D69-96A6-76B7B28F3A54}"/>
    <cellStyle name="Normal 2 5 4 2 2 6 3" xfId="11006" xr:uid="{B88ED229-379E-44FB-8C2C-045CE4DE4C96}"/>
    <cellStyle name="Normal 2 5 4 2 2 7" xfId="4708" xr:uid="{00000000-0005-0000-0000-00002A110000}"/>
    <cellStyle name="Normal 2 5 4 2 2 7 2" xfId="13158" xr:uid="{C4736AC2-89D8-4129-8890-7C48A2B71CDB}"/>
    <cellStyle name="Normal 2 5 4 2 2 8" xfId="8940" xr:uid="{A1A52168-CA2C-4AC5-A419-8984FEDB39EB}"/>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FD808FE8-1BA3-4FEC-8FC2-A96C92394984}"/>
    <cellStyle name="Normal 2 5 4 2 3 2 3" xfId="11498" xr:uid="{5439E9B5-20D7-4E15-BBCF-96B541603FDF}"/>
    <cellStyle name="Normal 2 5 4 2 3 3" xfId="5121" xr:uid="{00000000-0005-0000-0000-00002E110000}"/>
    <cellStyle name="Normal 2 5 4 2 3 3 2" xfId="13571" xr:uid="{2B8A5F5C-DFA9-4306-BB37-8CAC7F561115}"/>
    <cellStyle name="Normal 2 5 4 2 3 4" xfId="9353" xr:uid="{063103B1-0AE7-48A9-9D3F-9E97176FE519}"/>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531FEBD4-DE3D-4B5F-820B-06767931D0F4}"/>
    <cellStyle name="Normal 2 5 4 2 4 2 3" xfId="11911" xr:uid="{2B68D3B8-7AD5-4EF5-815D-0CE461887CCE}"/>
    <cellStyle name="Normal 2 5 4 2 4 3" xfId="5534" xr:uid="{00000000-0005-0000-0000-000032110000}"/>
    <cellStyle name="Normal 2 5 4 2 4 3 2" xfId="13984" xr:uid="{C2C9A5EC-F458-482E-8F41-98914F1C6225}"/>
    <cellStyle name="Normal 2 5 4 2 4 4" xfId="9766" xr:uid="{557F8329-C81B-41C1-954B-550CB222E2A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269A3CAE-14CC-4050-A007-EE4AFF4A8CFB}"/>
    <cellStyle name="Normal 2 5 4 2 5 2 3" xfId="12324" xr:uid="{F1A286C7-6FD0-4E42-8121-12A984EA70E5}"/>
    <cellStyle name="Normal 2 5 4 2 5 3" xfId="5947" xr:uid="{00000000-0005-0000-0000-000036110000}"/>
    <cellStyle name="Normal 2 5 4 2 5 3 2" xfId="14397" xr:uid="{39B38225-F39F-471C-88C4-04033D8BF165}"/>
    <cellStyle name="Normal 2 5 4 2 5 4" xfId="10179" xr:uid="{7EF89890-52BB-43CB-93BF-7AA31E403C46}"/>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E7E87C20-A220-4464-87A2-4D63F1DB4860}"/>
    <cellStyle name="Normal 2 5 4 2 6 2 3" xfId="12737" xr:uid="{AA529477-458E-45D2-86C0-DE3DB2BD9516}"/>
    <cellStyle name="Normal 2 5 4 2 6 3" xfId="6360" xr:uid="{00000000-0005-0000-0000-00003A110000}"/>
    <cellStyle name="Normal 2 5 4 2 6 3 2" xfId="14810" xr:uid="{BD77636F-1837-4DE4-A974-3134634699B4}"/>
    <cellStyle name="Normal 2 5 4 2 6 4" xfId="10592" xr:uid="{305D446F-69B0-4CF6-89B9-7BB15B42A945}"/>
    <cellStyle name="Normal 2 5 4 2 7" xfId="2490" xr:uid="{00000000-0005-0000-0000-00003B110000}"/>
    <cellStyle name="Normal 2 5 4 2 7 2" xfId="6773" xr:uid="{00000000-0005-0000-0000-00003C110000}"/>
    <cellStyle name="Normal 2 5 4 2 7 2 2" xfId="15223" xr:uid="{F377EAE5-D5BF-4358-92B1-13AD05E9F36A}"/>
    <cellStyle name="Normal 2 5 4 2 7 3" xfId="11005" xr:uid="{64456F5C-A4F4-47D2-8A14-D0DAB1C1C6A4}"/>
    <cellStyle name="Normal 2 5 4 2 8" xfId="4707" xr:uid="{00000000-0005-0000-0000-00003D110000}"/>
    <cellStyle name="Normal 2 5 4 2 8 2" xfId="13157" xr:uid="{AA12E0ED-C915-4004-8F85-A08E8505C6B9}"/>
    <cellStyle name="Normal 2 5 4 2 9" xfId="8939" xr:uid="{C4D410C3-5878-4E37-8D3C-2BD5C23348E1}"/>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D44D14CF-630C-4A2F-B9B7-0C6791D740E7}"/>
    <cellStyle name="Normal 2 5 4 3 2 2 3" xfId="11500" xr:uid="{CBD564A9-9824-4C60-A02E-6C55B0F6F5A2}"/>
    <cellStyle name="Normal 2 5 4 3 2 3" xfId="5123" xr:uid="{00000000-0005-0000-0000-000042110000}"/>
    <cellStyle name="Normal 2 5 4 3 2 3 2" xfId="13573" xr:uid="{3250DD6F-6EB0-459A-95AD-0146EC84ABBD}"/>
    <cellStyle name="Normal 2 5 4 3 2 4" xfId="9355" xr:uid="{1E1D000C-9F9F-4FA1-A2DA-DCC4D30A1518}"/>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326E5611-9D2F-4B5F-8422-C616A0350080}"/>
    <cellStyle name="Normal 2 5 4 3 3 2 3" xfId="11913" xr:uid="{CC52A46C-0B75-430E-AFA4-E0090499D9DF}"/>
    <cellStyle name="Normal 2 5 4 3 3 3" xfId="5536" xr:uid="{00000000-0005-0000-0000-000046110000}"/>
    <cellStyle name="Normal 2 5 4 3 3 3 2" xfId="13986" xr:uid="{41813240-92B3-45A5-A577-38B517EE21E6}"/>
    <cellStyle name="Normal 2 5 4 3 3 4" xfId="9768" xr:uid="{3EB4D99E-1FCE-4338-9DA1-CF3C54D0B24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D8515918-01FB-43CF-AA35-C570BF0CC97F}"/>
    <cellStyle name="Normal 2 5 4 3 4 2 3" xfId="12326" xr:uid="{534E5397-049E-4014-8C67-8E7C98845684}"/>
    <cellStyle name="Normal 2 5 4 3 4 3" xfId="5949" xr:uid="{00000000-0005-0000-0000-00004A110000}"/>
    <cellStyle name="Normal 2 5 4 3 4 3 2" xfId="14399" xr:uid="{E68201FC-BD10-478F-9060-6B9DA14009C6}"/>
    <cellStyle name="Normal 2 5 4 3 4 4" xfId="10181" xr:uid="{5C33D0EA-20A0-48C5-BD17-9A4B03988AC8}"/>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FCA0BB41-4FF0-48BC-BCF2-E83F2EB26C39}"/>
    <cellStyle name="Normal 2 5 4 3 5 2 3" xfId="12739" xr:uid="{3287BDE1-F5CD-4EFA-A101-FF676D699E46}"/>
    <cellStyle name="Normal 2 5 4 3 5 3" xfId="6362" xr:uid="{00000000-0005-0000-0000-00004E110000}"/>
    <cellStyle name="Normal 2 5 4 3 5 3 2" xfId="14812" xr:uid="{8BDC0B36-7668-4FDA-B42A-54FD18C00C63}"/>
    <cellStyle name="Normal 2 5 4 3 5 4" xfId="10594" xr:uid="{0FAA721D-0B10-4D13-B374-3F4CD19E3ADA}"/>
    <cellStyle name="Normal 2 5 4 3 6" xfId="2492" xr:uid="{00000000-0005-0000-0000-00004F110000}"/>
    <cellStyle name="Normal 2 5 4 3 6 2" xfId="6775" xr:uid="{00000000-0005-0000-0000-000050110000}"/>
    <cellStyle name="Normal 2 5 4 3 6 2 2" xfId="15225" xr:uid="{105719DB-9C1E-477F-A9F3-04AAB770EFA1}"/>
    <cellStyle name="Normal 2 5 4 3 6 3" xfId="11007" xr:uid="{AB4CE6C9-25DD-41EA-B0C9-96C9E508B0CD}"/>
    <cellStyle name="Normal 2 5 4 3 7" xfId="4709" xr:uid="{00000000-0005-0000-0000-000051110000}"/>
    <cellStyle name="Normal 2 5 4 3 7 2" xfId="13159" xr:uid="{9B559AC3-E6C6-4BFB-B159-26856E86B8E4}"/>
    <cellStyle name="Normal 2 5 4 3 8" xfId="8941" xr:uid="{493E384B-C885-42D0-BBC8-CCCDF349D717}"/>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9A0A641E-4F72-473A-8CCC-5C714657BD2E}"/>
    <cellStyle name="Normal 2 5 4 4 2 3" xfId="11497" xr:uid="{778290E9-A7D8-43ED-A5A3-FB2EFA98664D}"/>
    <cellStyle name="Normal 2 5 4 4 3" xfId="5120" xr:uid="{00000000-0005-0000-0000-000055110000}"/>
    <cellStyle name="Normal 2 5 4 4 3 2" xfId="13570" xr:uid="{291B3B67-0AE9-4C3A-9FD7-9A947BDD7F8F}"/>
    <cellStyle name="Normal 2 5 4 4 4" xfId="9352" xr:uid="{1657EA08-FAC9-4448-8FF6-643C80EE98EB}"/>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3E738F17-A7C4-4CA8-97CA-D46D921BBF0E}"/>
    <cellStyle name="Normal 2 5 4 5 2 3" xfId="11910" xr:uid="{1C047B3F-9E00-4721-BFF6-AA87979EF379}"/>
    <cellStyle name="Normal 2 5 4 5 3" xfId="5533" xr:uid="{00000000-0005-0000-0000-000059110000}"/>
    <cellStyle name="Normal 2 5 4 5 3 2" xfId="13983" xr:uid="{DC8E373B-B97F-46F7-B26D-68A431458B6C}"/>
    <cellStyle name="Normal 2 5 4 5 4" xfId="9765" xr:uid="{A62DA01E-18D2-447E-83D3-D1A8BCDD8394}"/>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C7858F35-31E6-4432-85AD-9308BA127B96}"/>
    <cellStyle name="Normal 2 5 4 6 2 3" xfId="12323" xr:uid="{908E4805-F15A-4E8D-B187-2A01763238F1}"/>
    <cellStyle name="Normal 2 5 4 6 3" xfId="5946" xr:uid="{00000000-0005-0000-0000-00005D110000}"/>
    <cellStyle name="Normal 2 5 4 6 3 2" xfId="14396" xr:uid="{2348E4F3-3055-44FE-A228-01C1F097C258}"/>
    <cellStyle name="Normal 2 5 4 6 4" xfId="10178" xr:uid="{2FFEEFC1-9A47-431E-B980-5713474907F2}"/>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8ED6DFCB-44BA-44F0-A876-BD8C26055109}"/>
    <cellStyle name="Normal 2 5 4 7 2 3" xfId="12736" xr:uid="{961CC518-1ADD-4DE7-9D11-A0FF897E18F4}"/>
    <cellStyle name="Normal 2 5 4 7 3" xfId="6359" xr:uid="{00000000-0005-0000-0000-000061110000}"/>
    <cellStyle name="Normal 2 5 4 7 3 2" xfId="14809" xr:uid="{764D3DC5-4CA4-4AB4-8AE6-8EE8F3C5D149}"/>
    <cellStyle name="Normal 2 5 4 7 4" xfId="10591" xr:uid="{080B8D63-7D1B-4BB1-9772-F142B01DA0C7}"/>
    <cellStyle name="Normal 2 5 4 8" xfId="2489" xr:uid="{00000000-0005-0000-0000-000062110000}"/>
    <cellStyle name="Normal 2 5 4 8 2" xfId="6772" xr:uid="{00000000-0005-0000-0000-000063110000}"/>
    <cellStyle name="Normal 2 5 4 8 2 2" xfId="15222" xr:uid="{89FFF143-45E9-4CF1-B0B9-2904571CD226}"/>
    <cellStyle name="Normal 2 5 4 8 3" xfId="11004" xr:uid="{5B6D4B4D-9061-43A9-9DB4-010F1EF70F67}"/>
    <cellStyle name="Normal 2 5 4 9" xfId="4706" xr:uid="{00000000-0005-0000-0000-000064110000}"/>
    <cellStyle name="Normal 2 5 4 9 2" xfId="13156" xr:uid="{03C1FF04-7BBC-4C71-8DCC-5B0B3AB369EA}"/>
    <cellStyle name="Normal 2 5 5" xfId="803" xr:uid="{00000000-0005-0000-0000-000065110000}"/>
    <cellStyle name="Normal 2 5 5 2" xfId="3042" xr:uid="{00000000-0005-0000-0000-000066110000}"/>
    <cellStyle name="Normal 2 5 5 2 2" xfId="7264" xr:uid="{00000000-0005-0000-0000-000067110000}"/>
    <cellStyle name="Normal 2 5 5 2 2 2" xfId="15714" xr:uid="{B23872E7-DDFA-4FA7-A517-15701F61C32C}"/>
    <cellStyle name="Normal 2 5 5 2 3" xfId="11496" xr:uid="{C6D55C98-2268-4B34-95F1-9554FD37EDE8}"/>
    <cellStyle name="Normal 2 5 5 3" xfId="5119" xr:uid="{00000000-0005-0000-0000-000068110000}"/>
    <cellStyle name="Normal 2 5 5 3 2" xfId="13569" xr:uid="{64A0A354-7DB9-47ED-91EA-41757F14F97D}"/>
    <cellStyle name="Normal 2 5 5 4" xfId="9351" xr:uid="{06E67F91-BA93-42E5-9B29-54F3F254BA01}"/>
    <cellStyle name="Normal 2 5 6" xfId="1225" xr:uid="{00000000-0005-0000-0000-000069110000}"/>
    <cellStyle name="Normal 2 5 6 2" xfId="3455" xr:uid="{00000000-0005-0000-0000-00006A110000}"/>
    <cellStyle name="Normal 2 5 6 2 2" xfId="7677" xr:uid="{00000000-0005-0000-0000-00006B110000}"/>
    <cellStyle name="Normal 2 5 6 2 2 2" xfId="16127" xr:uid="{3ABFE04A-5C69-4965-AB6D-4C8E40FE0DA7}"/>
    <cellStyle name="Normal 2 5 6 2 3" xfId="11909" xr:uid="{5FAC5206-0799-4E06-BFC0-BCDE135437A2}"/>
    <cellStyle name="Normal 2 5 6 3" xfId="5532" xr:uid="{00000000-0005-0000-0000-00006C110000}"/>
    <cellStyle name="Normal 2 5 6 3 2" xfId="13982" xr:uid="{6F3B1EE6-E004-400E-A622-FB2A29D63BE2}"/>
    <cellStyle name="Normal 2 5 6 4" xfId="9764" xr:uid="{A3897895-4257-43F5-A4C0-A5DD9605429C}"/>
    <cellStyle name="Normal 2 5 7" xfId="1638" xr:uid="{00000000-0005-0000-0000-00006D110000}"/>
    <cellStyle name="Normal 2 5 7 2" xfId="3868" xr:uid="{00000000-0005-0000-0000-00006E110000}"/>
    <cellStyle name="Normal 2 5 7 2 2" xfId="8090" xr:uid="{00000000-0005-0000-0000-00006F110000}"/>
    <cellStyle name="Normal 2 5 7 2 2 2" xfId="16540" xr:uid="{45D40694-C102-4591-AACD-3F850EB8C19F}"/>
    <cellStyle name="Normal 2 5 7 2 3" xfId="12322" xr:uid="{21FC38C9-8A5D-426B-A0E1-B68197C0FAD1}"/>
    <cellStyle name="Normal 2 5 7 3" xfId="5945" xr:uid="{00000000-0005-0000-0000-000070110000}"/>
    <cellStyle name="Normal 2 5 7 3 2" xfId="14395" xr:uid="{D0F15904-DF11-48BF-AE42-6328405EE6A1}"/>
    <cellStyle name="Normal 2 5 7 4" xfId="10177" xr:uid="{EF70EDAD-18BF-482C-8E79-CBC0AD28A185}"/>
    <cellStyle name="Normal 2 5 8" xfId="2052" xr:uid="{00000000-0005-0000-0000-000071110000}"/>
    <cellStyle name="Normal 2 5 8 2" xfId="4281" xr:uid="{00000000-0005-0000-0000-000072110000}"/>
    <cellStyle name="Normal 2 5 8 2 2" xfId="8503" xr:uid="{00000000-0005-0000-0000-000073110000}"/>
    <cellStyle name="Normal 2 5 8 2 2 2" xfId="16953" xr:uid="{1E9057F4-8B67-45E3-A399-42583F7CADFE}"/>
    <cellStyle name="Normal 2 5 8 2 3" xfId="12735" xr:uid="{5CC02DF4-47AD-4940-BC9E-5021899CE154}"/>
    <cellStyle name="Normal 2 5 8 3" xfId="6358" xr:uid="{00000000-0005-0000-0000-000074110000}"/>
    <cellStyle name="Normal 2 5 8 3 2" xfId="14808" xr:uid="{01C2B841-C969-4174-A3AF-DB3D174D824E}"/>
    <cellStyle name="Normal 2 5 8 4" xfId="10590" xr:uid="{A3A436CB-F8C9-4598-AF3B-08BEFFF1F79E}"/>
    <cellStyle name="Normal 2 5 9" xfId="2488" xr:uid="{00000000-0005-0000-0000-000075110000}"/>
    <cellStyle name="Normal 2 5 9 2" xfId="6771" xr:uid="{00000000-0005-0000-0000-000076110000}"/>
    <cellStyle name="Normal 2 5 9 2 2" xfId="15221" xr:uid="{E3149FE9-96FF-4DBE-AF69-DA78FDF6A9CE}"/>
    <cellStyle name="Normal 2 5 9 3" xfId="11003" xr:uid="{81A47589-6635-4C9F-9173-E6D90FD562A6}"/>
    <cellStyle name="Normal 2 6" xfId="322" xr:uid="{00000000-0005-0000-0000-000077110000}"/>
    <cellStyle name="Normal 2 7" xfId="769" xr:uid="{00000000-0005-0000-0000-000078110000}"/>
    <cellStyle name="Normal 2 8" xfId="4495" xr:uid="{00000000-0005-0000-0000-000079110000}"/>
    <cellStyle name="Normal 2 8 2" xfId="12947" xr:uid="{446854AD-387A-412D-9641-1FD7F8410BE7}"/>
    <cellStyle name="Normal 3" xfId="323" xr:uid="{00000000-0005-0000-0000-00007A110000}"/>
    <cellStyle name="Normal 3 2" xfId="324" xr:uid="{00000000-0005-0000-0000-00007B110000}"/>
    <cellStyle name="Normal 3 2 10" xfId="8942" xr:uid="{7C7E1F87-3E96-4E33-B673-0A06C33CF79B}"/>
    <cellStyle name="Normal 3 2 2" xfId="325" xr:uid="{00000000-0005-0000-0000-00007C110000}"/>
    <cellStyle name="Normal 3 2 2 2" xfId="810" xr:uid="{00000000-0005-0000-0000-00007D110000}"/>
    <cellStyle name="Normal 3 2 3" xfId="326" xr:uid="{00000000-0005-0000-0000-00007E110000}"/>
    <cellStyle name="Normal 3 2 3 10" xfId="8943" xr:uid="{2F5B392F-0EB3-4491-AF56-2A5E82F2C74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8359F033-88BB-46D6-922C-E83721FB7335}"/>
    <cellStyle name="Normal 3 2 3 2 2 2 2 3" xfId="11504" xr:uid="{4D564DFC-F474-46EA-AC2B-37786DDB3CF0}"/>
    <cellStyle name="Normal 3 2 3 2 2 2 3" xfId="5127" xr:uid="{00000000-0005-0000-0000-000084110000}"/>
    <cellStyle name="Normal 3 2 3 2 2 2 3 2" xfId="13577" xr:uid="{66FD1E24-17BD-4571-BA41-5E591F20DCD2}"/>
    <cellStyle name="Normal 3 2 3 2 2 2 4" xfId="9359" xr:uid="{A8C51C91-0B11-47AE-B904-B0628EC77B1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A70EBC15-1714-49F3-86A6-0F2F6B4E5996}"/>
    <cellStyle name="Normal 3 2 3 2 2 3 2 3" xfId="11917" xr:uid="{FED58569-4EAA-48B3-8495-515A9802F76C}"/>
    <cellStyle name="Normal 3 2 3 2 2 3 3" xfId="5540" xr:uid="{00000000-0005-0000-0000-000088110000}"/>
    <cellStyle name="Normal 3 2 3 2 2 3 3 2" xfId="13990" xr:uid="{10D099AF-5CE5-42B7-A6C3-A828B0887D72}"/>
    <cellStyle name="Normal 3 2 3 2 2 3 4" xfId="9772" xr:uid="{8A6DC790-329D-43A2-A2BF-E4BC8FC077E2}"/>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D6D204C3-ADCF-4427-AD4C-52B14D7570AA}"/>
    <cellStyle name="Normal 3 2 3 2 2 4 2 3" xfId="12330" xr:uid="{12B9CD72-2D04-4C14-A382-B00041B568DC}"/>
    <cellStyle name="Normal 3 2 3 2 2 4 3" xfId="5953" xr:uid="{00000000-0005-0000-0000-00008C110000}"/>
    <cellStyle name="Normal 3 2 3 2 2 4 3 2" xfId="14403" xr:uid="{589EDFC2-927C-4C22-B358-07FDB27B3D00}"/>
    <cellStyle name="Normal 3 2 3 2 2 4 4" xfId="10185" xr:uid="{1C672A56-0C9D-463E-B494-6DC3D59D6498}"/>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5EB33001-BBC5-403A-AC42-AFEBA570631E}"/>
    <cellStyle name="Normal 3 2 3 2 2 5 2 3" xfId="12743" xr:uid="{93073267-CA21-4912-8929-F21F7F9F00F6}"/>
    <cellStyle name="Normal 3 2 3 2 2 5 3" xfId="6366" xr:uid="{00000000-0005-0000-0000-000090110000}"/>
    <cellStyle name="Normal 3 2 3 2 2 5 3 2" xfId="14816" xr:uid="{6B8D8249-7B1A-4E0E-A84D-FFD643EB9960}"/>
    <cellStyle name="Normal 3 2 3 2 2 5 4" xfId="10598" xr:uid="{2A87F41F-5DE3-4F80-BCD6-016606DAD64A}"/>
    <cellStyle name="Normal 3 2 3 2 2 6" xfId="2496" xr:uid="{00000000-0005-0000-0000-000091110000}"/>
    <cellStyle name="Normal 3 2 3 2 2 6 2" xfId="6779" xr:uid="{00000000-0005-0000-0000-000092110000}"/>
    <cellStyle name="Normal 3 2 3 2 2 6 2 2" xfId="15229" xr:uid="{4139BB56-8FC9-4D67-AE7A-AEA6E9B11756}"/>
    <cellStyle name="Normal 3 2 3 2 2 6 3" xfId="11011" xr:uid="{5F977A95-159E-4C1A-B7AB-524BE6EC62DA}"/>
    <cellStyle name="Normal 3 2 3 2 2 7" xfId="4713" xr:uid="{00000000-0005-0000-0000-000093110000}"/>
    <cellStyle name="Normal 3 2 3 2 2 7 2" xfId="13163" xr:uid="{2B4091C5-390D-476F-9586-E085FDC466C4}"/>
    <cellStyle name="Normal 3 2 3 2 2 8" xfId="8945" xr:uid="{A64BCE31-2858-4A4F-BCB4-351778D4DFA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437596D5-0B19-4025-AE09-385A02794EDD}"/>
    <cellStyle name="Normal 3 2 3 2 3 2 3" xfId="11503" xr:uid="{D14BB741-0AEC-478B-B0DB-2F16851C83AD}"/>
    <cellStyle name="Normal 3 2 3 2 3 3" xfId="5126" xr:uid="{00000000-0005-0000-0000-000097110000}"/>
    <cellStyle name="Normal 3 2 3 2 3 3 2" xfId="13576" xr:uid="{319664CD-3274-4556-8B9C-B9BF71CADD42}"/>
    <cellStyle name="Normal 3 2 3 2 3 4" xfId="9358" xr:uid="{D8CEA29A-EAF7-412B-B806-AD3663E55B02}"/>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08B19033-B7AD-4AB4-9FE0-18917426486C}"/>
    <cellStyle name="Normal 3 2 3 2 4 2 3" xfId="11916" xr:uid="{ED68BD13-CDDB-4B75-966B-58266CA712C6}"/>
    <cellStyle name="Normal 3 2 3 2 4 3" xfId="5539" xr:uid="{00000000-0005-0000-0000-00009B110000}"/>
    <cellStyle name="Normal 3 2 3 2 4 3 2" xfId="13989" xr:uid="{92850020-A08C-48D7-9E07-878358C10B60}"/>
    <cellStyle name="Normal 3 2 3 2 4 4" xfId="9771" xr:uid="{2DF36092-536C-4BD7-A771-466FA35C3EDB}"/>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70DA0EFD-1868-4711-8B94-5419E8913510}"/>
    <cellStyle name="Normal 3 2 3 2 5 2 3" xfId="12329" xr:uid="{8DF8A913-F370-45F7-831C-B4D260FF40BC}"/>
    <cellStyle name="Normal 3 2 3 2 5 3" xfId="5952" xr:uid="{00000000-0005-0000-0000-00009F110000}"/>
    <cellStyle name="Normal 3 2 3 2 5 3 2" xfId="14402" xr:uid="{40D9228F-AE49-479C-8C81-4FA469AAD2AC}"/>
    <cellStyle name="Normal 3 2 3 2 5 4" xfId="10184" xr:uid="{B022F5C2-30FE-446D-B8EE-A013ECB0AA32}"/>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03C8F917-72F3-4DE5-90E8-77FC4706405F}"/>
    <cellStyle name="Normal 3 2 3 2 6 2 3" xfId="12742" xr:uid="{3C7453BE-220B-4EB1-A708-FCA8CEBCFC8A}"/>
    <cellStyle name="Normal 3 2 3 2 6 3" xfId="6365" xr:uid="{00000000-0005-0000-0000-0000A3110000}"/>
    <cellStyle name="Normal 3 2 3 2 6 3 2" xfId="14815" xr:uid="{48572988-BA12-4AFD-9523-74C711908E3C}"/>
    <cellStyle name="Normal 3 2 3 2 6 4" xfId="10597" xr:uid="{247DB735-E970-4823-A262-73397C354490}"/>
    <cellStyle name="Normal 3 2 3 2 7" xfId="2495" xr:uid="{00000000-0005-0000-0000-0000A4110000}"/>
    <cellStyle name="Normal 3 2 3 2 7 2" xfId="6778" xr:uid="{00000000-0005-0000-0000-0000A5110000}"/>
    <cellStyle name="Normal 3 2 3 2 7 2 2" xfId="15228" xr:uid="{9DFD07CB-A197-4075-B799-0DBCA286017B}"/>
    <cellStyle name="Normal 3 2 3 2 7 3" xfId="11010" xr:uid="{58AC9B32-83BD-4F44-8B54-7C5C3ECBEB7A}"/>
    <cellStyle name="Normal 3 2 3 2 8" xfId="4712" xr:uid="{00000000-0005-0000-0000-0000A6110000}"/>
    <cellStyle name="Normal 3 2 3 2 8 2" xfId="13162" xr:uid="{A07BF711-27CD-41D1-930C-9E9FB2D024B1}"/>
    <cellStyle name="Normal 3 2 3 2 9" xfId="8944" xr:uid="{D7AC82F5-483D-4830-BB1D-BE54D90D8F18}"/>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3843F40D-6E4D-4EAD-9C30-37679D3FB1F9}"/>
    <cellStyle name="Normal 3 2 3 3 2 2 3" xfId="11505" xr:uid="{485ED68D-F380-4023-8C17-F59D6272BBF3}"/>
    <cellStyle name="Normal 3 2 3 3 2 3" xfId="5128" xr:uid="{00000000-0005-0000-0000-0000AB110000}"/>
    <cellStyle name="Normal 3 2 3 3 2 3 2" xfId="13578" xr:uid="{2F7F693D-D2B2-40D2-AD8B-3DC10B1DDB8F}"/>
    <cellStyle name="Normal 3 2 3 3 2 4" xfId="9360" xr:uid="{706148E4-2344-4F58-850F-4910E9EC911B}"/>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EECAD021-CAF2-46CD-8F0C-59DA87CEABBF}"/>
    <cellStyle name="Normal 3 2 3 3 3 2 3" xfId="11918" xr:uid="{A400C1F4-4203-492E-A829-97771CF12FDB}"/>
    <cellStyle name="Normal 3 2 3 3 3 3" xfId="5541" xr:uid="{00000000-0005-0000-0000-0000AF110000}"/>
    <cellStyle name="Normal 3 2 3 3 3 3 2" xfId="13991" xr:uid="{433FCB17-A572-4781-A962-15E5FD8E2488}"/>
    <cellStyle name="Normal 3 2 3 3 3 4" xfId="9773" xr:uid="{D0928E8F-9588-4639-8D46-DC573CF29BA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32CC5DED-4098-45C4-90EF-E734020E25AD}"/>
    <cellStyle name="Normal 3 2 3 3 4 2 3" xfId="12331" xr:uid="{02ED009A-C23D-46F5-BD4A-123C18C5D211}"/>
    <cellStyle name="Normal 3 2 3 3 4 3" xfId="5954" xr:uid="{00000000-0005-0000-0000-0000B3110000}"/>
    <cellStyle name="Normal 3 2 3 3 4 3 2" xfId="14404" xr:uid="{01B7873B-0ECF-4D1E-9860-1638FB5E867C}"/>
    <cellStyle name="Normal 3 2 3 3 4 4" xfId="10186" xr:uid="{C30F855D-621E-4DA7-850D-49C34C3D0A1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3221E058-6CDC-49AF-82DB-0C48EC494897}"/>
    <cellStyle name="Normal 3 2 3 3 5 2 3" xfId="12744" xr:uid="{41156B76-5156-4C74-BCE5-61A54DF7431E}"/>
    <cellStyle name="Normal 3 2 3 3 5 3" xfId="6367" xr:uid="{00000000-0005-0000-0000-0000B7110000}"/>
    <cellStyle name="Normal 3 2 3 3 5 3 2" xfId="14817" xr:uid="{7667A367-1977-4280-85F3-48C7E186B4C5}"/>
    <cellStyle name="Normal 3 2 3 3 5 4" xfId="10599" xr:uid="{42CE3222-F9A3-4F3A-B60B-A1EF07F275F1}"/>
    <cellStyle name="Normal 3 2 3 3 6" xfId="2497" xr:uid="{00000000-0005-0000-0000-0000B8110000}"/>
    <cellStyle name="Normal 3 2 3 3 6 2" xfId="6780" xr:uid="{00000000-0005-0000-0000-0000B9110000}"/>
    <cellStyle name="Normal 3 2 3 3 6 2 2" xfId="15230" xr:uid="{7FFFA0E0-9C21-449E-9706-62444D767B76}"/>
    <cellStyle name="Normal 3 2 3 3 6 3" xfId="11012" xr:uid="{E7E4FEAB-3733-455E-8CA0-5A661FAA566D}"/>
    <cellStyle name="Normal 3 2 3 3 7" xfId="4714" xr:uid="{00000000-0005-0000-0000-0000BA110000}"/>
    <cellStyle name="Normal 3 2 3 3 7 2" xfId="13164" xr:uid="{BB0E5884-9954-401E-B39E-56A53D90968B}"/>
    <cellStyle name="Normal 3 2 3 3 8" xfId="8946" xr:uid="{136B0154-E79C-44B6-9BA4-9A9E3D999DD4}"/>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982B5F70-4A4E-4A83-A85B-F5E4119F1C9E}"/>
    <cellStyle name="Normal 3 2 3 4 2 3" xfId="11502" xr:uid="{A1599FF5-7C46-44B0-A196-3B720B62C57D}"/>
    <cellStyle name="Normal 3 2 3 4 3" xfId="5125" xr:uid="{00000000-0005-0000-0000-0000BE110000}"/>
    <cellStyle name="Normal 3 2 3 4 3 2" xfId="13575" xr:uid="{6485ECEC-57FD-494A-96A4-36D626035A05}"/>
    <cellStyle name="Normal 3 2 3 4 4" xfId="9357" xr:uid="{AE25132C-69D7-4E4F-A097-3A87168EB34A}"/>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120ACB47-6A7B-40B1-AFFD-D76424455186}"/>
    <cellStyle name="Normal 3 2 3 5 2 3" xfId="11915" xr:uid="{5D3DDEFD-71CC-4755-B69D-5DA37573CFCA}"/>
    <cellStyle name="Normal 3 2 3 5 3" xfId="5538" xr:uid="{00000000-0005-0000-0000-0000C2110000}"/>
    <cellStyle name="Normal 3 2 3 5 3 2" xfId="13988" xr:uid="{076C7DA2-23F3-4E89-B3F1-B831157F3B44}"/>
    <cellStyle name="Normal 3 2 3 5 4" xfId="9770" xr:uid="{F58A489A-D634-4E5E-8770-1FF4D06329EE}"/>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BA522BAE-765E-4672-86BA-C18080EAD9EB}"/>
    <cellStyle name="Normal 3 2 3 6 2 3" xfId="12328" xr:uid="{35449E3F-960C-4075-8CE5-E6CECBBC959E}"/>
    <cellStyle name="Normal 3 2 3 6 3" xfId="5951" xr:uid="{00000000-0005-0000-0000-0000C6110000}"/>
    <cellStyle name="Normal 3 2 3 6 3 2" xfId="14401" xr:uid="{BC3E533D-DD15-4368-8BD9-D1375964C88E}"/>
    <cellStyle name="Normal 3 2 3 6 4" xfId="10183" xr:uid="{A11DD541-F3CF-42AC-BCB3-23EBCCD69B71}"/>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C46D376B-FAA0-4580-88A0-A701FB4383B6}"/>
    <cellStyle name="Normal 3 2 3 7 2 3" xfId="12741" xr:uid="{47CA5732-9E63-49C5-8EB4-35E734CF6FBC}"/>
    <cellStyle name="Normal 3 2 3 7 3" xfId="6364" xr:uid="{00000000-0005-0000-0000-0000CA110000}"/>
    <cellStyle name="Normal 3 2 3 7 3 2" xfId="14814" xr:uid="{CA3AEE67-31C5-44B5-B46C-9253842EA078}"/>
    <cellStyle name="Normal 3 2 3 7 4" xfId="10596" xr:uid="{BBF79E6F-7CE7-4815-93D0-905BF9F0B561}"/>
    <cellStyle name="Normal 3 2 3 8" xfId="2494" xr:uid="{00000000-0005-0000-0000-0000CB110000}"/>
    <cellStyle name="Normal 3 2 3 8 2" xfId="6777" xr:uid="{00000000-0005-0000-0000-0000CC110000}"/>
    <cellStyle name="Normal 3 2 3 8 2 2" xfId="15227" xr:uid="{FCB060BA-C899-4B4C-8B57-D0B1C2D676A7}"/>
    <cellStyle name="Normal 3 2 3 8 3" xfId="11009" xr:uid="{B2ECF88B-F167-45D3-8131-152DB2F6D0A0}"/>
    <cellStyle name="Normal 3 2 3 9" xfId="4711" xr:uid="{00000000-0005-0000-0000-0000CD110000}"/>
    <cellStyle name="Normal 3 2 3 9 2" xfId="13161" xr:uid="{CE372FEF-5891-48FB-9C81-5997D91BC5E6}"/>
    <cellStyle name="Normal 3 2 4" xfId="809" xr:uid="{00000000-0005-0000-0000-0000CE110000}"/>
    <cellStyle name="Normal 3 2 4 2" xfId="3047" xr:uid="{00000000-0005-0000-0000-0000CF110000}"/>
    <cellStyle name="Normal 3 2 4 2 2" xfId="7269" xr:uid="{00000000-0005-0000-0000-0000D0110000}"/>
    <cellStyle name="Normal 3 2 4 2 2 2" xfId="15719" xr:uid="{54BFEFDB-B820-4E7F-9D43-C5D7A72E5E7E}"/>
    <cellStyle name="Normal 3 2 4 2 3" xfId="11501" xr:uid="{BDA65DB0-F19C-4045-8BEC-99A41F4C3732}"/>
    <cellStyle name="Normal 3 2 4 3" xfId="5124" xr:uid="{00000000-0005-0000-0000-0000D1110000}"/>
    <cellStyle name="Normal 3 2 4 3 2" xfId="13574" xr:uid="{351B6203-C742-497C-B316-405C1A4F604D}"/>
    <cellStyle name="Normal 3 2 4 4" xfId="9356" xr:uid="{2DBE749E-0AF9-464B-BCD8-77612783B7C2}"/>
    <cellStyle name="Normal 3 2 5" xfId="1230" xr:uid="{00000000-0005-0000-0000-0000D2110000}"/>
    <cellStyle name="Normal 3 2 5 2" xfId="3460" xr:uid="{00000000-0005-0000-0000-0000D3110000}"/>
    <cellStyle name="Normal 3 2 5 2 2" xfId="7682" xr:uid="{00000000-0005-0000-0000-0000D4110000}"/>
    <cellStyle name="Normal 3 2 5 2 2 2" xfId="16132" xr:uid="{350CBE9B-0C29-438C-808B-0DA6A78A6E76}"/>
    <cellStyle name="Normal 3 2 5 2 3" xfId="11914" xr:uid="{7BA53863-C20E-4751-8008-049091BE3537}"/>
    <cellStyle name="Normal 3 2 5 3" xfId="5537" xr:uid="{00000000-0005-0000-0000-0000D5110000}"/>
    <cellStyle name="Normal 3 2 5 3 2" xfId="13987" xr:uid="{FADE4410-46D7-41D2-BDC9-D31F7A2E8BE3}"/>
    <cellStyle name="Normal 3 2 5 4" xfId="9769" xr:uid="{FC01DE5C-B808-4FA9-97E3-65E2FF2406B5}"/>
    <cellStyle name="Normal 3 2 6" xfId="1643" xr:uid="{00000000-0005-0000-0000-0000D6110000}"/>
    <cellStyle name="Normal 3 2 6 2" xfId="3873" xr:uid="{00000000-0005-0000-0000-0000D7110000}"/>
    <cellStyle name="Normal 3 2 6 2 2" xfId="8095" xr:uid="{00000000-0005-0000-0000-0000D8110000}"/>
    <cellStyle name="Normal 3 2 6 2 2 2" xfId="16545" xr:uid="{7A7339CC-6726-42EF-A170-382D65BB5F9F}"/>
    <cellStyle name="Normal 3 2 6 2 3" xfId="12327" xr:uid="{DAF9C11E-2670-4E8A-BED6-87FD32E2656E}"/>
    <cellStyle name="Normal 3 2 6 3" xfId="5950" xr:uid="{00000000-0005-0000-0000-0000D9110000}"/>
    <cellStyle name="Normal 3 2 6 3 2" xfId="14400" xr:uid="{41276C46-BDF1-4BB6-8DC6-E548050F656C}"/>
    <cellStyle name="Normal 3 2 6 4" xfId="10182" xr:uid="{2C7777AC-F66D-46D3-8259-AEB7535F06C7}"/>
    <cellStyle name="Normal 3 2 7" xfId="2057" xr:uid="{00000000-0005-0000-0000-0000DA110000}"/>
    <cellStyle name="Normal 3 2 7 2" xfId="4286" xr:uid="{00000000-0005-0000-0000-0000DB110000}"/>
    <cellStyle name="Normal 3 2 7 2 2" xfId="8508" xr:uid="{00000000-0005-0000-0000-0000DC110000}"/>
    <cellStyle name="Normal 3 2 7 2 2 2" xfId="16958" xr:uid="{1BA7529C-98B2-401A-97DF-3D0F6A21A853}"/>
    <cellStyle name="Normal 3 2 7 2 3" xfId="12740" xr:uid="{18A39777-4BF8-436B-9369-31BB5DE47C77}"/>
    <cellStyle name="Normal 3 2 7 3" xfId="6363" xr:uid="{00000000-0005-0000-0000-0000DD110000}"/>
    <cellStyle name="Normal 3 2 7 3 2" xfId="14813" xr:uid="{CF48A6C6-85AB-4C6F-8DF1-2C00C83A189C}"/>
    <cellStyle name="Normal 3 2 7 4" xfId="10595" xr:uid="{4DC85850-0476-4726-B31E-CE7E21574AAD}"/>
    <cellStyle name="Normal 3 2 8" xfId="2493" xr:uid="{00000000-0005-0000-0000-0000DE110000}"/>
    <cellStyle name="Normal 3 2 8 2" xfId="6776" xr:uid="{00000000-0005-0000-0000-0000DF110000}"/>
    <cellStyle name="Normal 3 2 8 2 2" xfId="15226" xr:uid="{32510E57-3722-4D95-B051-D355BA6CD961}"/>
    <cellStyle name="Normal 3 2 8 3" xfId="11008" xr:uid="{0B5BB3A8-AAD2-4F24-8D12-05D7F24FA9A4}"/>
    <cellStyle name="Normal 3 2 9" xfId="4710" xr:uid="{00000000-0005-0000-0000-0000E0110000}"/>
    <cellStyle name="Normal 3 2 9 2" xfId="13160" xr:uid="{13A4C199-0EDB-48ED-A898-A6946BB9FF3D}"/>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260742E5-31E3-4802-AEF9-F5711675DF9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9E71B507-AC0F-4622-ABD2-267F55AEEAC6}"/>
    <cellStyle name="Normal 4 2 2 10 2 3" xfId="12745" xr:uid="{80750FF0-7F37-4A9C-809E-6360598D59E9}"/>
    <cellStyle name="Normal 4 2 2 10 3" xfId="6368" xr:uid="{00000000-0005-0000-0000-0000ED110000}"/>
    <cellStyle name="Normal 4 2 2 10 3 2" xfId="14818" xr:uid="{5FCDD339-2F73-476E-8868-C4C89A86811C}"/>
    <cellStyle name="Normal 4 2 2 10 4" xfId="10600" xr:uid="{296595E1-7349-453F-A027-BAE866D1227D}"/>
    <cellStyle name="Normal 4 2 2 11" xfId="2498" xr:uid="{00000000-0005-0000-0000-0000EE110000}"/>
    <cellStyle name="Normal 4 2 2 11 2" xfId="6781" xr:uid="{00000000-0005-0000-0000-0000EF110000}"/>
    <cellStyle name="Normal 4 2 2 11 2 2" xfId="15231" xr:uid="{2286DAFB-4A1B-4107-BA06-EECE78780681}"/>
    <cellStyle name="Normal 4 2 2 11 3" xfId="11013" xr:uid="{97DCA00E-658A-476A-917F-E1025C55B475}"/>
    <cellStyle name="Normal 4 2 2 12" xfId="4716" xr:uid="{00000000-0005-0000-0000-0000F0110000}"/>
    <cellStyle name="Normal 4 2 2 12 2" xfId="13166" xr:uid="{44903345-7300-427E-A292-C774892DF579}"/>
    <cellStyle name="Normal 4 2 2 13" xfId="8948" xr:uid="{C9BC8B3F-D4E6-4DF9-A649-16BC2021AD8D}"/>
    <cellStyle name="Normal 4 2 2 2" xfId="338" xr:uid="{00000000-0005-0000-0000-0000F1110000}"/>
    <cellStyle name="Normal 4 2 2 3" xfId="339" xr:uid="{00000000-0005-0000-0000-0000F2110000}"/>
    <cellStyle name="Normal 4 2 2 3 10" xfId="4717" xr:uid="{00000000-0005-0000-0000-0000F3110000}"/>
    <cellStyle name="Normal 4 2 2 3 10 2" xfId="13167" xr:uid="{559E92B0-8CFF-42B9-89C8-A09CE976DD6F}"/>
    <cellStyle name="Normal 4 2 2 3 11" xfId="8949" xr:uid="{F2F10FBE-5479-4509-9439-44B265A316BC}"/>
    <cellStyle name="Normal 4 2 2 3 2" xfId="340" xr:uid="{00000000-0005-0000-0000-0000F4110000}"/>
    <cellStyle name="Normal 4 2 2 3 2 10" xfId="8950" xr:uid="{579B6648-681A-495A-A98C-99D3DA74E33F}"/>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41863DF1-5FA8-450F-AAB4-F06C7738D363}"/>
    <cellStyle name="Normal 4 2 2 3 2 2 2 2 2 3" xfId="11510" xr:uid="{9B1EA311-36C0-44D3-989E-FA2716432279}"/>
    <cellStyle name="Normal 4 2 2 3 2 2 2 2 3" xfId="5133" xr:uid="{00000000-0005-0000-0000-0000FA110000}"/>
    <cellStyle name="Normal 4 2 2 3 2 2 2 2 3 2" xfId="13583" xr:uid="{1E7F0C5B-715B-47F4-A390-43368A30A517}"/>
    <cellStyle name="Normal 4 2 2 3 2 2 2 2 4" xfId="9365" xr:uid="{3DA1D4B8-3AC2-4ED1-A2B5-3B885C743A0C}"/>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658DEB04-58D9-4DE2-8EFB-BB098AD2CEE1}"/>
    <cellStyle name="Normal 4 2 2 3 2 2 2 3 2 3" xfId="11923" xr:uid="{D4741A43-29C9-4B6F-A209-247C90E530C7}"/>
    <cellStyle name="Normal 4 2 2 3 2 2 2 3 3" xfId="5546" xr:uid="{00000000-0005-0000-0000-0000FE110000}"/>
    <cellStyle name="Normal 4 2 2 3 2 2 2 3 3 2" xfId="13996" xr:uid="{44E116ED-058D-4DB0-AA21-7C1828F0C18B}"/>
    <cellStyle name="Normal 4 2 2 3 2 2 2 3 4" xfId="9778" xr:uid="{9C31765C-45A3-4E7F-B217-8B75953A9FFE}"/>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879EF3CE-29A7-4212-9E4E-C69778A5D75A}"/>
    <cellStyle name="Normal 4 2 2 3 2 2 2 4 2 3" xfId="12336" xr:uid="{6F3FC59A-9261-41C4-A7D7-2A78107BE36B}"/>
    <cellStyle name="Normal 4 2 2 3 2 2 2 4 3" xfId="5959" xr:uid="{00000000-0005-0000-0000-000002120000}"/>
    <cellStyle name="Normal 4 2 2 3 2 2 2 4 3 2" xfId="14409" xr:uid="{F6AA5330-F48F-462B-A937-BA3EB82B935E}"/>
    <cellStyle name="Normal 4 2 2 3 2 2 2 4 4" xfId="10191" xr:uid="{55B75B9B-D73F-42C4-89FB-063977D8205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BA44100B-8274-4426-96D4-F49E278C8D31}"/>
    <cellStyle name="Normal 4 2 2 3 2 2 2 5 2 3" xfId="12749" xr:uid="{D12C24D0-0615-40DF-A2A2-97940E0287B5}"/>
    <cellStyle name="Normal 4 2 2 3 2 2 2 5 3" xfId="6372" xr:uid="{00000000-0005-0000-0000-000006120000}"/>
    <cellStyle name="Normal 4 2 2 3 2 2 2 5 3 2" xfId="14822" xr:uid="{5722D546-40DC-4714-B419-F3E2F36C8C86}"/>
    <cellStyle name="Normal 4 2 2 3 2 2 2 5 4" xfId="10604" xr:uid="{D16E754D-A124-46A8-860A-12FCC7F3C594}"/>
    <cellStyle name="Normal 4 2 2 3 2 2 2 6" xfId="2502" xr:uid="{00000000-0005-0000-0000-000007120000}"/>
    <cellStyle name="Normal 4 2 2 3 2 2 2 6 2" xfId="6785" xr:uid="{00000000-0005-0000-0000-000008120000}"/>
    <cellStyle name="Normal 4 2 2 3 2 2 2 6 2 2" xfId="15235" xr:uid="{8B249E5D-F77B-4124-9ED4-7DF0CDAD89C5}"/>
    <cellStyle name="Normal 4 2 2 3 2 2 2 6 3" xfId="11017" xr:uid="{7B67528C-A4C2-495C-886A-EA0E688073A3}"/>
    <cellStyle name="Normal 4 2 2 3 2 2 2 7" xfId="4720" xr:uid="{00000000-0005-0000-0000-000009120000}"/>
    <cellStyle name="Normal 4 2 2 3 2 2 2 7 2" xfId="13170" xr:uid="{A9574A9F-8738-4B13-8814-68A7D9645945}"/>
    <cellStyle name="Normal 4 2 2 3 2 2 2 8" xfId="8952" xr:uid="{46F11C6E-32F6-4700-A5E7-F2E6607A933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C08CFF09-834C-4A93-8396-5B799308738A}"/>
    <cellStyle name="Normal 4 2 2 3 2 2 3 2 3" xfId="11509" xr:uid="{51C12A99-49B5-42A8-9588-ED5B0A823791}"/>
    <cellStyle name="Normal 4 2 2 3 2 2 3 3" xfId="5132" xr:uid="{00000000-0005-0000-0000-00000D120000}"/>
    <cellStyle name="Normal 4 2 2 3 2 2 3 3 2" xfId="13582" xr:uid="{282586C0-0CF5-4EA4-ABC1-D6D2569C70C1}"/>
    <cellStyle name="Normal 4 2 2 3 2 2 3 4" xfId="9364" xr:uid="{EDC8F84C-9F84-461B-B198-CC73B47D22F6}"/>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F46E3031-6B37-4015-AC4F-837D7385C88E}"/>
    <cellStyle name="Normal 4 2 2 3 2 2 4 2 3" xfId="11922" xr:uid="{3D324B03-F5F2-473D-9305-D3E568C27F8F}"/>
    <cellStyle name="Normal 4 2 2 3 2 2 4 3" xfId="5545" xr:uid="{00000000-0005-0000-0000-000011120000}"/>
    <cellStyle name="Normal 4 2 2 3 2 2 4 3 2" xfId="13995" xr:uid="{9E174A26-0FF9-469C-9073-99914E5172C8}"/>
    <cellStyle name="Normal 4 2 2 3 2 2 4 4" xfId="9777" xr:uid="{8DBBF4CB-301E-497B-B55E-3F3DF1B37287}"/>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CA553653-D949-4433-99CC-F55A96FC16A3}"/>
    <cellStyle name="Normal 4 2 2 3 2 2 5 2 3" xfId="12335" xr:uid="{2D324634-CA38-4C05-AB7A-B12FB85B3F84}"/>
    <cellStyle name="Normal 4 2 2 3 2 2 5 3" xfId="5958" xr:uid="{00000000-0005-0000-0000-000015120000}"/>
    <cellStyle name="Normal 4 2 2 3 2 2 5 3 2" xfId="14408" xr:uid="{DA836319-1A52-42FE-A3B1-405C9FB05640}"/>
    <cellStyle name="Normal 4 2 2 3 2 2 5 4" xfId="10190" xr:uid="{A1405F6F-8E30-4D69-9305-618AC0EF8DEF}"/>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5631FF99-B548-49DC-8798-7BA7A66B6803}"/>
    <cellStyle name="Normal 4 2 2 3 2 2 6 2 3" xfId="12748" xr:uid="{718242C9-982F-473A-8DF0-25B5A7F45244}"/>
    <cellStyle name="Normal 4 2 2 3 2 2 6 3" xfId="6371" xr:uid="{00000000-0005-0000-0000-000019120000}"/>
    <cellStyle name="Normal 4 2 2 3 2 2 6 3 2" xfId="14821" xr:uid="{4555D40E-522B-4DA0-9121-56DD8EA2CB2E}"/>
    <cellStyle name="Normal 4 2 2 3 2 2 6 4" xfId="10603" xr:uid="{C9AFCA86-2E3A-4AD3-9E95-17AE9BA183B2}"/>
    <cellStyle name="Normal 4 2 2 3 2 2 7" xfId="2501" xr:uid="{00000000-0005-0000-0000-00001A120000}"/>
    <cellStyle name="Normal 4 2 2 3 2 2 7 2" xfId="6784" xr:uid="{00000000-0005-0000-0000-00001B120000}"/>
    <cellStyle name="Normal 4 2 2 3 2 2 7 2 2" xfId="15234" xr:uid="{4986E036-40CE-4C57-B61D-5F0E12C820BD}"/>
    <cellStyle name="Normal 4 2 2 3 2 2 7 3" xfId="11016" xr:uid="{02E9EB22-8DB5-4201-A642-58CD4FB1A07E}"/>
    <cellStyle name="Normal 4 2 2 3 2 2 8" xfId="4719" xr:uid="{00000000-0005-0000-0000-00001C120000}"/>
    <cellStyle name="Normal 4 2 2 3 2 2 8 2" xfId="13169" xr:uid="{2E7993A6-538D-4E0F-B466-C0BC85819B92}"/>
    <cellStyle name="Normal 4 2 2 3 2 2 9" xfId="8951" xr:uid="{24807DEB-0481-4D72-87E1-4A3F634C554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27F2B55B-F937-4282-8E27-D7D6CF56065D}"/>
    <cellStyle name="Normal 4 2 2 3 2 3 2 2 3" xfId="11511" xr:uid="{FA287461-2CC6-4FC2-A134-FA7404BEC3A0}"/>
    <cellStyle name="Normal 4 2 2 3 2 3 2 3" xfId="5134" xr:uid="{00000000-0005-0000-0000-000021120000}"/>
    <cellStyle name="Normal 4 2 2 3 2 3 2 3 2" xfId="13584" xr:uid="{442ED183-7DD9-4C83-9366-6C24634FC653}"/>
    <cellStyle name="Normal 4 2 2 3 2 3 2 4" xfId="9366" xr:uid="{C3882D33-AC2C-46F1-A9DA-C3C07EC4F1C9}"/>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87477FC8-C6D6-4D30-BB3E-907B1FF06593}"/>
    <cellStyle name="Normal 4 2 2 3 2 3 3 2 3" xfId="11924" xr:uid="{F962E45E-730F-40F5-8D2E-4887DDF41241}"/>
    <cellStyle name="Normal 4 2 2 3 2 3 3 3" xfId="5547" xr:uid="{00000000-0005-0000-0000-000025120000}"/>
    <cellStyle name="Normal 4 2 2 3 2 3 3 3 2" xfId="13997" xr:uid="{E34CF16C-1358-4FD3-9B57-4D0FC5D0F9C0}"/>
    <cellStyle name="Normal 4 2 2 3 2 3 3 4" xfId="9779" xr:uid="{5C2933CC-FD2B-4CB3-9461-74078DBCFE0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DE204012-7627-416A-B88A-42E076E5B845}"/>
    <cellStyle name="Normal 4 2 2 3 2 3 4 2 3" xfId="12337" xr:uid="{FFCC55FF-6A96-42F1-9DA2-C07C12BEA40F}"/>
    <cellStyle name="Normal 4 2 2 3 2 3 4 3" xfId="5960" xr:uid="{00000000-0005-0000-0000-000029120000}"/>
    <cellStyle name="Normal 4 2 2 3 2 3 4 3 2" xfId="14410" xr:uid="{AA9E57B2-E7FA-4B52-917E-4733CA49F09D}"/>
    <cellStyle name="Normal 4 2 2 3 2 3 4 4" xfId="10192" xr:uid="{B74A5EB7-CE4A-453F-9503-25DDCF40AB46}"/>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68A0480C-1322-4A90-B391-5E558A88A0FC}"/>
    <cellStyle name="Normal 4 2 2 3 2 3 5 2 3" xfId="12750" xr:uid="{43864E0F-F30F-4C92-B432-BF8B322A3C6A}"/>
    <cellStyle name="Normal 4 2 2 3 2 3 5 3" xfId="6373" xr:uid="{00000000-0005-0000-0000-00002D120000}"/>
    <cellStyle name="Normal 4 2 2 3 2 3 5 3 2" xfId="14823" xr:uid="{3D615C11-750A-49FD-B89C-21224695BE85}"/>
    <cellStyle name="Normal 4 2 2 3 2 3 5 4" xfId="10605" xr:uid="{46E1C381-586A-4266-B152-9456A598D475}"/>
    <cellStyle name="Normal 4 2 2 3 2 3 6" xfId="2503" xr:uid="{00000000-0005-0000-0000-00002E120000}"/>
    <cellStyle name="Normal 4 2 2 3 2 3 6 2" xfId="6786" xr:uid="{00000000-0005-0000-0000-00002F120000}"/>
    <cellStyle name="Normal 4 2 2 3 2 3 6 2 2" xfId="15236" xr:uid="{249C3184-12D0-4F61-B41D-C49D251DD35F}"/>
    <cellStyle name="Normal 4 2 2 3 2 3 6 3" xfId="11018" xr:uid="{20825859-D182-49B5-9070-0CE07C92D73A}"/>
    <cellStyle name="Normal 4 2 2 3 2 3 7" xfId="4721" xr:uid="{00000000-0005-0000-0000-000030120000}"/>
    <cellStyle name="Normal 4 2 2 3 2 3 7 2" xfId="13171" xr:uid="{5A745A08-5E49-4019-8EAE-B453102EEA79}"/>
    <cellStyle name="Normal 4 2 2 3 2 3 8" xfId="8953" xr:uid="{3D9362C7-1A43-40CA-B944-C971B32C8C61}"/>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8444B29A-FA94-43A5-808D-059B4BC51461}"/>
    <cellStyle name="Normal 4 2 2 3 2 4 2 3" xfId="11508" xr:uid="{EF622169-4D54-4E1D-B0B5-135150CCEB20}"/>
    <cellStyle name="Normal 4 2 2 3 2 4 3" xfId="5131" xr:uid="{00000000-0005-0000-0000-000034120000}"/>
    <cellStyle name="Normal 4 2 2 3 2 4 3 2" xfId="13581" xr:uid="{DD69FC9C-A19A-44E8-AD96-1B84157FD5F9}"/>
    <cellStyle name="Normal 4 2 2 3 2 4 4" xfId="9363" xr:uid="{19F1F260-CB83-4AAD-868A-73D6CFA1DDFA}"/>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6576D663-D689-451F-9B18-41CFFD4D51EE}"/>
    <cellStyle name="Normal 4 2 2 3 2 5 2 3" xfId="11921" xr:uid="{AF72FB49-D27C-4B59-A6F1-C29254EE4E1A}"/>
    <cellStyle name="Normal 4 2 2 3 2 5 3" xfId="5544" xr:uid="{00000000-0005-0000-0000-000038120000}"/>
    <cellStyle name="Normal 4 2 2 3 2 5 3 2" xfId="13994" xr:uid="{D4C0D1A3-A904-4321-BA45-6CA6CCC74CEE}"/>
    <cellStyle name="Normal 4 2 2 3 2 5 4" xfId="9776" xr:uid="{6F2F9ED2-FAE6-4C12-BA96-6F72AD67418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CEE4126E-5622-4591-B0BB-1CF13AF9F826}"/>
    <cellStyle name="Normal 4 2 2 3 2 6 2 3" xfId="12334" xr:uid="{65B7260C-001A-4FB0-BA55-1557E587DBAA}"/>
    <cellStyle name="Normal 4 2 2 3 2 6 3" xfId="5957" xr:uid="{00000000-0005-0000-0000-00003C120000}"/>
    <cellStyle name="Normal 4 2 2 3 2 6 3 2" xfId="14407" xr:uid="{049D5945-A37C-4DDA-A9DB-4105D649DE23}"/>
    <cellStyle name="Normal 4 2 2 3 2 6 4" xfId="10189" xr:uid="{A4770BBB-A332-4D91-B7A2-7211EBFBF4A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A856DDA3-969C-4B7E-8066-79BDB317E1EE}"/>
    <cellStyle name="Normal 4 2 2 3 2 7 2 3" xfId="12747" xr:uid="{ACD08CAF-9C5D-4D51-8FD9-4D0327D145AA}"/>
    <cellStyle name="Normal 4 2 2 3 2 7 3" xfId="6370" xr:uid="{00000000-0005-0000-0000-000040120000}"/>
    <cellStyle name="Normal 4 2 2 3 2 7 3 2" xfId="14820" xr:uid="{A0291494-0D00-4BB9-92DB-DB567228C71F}"/>
    <cellStyle name="Normal 4 2 2 3 2 7 4" xfId="10602" xr:uid="{6A735A6C-7EE7-4B15-A552-B458387BE7B7}"/>
    <cellStyle name="Normal 4 2 2 3 2 8" xfId="2500" xr:uid="{00000000-0005-0000-0000-000041120000}"/>
    <cellStyle name="Normal 4 2 2 3 2 8 2" xfId="6783" xr:uid="{00000000-0005-0000-0000-000042120000}"/>
    <cellStyle name="Normal 4 2 2 3 2 8 2 2" xfId="15233" xr:uid="{430C8EB3-9734-457A-A3BA-B5CDB0B5D4C3}"/>
    <cellStyle name="Normal 4 2 2 3 2 8 3" xfId="11015" xr:uid="{1E14DA6C-FEEE-430B-9842-149CD03950BD}"/>
    <cellStyle name="Normal 4 2 2 3 2 9" xfId="4718" xr:uid="{00000000-0005-0000-0000-000043120000}"/>
    <cellStyle name="Normal 4 2 2 3 2 9 2" xfId="13168" xr:uid="{984EAB6F-63E7-4937-BDF9-E0842585DBD2}"/>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1795834E-1BC9-4A8C-89A6-601DDE30E6DE}"/>
    <cellStyle name="Normal 4 2 2 3 3 2 2 2 3" xfId="11513" xr:uid="{74F0BD05-5E09-4036-9DB4-5CE7FF71C5E9}"/>
    <cellStyle name="Normal 4 2 2 3 3 2 2 3" xfId="5136" xr:uid="{00000000-0005-0000-0000-000049120000}"/>
    <cellStyle name="Normal 4 2 2 3 3 2 2 3 2" xfId="13586" xr:uid="{41C44AA8-2090-4856-A1C5-655D91117B51}"/>
    <cellStyle name="Normal 4 2 2 3 3 2 2 4" xfId="9368" xr:uid="{DADEC19D-16EF-46B1-AAC0-433DD174098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8C22790F-D5C6-40E3-9881-9D63DB5D9EE6}"/>
    <cellStyle name="Normal 4 2 2 3 3 2 3 2 3" xfId="11926" xr:uid="{D5C8741A-5EA6-4B72-9878-B93646726E1E}"/>
    <cellStyle name="Normal 4 2 2 3 3 2 3 3" xfId="5549" xr:uid="{00000000-0005-0000-0000-00004D120000}"/>
    <cellStyle name="Normal 4 2 2 3 3 2 3 3 2" xfId="13999" xr:uid="{5639964E-564F-4CD6-A6E8-E002C0AC5ACD}"/>
    <cellStyle name="Normal 4 2 2 3 3 2 3 4" xfId="9781" xr:uid="{527DB58D-C36B-4F39-8415-0C1C7B22A5BF}"/>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CE2C3EDE-CAB2-46A2-A063-3608B3E78E2E}"/>
    <cellStyle name="Normal 4 2 2 3 3 2 4 2 3" xfId="12339" xr:uid="{5184D1A3-836F-4A47-9AF0-19704BB1164D}"/>
    <cellStyle name="Normal 4 2 2 3 3 2 4 3" xfId="5962" xr:uid="{00000000-0005-0000-0000-000051120000}"/>
    <cellStyle name="Normal 4 2 2 3 3 2 4 3 2" xfId="14412" xr:uid="{787D42C3-0989-4BCC-B863-C3CFBA8CE689}"/>
    <cellStyle name="Normal 4 2 2 3 3 2 4 4" xfId="10194" xr:uid="{2140505B-510C-4F7B-AC33-7F29EA48362F}"/>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AF7C05B8-D333-4B43-9F5C-3A184D6F0F3D}"/>
    <cellStyle name="Normal 4 2 2 3 3 2 5 2 3" xfId="12752" xr:uid="{7FC0F76F-4159-4BE8-AF48-441DC9E4CAC7}"/>
    <cellStyle name="Normal 4 2 2 3 3 2 5 3" xfId="6375" xr:uid="{00000000-0005-0000-0000-000055120000}"/>
    <cellStyle name="Normal 4 2 2 3 3 2 5 3 2" xfId="14825" xr:uid="{3C1A5A1A-6EA3-4A67-B406-CA2706F00A48}"/>
    <cellStyle name="Normal 4 2 2 3 3 2 5 4" xfId="10607" xr:uid="{FAA81B00-5D5B-4086-84D5-3154B77E7D81}"/>
    <cellStyle name="Normal 4 2 2 3 3 2 6" xfId="2505" xr:uid="{00000000-0005-0000-0000-000056120000}"/>
    <cellStyle name="Normal 4 2 2 3 3 2 6 2" xfId="6788" xr:uid="{00000000-0005-0000-0000-000057120000}"/>
    <cellStyle name="Normal 4 2 2 3 3 2 6 2 2" xfId="15238" xr:uid="{302F5703-5FEC-4366-817F-51D5D4DAA0E6}"/>
    <cellStyle name="Normal 4 2 2 3 3 2 6 3" xfId="11020" xr:uid="{C10D5CDB-682B-4AFA-B13B-C46E95BD3AFB}"/>
    <cellStyle name="Normal 4 2 2 3 3 2 7" xfId="4723" xr:uid="{00000000-0005-0000-0000-000058120000}"/>
    <cellStyle name="Normal 4 2 2 3 3 2 7 2" xfId="13173" xr:uid="{BD3B2B7F-0913-4B9D-B8FB-7916AA57EE98}"/>
    <cellStyle name="Normal 4 2 2 3 3 2 8" xfId="8955" xr:uid="{B4D0A484-4023-4DD4-9523-EF0D699E9CFF}"/>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175B0B46-0E08-478B-9A6F-C64B35339D9A}"/>
    <cellStyle name="Normal 4 2 2 3 3 3 2 3" xfId="11512" xr:uid="{F77FCD97-0026-4C9B-BD12-5185FB38B6DB}"/>
    <cellStyle name="Normal 4 2 2 3 3 3 3" xfId="5135" xr:uid="{00000000-0005-0000-0000-00005C120000}"/>
    <cellStyle name="Normal 4 2 2 3 3 3 3 2" xfId="13585" xr:uid="{B41D8DFF-B5AF-48F4-995C-51F83A7292CF}"/>
    <cellStyle name="Normal 4 2 2 3 3 3 4" xfId="9367" xr:uid="{6DB9D779-00F2-4C5B-B5EC-3C8A27F9682B}"/>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FB216D68-B136-4B36-8F1C-3D855C4A2A85}"/>
    <cellStyle name="Normal 4 2 2 3 3 4 2 3" xfId="11925" xr:uid="{B1A0127D-4903-4925-BA04-BE263A4E0FBF}"/>
    <cellStyle name="Normal 4 2 2 3 3 4 3" xfId="5548" xr:uid="{00000000-0005-0000-0000-000060120000}"/>
    <cellStyle name="Normal 4 2 2 3 3 4 3 2" xfId="13998" xr:uid="{824C0408-0FE3-498B-9F31-5E0512C13FAF}"/>
    <cellStyle name="Normal 4 2 2 3 3 4 4" xfId="9780" xr:uid="{EC02DFE9-0136-4FBA-A746-C340A5394C33}"/>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8611B394-6276-4B18-97A9-A5F05C129A36}"/>
    <cellStyle name="Normal 4 2 2 3 3 5 2 3" xfId="12338" xr:uid="{653D9DA5-757C-43B0-B280-A992EA00F87F}"/>
    <cellStyle name="Normal 4 2 2 3 3 5 3" xfId="5961" xr:uid="{00000000-0005-0000-0000-000064120000}"/>
    <cellStyle name="Normal 4 2 2 3 3 5 3 2" xfId="14411" xr:uid="{32110F95-7E62-4CEF-AEDF-B44A67904C92}"/>
    <cellStyle name="Normal 4 2 2 3 3 5 4" xfId="10193" xr:uid="{089D688E-B145-47E7-8710-AB2ABEAA120B}"/>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DE684FD2-6947-4E3C-B62E-101677EE24EA}"/>
    <cellStyle name="Normal 4 2 2 3 3 6 2 3" xfId="12751" xr:uid="{77A06B9E-1DE7-4FF1-9662-149FF5BB5D85}"/>
    <cellStyle name="Normal 4 2 2 3 3 6 3" xfId="6374" xr:uid="{00000000-0005-0000-0000-000068120000}"/>
    <cellStyle name="Normal 4 2 2 3 3 6 3 2" xfId="14824" xr:uid="{17BC6F6C-45E1-4E69-B8F6-FB754F9CB424}"/>
    <cellStyle name="Normal 4 2 2 3 3 6 4" xfId="10606" xr:uid="{2EEE3F38-0134-4032-8F84-295F7EDB8C38}"/>
    <cellStyle name="Normal 4 2 2 3 3 7" xfId="2504" xr:uid="{00000000-0005-0000-0000-000069120000}"/>
    <cellStyle name="Normal 4 2 2 3 3 7 2" xfId="6787" xr:uid="{00000000-0005-0000-0000-00006A120000}"/>
    <cellStyle name="Normal 4 2 2 3 3 7 2 2" xfId="15237" xr:uid="{EF4D8EE6-7FCF-4860-B7E7-79389C5A4CBA}"/>
    <cellStyle name="Normal 4 2 2 3 3 7 3" xfId="11019" xr:uid="{4CAED5C7-C6A1-4962-84B7-5D25EF5F8FA5}"/>
    <cellStyle name="Normal 4 2 2 3 3 8" xfId="4722" xr:uid="{00000000-0005-0000-0000-00006B120000}"/>
    <cellStyle name="Normal 4 2 2 3 3 8 2" xfId="13172" xr:uid="{72546BC4-B696-444C-BE45-4C96AF1EDA2D}"/>
    <cellStyle name="Normal 4 2 2 3 3 9" xfId="8954" xr:uid="{E5971825-15A1-4CD4-8D20-03A3619F2B2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16E6AB26-1CE8-4CDF-933B-F5A5EA22E863}"/>
    <cellStyle name="Normal 4 2 2 3 4 2 2 3" xfId="11514" xr:uid="{5AF6BDE3-860E-467E-A275-6A4BAAA18769}"/>
    <cellStyle name="Normal 4 2 2 3 4 2 3" xfId="5137" xr:uid="{00000000-0005-0000-0000-000070120000}"/>
    <cellStyle name="Normal 4 2 2 3 4 2 3 2" xfId="13587" xr:uid="{95E777FD-AA7D-4A4D-8A95-4188C941A271}"/>
    <cellStyle name="Normal 4 2 2 3 4 2 4" xfId="9369" xr:uid="{20207E4F-D030-4B96-AC8D-B07D8AFFDCB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DE0472EE-4F45-46E6-AD45-EE0239EF8D4C}"/>
    <cellStyle name="Normal 4 2 2 3 4 3 2 3" xfId="11927" xr:uid="{003B904C-E5D9-4C54-ADFC-30DC3A18EECC}"/>
    <cellStyle name="Normal 4 2 2 3 4 3 3" xfId="5550" xr:uid="{00000000-0005-0000-0000-000074120000}"/>
    <cellStyle name="Normal 4 2 2 3 4 3 3 2" xfId="14000" xr:uid="{3F400E11-21C3-46D6-9EE6-F430EA457792}"/>
    <cellStyle name="Normal 4 2 2 3 4 3 4" xfId="9782" xr:uid="{8C218FEE-B73A-4DC4-8CC4-5A113056CD81}"/>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82628377-BAD3-40BC-A434-05EAB0A16DA3}"/>
    <cellStyle name="Normal 4 2 2 3 4 4 2 3" xfId="12340" xr:uid="{8DB8C8A6-D369-4A01-A17A-79B64A03D884}"/>
    <cellStyle name="Normal 4 2 2 3 4 4 3" xfId="5963" xr:uid="{00000000-0005-0000-0000-000078120000}"/>
    <cellStyle name="Normal 4 2 2 3 4 4 3 2" xfId="14413" xr:uid="{D98935E1-219F-4523-8B1E-E3C93F76735A}"/>
    <cellStyle name="Normal 4 2 2 3 4 4 4" xfId="10195" xr:uid="{2EB7407A-EB21-413B-B617-70A88603C1A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0CF2B6EE-715C-4BF1-B1AA-32CFD1979608}"/>
    <cellStyle name="Normal 4 2 2 3 4 5 2 3" xfId="12753" xr:uid="{E87B7FAB-35CC-40F1-A76F-18E07850BD03}"/>
    <cellStyle name="Normal 4 2 2 3 4 5 3" xfId="6376" xr:uid="{00000000-0005-0000-0000-00007C120000}"/>
    <cellStyle name="Normal 4 2 2 3 4 5 3 2" xfId="14826" xr:uid="{888B94A4-5DA9-4D27-AB85-988A292A3F4A}"/>
    <cellStyle name="Normal 4 2 2 3 4 5 4" xfId="10608" xr:uid="{170E257C-2E39-47AC-8641-EE460847E339}"/>
    <cellStyle name="Normal 4 2 2 3 4 6" xfId="2506" xr:uid="{00000000-0005-0000-0000-00007D120000}"/>
    <cellStyle name="Normal 4 2 2 3 4 6 2" xfId="6789" xr:uid="{00000000-0005-0000-0000-00007E120000}"/>
    <cellStyle name="Normal 4 2 2 3 4 6 2 2" xfId="15239" xr:uid="{307127B4-8440-4ABD-BD9C-3C7A33708129}"/>
    <cellStyle name="Normal 4 2 2 3 4 6 3" xfId="11021" xr:uid="{B2282C24-7938-40C5-BA60-BAD718457C9C}"/>
    <cellStyle name="Normal 4 2 2 3 4 7" xfId="4724" xr:uid="{00000000-0005-0000-0000-00007F120000}"/>
    <cellStyle name="Normal 4 2 2 3 4 7 2" xfId="13174" xr:uid="{F283FF67-2E65-478C-B394-7C99BCB79D7D}"/>
    <cellStyle name="Normal 4 2 2 3 4 8" xfId="8956" xr:uid="{6350DE6E-2A3B-40AD-8054-52EF66EF64F0}"/>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FB5D1670-B8C7-47C9-B50B-B546A1B3695A}"/>
    <cellStyle name="Normal 4 2 2 3 5 2 3" xfId="11507" xr:uid="{D63D561E-C4A7-495F-8DC3-7C1560A349F9}"/>
    <cellStyle name="Normal 4 2 2 3 5 3" xfId="5130" xr:uid="{00000000-0005-0000-0000-000083120000}"/>
    <cellStyle name="Normal 4 2 2 3 5 3 2" xfId="13580" xr:uid="{039AB6C8-082E-498E-8594-15651270EA28}"/>
    <cellStyle name="Normal 4 2 2 3 5 4" xfId="9362" xr:uid="{9F2444B7-232C-46A4-84D4-0218219AB125}"/>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A8837E2C-8C47-488D-A701-DB09579B151E}"/>
    <cellStyle name="Normal 4 2 2 3 6 2 3" xfId="11920" xr:uid="{F8EB7450-4881-4AC9-9309-55A6F87A1658}"/>
    <cellStyle name="Normal 4 2 2 3 6 3" xfId="5543" xr:uid="{00000000-0005-0000-0000-000087120000}"/>
    <cellStyle name="Normal 4 2 2 3 6 3 2" xfId="13993" xr:uid="{20379F80-C08D-49D1-A9BC-8EF4C883C93A}"/>
    <cellStyle name="Normal 4 2 2 3 6 4" xfId="9775" xr:uid="{6EB32263-2989-4357-9D95-A948B655A40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31ED8CAD-72E5-4BBA-BC5E-49DC8FFCC3D1}"/>
    <cellStyle name="Normal 4 2 2 3 7 2 3" xfId="12333" xr:uid="{495A4C6D-A071-4D71-8640-E59C4FE632F8}"/>
    <cellStyle name="Normal 4 2 2 3 7 3" xfId="5956" xr:uid="{00000000-0005-0000-0000-00008B120000}"/>
    <cellStyle name="Normal 4 2 2 3 7 3 2" xfId="14406" xr:uid="{CAC3E555-E25E-4410-9D5A-CCA3B332C277}"/>
    <cellStyle name="Normal 4 2 2 3 7 4" xfId="10188" xr:uid="{C6E27B6B-7A45-4BA1-8065-8887195887B0}"/>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F2349AA6-6D68-4C79-AC11-B49AD214634F}"/>
    <cellStyle name="Normal 4 2 2 3 8 2 3" xfId="12746" xr:uid="{5D76C3C9-6352-4F2E-8087-0D21F99B314D}"/>
    <cellStyle name="Normal 4 2 2 3 8 3" xfId="6369" xr:uid="{00000000-0005-0000-0000-00008F120000}"/>
    <cellStyle name="Normal 4 2 2 3 8 3 2" xfId="14819" xr:uid="{980C1D18-8DBA-4CD2-8A6F-67BD2FCFD0B4}"/>
    <cellStyle name="Normal 4 2 2 3 8 4" xfId="10601" xr:uid="{4BBC44EB-E6E8-4BA7-B7D6-CF8C83EC3EE2}"/>
    <cellStyle name="Normal 4 2 2 3 9" xfId="2499" xr:uid="{00000000-0005-0000-0000-000090120000}"/>
    <cellStyle name="Normal 4 2 2 3 9 2" xfId="6782" xr:uid="{00000000-0005-0000-0000-000091120000}"/>
    <cellStyle name="Normal 4 2 2 3 9 2 2" xfId="15232" xr:uid="{AF86D34F-26C6-43EC-BCD5-0573DA85823E}"/>
    <cellStyle name="Normal 4 2 2 3 9 3" xfId="11014" xr:uid="{1C3FE59F-EBB5-4DE1-A5A2-44EABB72DCA9}"/>
    <cellStyle name="Normal 4 2 2 4" xfId="347" xr:uid="{00000000-0005-0000-0000-000092120000}"/>
    <cellStyle name="Normal 4 2 2 4 10" xfId="8957" xr:uid="{C8038A53-D3FF-42B8-A921-9C0F87C52973}"/>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B729B1F2-AD83-4D3D-ABBA-9B60287C7883}"/>
    <cellStyle name="Normal 4 2 2 4 2 2 2 2 3" xfId="11517" xr:uid="{CF6964F0-D264-48ED-A193-54065A02191D}"/>
    <cellStyle name="Normal 4 2 2 4 2 2 2 3" xfId="5140" xr:uid="{00000000-0005-0000-0000-000098120000}"/>
    <cellStyle name="Normal 4 2 2 4 2 2 2 3 2" xfId="13590" xr:uid="{201C37BD-D8E8-4CE9-BDDC-7BE881F4F3D9}"/>
    <cellStyle name="Normal 4 2 2 4 2 2 2 4" xfId="9372" xr:uid="{64B7F37D-0FE4-441D-9BA6-21DDFD454595}"/>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11F36BAC-109E-4DE4-972B-5D5AC743BB19}"/>
    <cellStyle name="Normal 4 2 2 4 2 2 3 2 3" xfId="11930" xr:uid="{927E3F13-C859-4910-966B-5C7BACB24B4C}"/>
    <cellStyle name="Normal 4 2 2 4 2 2 3 3" xfId="5553" xr:uid="{00000000-0005-0000-0000-00009C120000}"/>
    <cellStyle name="Normal 4 2 2 4 2 2 3 3 2" xfId="14003" xr:uid="{FF6CBC1E-C53A-4A57-998E-56B3FBB267D3}"/>
    <cellStyle name="Normal 4 2 2 4 2 2 3 4" xfId="9785" xr:uid="{7025F39D-70BC-4264-B6AF-C61D0C424CA5}"/>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89398D66-5B39-4D9D-91F5-A9111810ADCF}"/>
    <cellStyle name="Normal 4 2 2 4 2 2 4 2 3" xfId="12343" xr:uid="{3B48E145-2E3D-4E38-939E-392E8A5A234A}"/>
    <cellStyle name="Normal 4 2 2 4 2 2 4 3" xfId="5966" xr:uid="{00000000-0005-0000-0000-0000A0120000}"/>
    <cellStyle name="Normal 4 2 2 4 2 2 4 3 2" xfId="14416" xr:uid="{20ADA5B4-6361-4623-95CF-5E224065C545}"/>
    <cellStyle name="Normal 4 2 2 4 2 2 4 4" xfId="10198" xr:uid="{72D5AA2D-684B-4A17-9938-5F83A77CCDE5}"/>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FED0961A-5E3D-46E0-91A4-F411C625AEA7}"/>
    <cellStyle name="Normal 4 2 2 4 2 2 5 2 3" xfId="12756" xr:uid="{F6497E93-A390-4AD6-B121-71A73DA300FD}"/>
    <cellStyle name="Normal 4 2 2 4 2 2 5 3" xfId="6379" xr:uid="{00000000-0005-0000-0000-0000A4120000}"/>
    <cellStyle name="Normal 4 2 2 4 2 2 5 3 2" xfId="14829" xr:uid="{E16DD06F-7874-48EC-BFA7-B96CA1379809}"/>
    <cellStyle name="Normal 4 2 2 4 2 2 5 4" xfId="10611" xr:uid="{8ECF2520-4D83-4405-8267-8E50CADC7305}"/>
    <cellStyle name="Normal 4 2 2 4 2 2 6" xfId="2509" xr:uid="{00000000-0005-0000-0000-0000A5120000}"/>
    <cellStyle name="Normal 4 2 2 4 2 2 6 2" xfId="6792" xr:uid="{00000000-0005-0000-0000-0000A6120000}"/>
    <cellStyle name="Normal 4 2 2 4 2 2 6 2 2" xfId="15242" xr:uid="{B4F5D4D5-564E-446C-B216-B59C3CA5908A}"/>
    <cellStyle name="Normal 4 2 2 4 2 2 6 3" xfId="11024" xr:uid="{60680A1E-A05C-4EDD-905E-0E3D1DE9DA09}"/>
    <cellStyle name="Normal 4 2 2 4 2 2 7" xfId="4727" xr:uid="{00000000-0005-0000-0000-0000A7120000}"/>
    <cellStyle name="Normal 4 2 2 4 2 2 7 2" xfId="13177" xr:uid="{CCA427A1-B67A-4F86-B262-29EB21261ADC}"/>
    <cellStyle name="Normal 4 2 2 4 2 2 8" xfId="8959" xr:uid="{64CBA398-D73C-4793-BCB6-F162983CF283}"/>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FD10AF1E-4EDE-4DC7-B121-658B8AC366BF}"/>
    <cellStyle name="Normal 4 2 2 4 2 3 2 3" xfId="11516" xr:uid="{6482F6F3-A9BF-443D-A7DC-3AAA5DD4E120}"/>
    <cellStyle name="Normal 4 2 2 4 2 3 3" xfId="5139" xr:uid="{00000000-0005-0000-0000-0000AB120000}"/>
    <cellStyle name="Normal 4 2 2 4 2 3 3 2" xfId="13589" xr:uid="{E0E09353-7766-4486-A04D-12A09036D95B}"/>
    <cellStyle name="Normal 4 2 2 4 2 3 4" xfId="9371" xr:uid="{5ADDCB6E-3DAF-4B04-A240-69C25BA8A5F7}"/>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A9394D79-FB99-4326-AB17-BF4F5C3E0A16}"/>
    <cellStyle name="Normal 4 2 2 4 2 4 2 3" xfId="11929" xr:uid="{3FA9A156-507E-4ECA-9049-7756E1E45899}"/>
    <cellStyle name="Normal 4 2 2 4 2 4 3" xfId="5552" xr:uid="{00000000-0005-0000-0000-0000AF120000}"/>
    <cellStyle name="Normal 4 2 2 4 2 4 3 2" xfId="14002" xr:uid="{7441290D-8D6D-4D9F-A0B9-1F2CA95B239B}"/>
    <cellStyle name="Normal 4 2 2 4 2 4 4" xfId="9784" xr:uid="{DA556A2B-3815-4328-8071-0BD728704D2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E3BBF51C-864F-4360-ACD4-56D83A84F376}"/>
    <cellStyle name="Normal 4 2 2 4 2 5 2 3" xfId="12342" xr:uid="{A2A5828E-4394-4107-A8E2-35F7847578DF}"/>
    <cellStyle name="Normal 4 2 2 4 2 5 3" xfId="5965" xr:uid="{00000000-0005-0000-0000-0000B3120000}"/>
    <cellStyle name="Normal 4 2 2 4 2 5 3 2" xfId="14415" xr:uid="{8C81983F-A2DE-4C51-832A-212672AF3BC1}"/>
    <cellStyle name="Normal 4 2 2 4 2 5 4" xfId="10197" xr:uid="{974662DB-FA90-445E-86E3-C548C5323DBD}"/>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6AA5E023-D718-4989-920E-7B25755D0C0F}"/>
    <cellStyle name="Normal 4 2 2 4 2 6 2 3" xfId="12755" xr:uid="{C90F918A-CE0C-49D1-9D04-EEB6C928B5AB}"/>
    <cellStyle name="Normal 4 2 2 4 2 6 3" xfId="6378" xr:uid="{00000000-0005-0000-0000-0000B7120000}"/>
    <cellStyle name="Normal 4 2 2 4 2 6 3 2" xfId="14828" xr:uid="{C6BCC5B4-1CD0-4712-9BCF-52F1074E8618}"/>
    <cellStyle name="Normal 4 2 2 4 2 6 4" xfId="10610" xr:uid="{A32B9DE5-E3B4-4471-94BD-DFBFD0D1F6B3}"/>
    <cellStyle name="Normal 4 2 2 4 2 7" xfId="2508" xr:uid="{00000000-0005-0000-0000-0000B8120000}"/>
    <cellStyle name="Normal 4 2 2 4 2 7 2" xfId="6791" xr:uid="{00000000-0005-0000-0000-0000B9120000}"/>
    <cellStyle name="Normal 4 2 2 4 2 7 2 2" xfId="15241" xr:uid="{509F85B9-9E5F-4AA2-97FC-35FF659ECBFF}"/>
    <cellStyle name="Normal 4 2 2 4 2 7 3" xfId="11023" xr:uid="{E0EA6F88-F2E4-471C-B682-75C5B1F45415}"/>
    <cellStyle name="Normal 4 2 2 4 2 8" xfId="4726" xr:uid="{00000000-0005-0000-0000-0000BA120000}"/>
    <cellStyle name="Normal 4 2 2 4 2 8 2" xfId="13176" xr:uid="{B01D85E1-CF73-4CCC-A3BE-CCC19999E19A}"/>
    <cellStyle name="Normal 4 2 2 4 2 9" xfId="8958" xr:uid="{0A8A7833-C671-496B-9AD8-72D30227ED13}"/>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C9F6907B-EE83-4084-AA8E-3A7468AF1BFF}"/>
    <cellStyle name="Normal 4 2 2 4 3 2 2 3" xfId="11518" xr:uid="{ACC45FF9-B352-4BFF-9FFF-A851CAE0F05E}"/>
    <cellStyle name="Normal 4 2 2 4 3 2 3" xfId="5141" xr:uid="{00000000-0005-0000-0000-0000BF120000}"/>
    <cellStyle name="Normal 4 2 2 4 3 2 3 2" xfId="13591" xr:uid="{7A8D6B16-D399-4C39-BFDB-5850F88DE037}"/>
    <cellStyle name="Normal 4 2 2 4 3 2 4" xfId="9373" xr:uid="{6719A1CB-FC89-4481-A7B3-B710B681522C}"/>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9ED691B4-8FCD-4FDD-8702-FC648CEBE71D}"/>
    <cellStyle name="Normal 4 2 2 4 3 3 2 3" xfId="11931" xr:uid="{8CCAB75D-1085-4080-B039-C14015F4BD59}"/>
    <cellStyle name="Normal 4 2 2 4 3 3 3" xfId="5554" xr:uid="{00000000-0005-0000-0000-0000C3120000}"/>
    <cellStyle name="Normal 4 2 2 4 3 3 3 2" xfId="14004" xr:uid="{13B0776A-39C9-48FD-AAC4-840CE698126D}"/>
    <cellStyle name="Normal 4 2 2 4 3 3 4" xfId="9786" xr:uid="{AE07324B-9F6B-469A-82D9-0B51BAF3E7F2}"/>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6264C584-7506-43AB-BCDD-C31495449E61}"/>
    <cellStyle name="Normal 4 2 2 4 3 4 2 3" xfId="12344" xr:uid="{19299624-046E-467E-A3E1-6639D7725948}"/>
    <cellStyle name="Normal 4 2 2 4 3 4 3" xfId="5967" xr:uid="{00000000-0005-0000-0000-0000C7120000}"/>
    <cellStyle name="Normal 4 2 2 4 3 4 3 2" xfId="14417" xr:uid="{FE26BC5C-D00A-4BB0-9B42-8BDCDBDF7B31}"/>
    <cellStyle name="Normal 4 2 2 4 3 4 4" xfId="10199" xr:uid="{EA6142B8-3240-4988-832B-82DFFEAE36EC}"/>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7A4D9D27-E751-470A-B9F9-3C658F7D86C1}"/>
    <cellStyle name="Normal 4 2 2 4 3 5 2 3" xfId="12757" xr:uid="{43BA4777-4DEF-4717-9BAB-A0F479659F2C}"/>
    <cellStyle name="Normal 4 2 2 4 3 5 3" xfId="6380" xr:uid="{00000000-0005-0000-0000-0000CB120000}"/>
    <cellStyle name="Normal 4 2 2 4 3 5 3 2" xfId="14830" xr:uid="{EF83C040-E149-4105-8A4D-31000F7B66AD}"/>
    <cellStyle name="Normal 4 2 2 4 3 5 4" xfId="10612" xr:uid="{B5E12A29-CECE-4AAD-B1F5-7991304EF570}"/>
    <cellStyle name="Normal 4 2 2 4 3 6" xfId="2510" xr:uid="{00000000-0005-0000-0000-0000CC120000}"/>
    <cellStyle name="Normal 4 2 2 4 3 6 2" xfId="6793" xr:uid="{00000000-0005-0000-0000-0000CD120000}"/>
    <cellStyle name="Normal 4 2 2 4 3 6 2 2" xfId="15243" xr:uid="{6261417D-D977-47B0-A1B3-0A1950168543}"/>
    <cellStyle name="Normal 4 2 2 4 3 6 3" xfId="11025" xr:uid="{D4B26755-CA40-44A2-B4E9-C4B7DB67287C}"/>
    <cellStyle name="Normal 4 2 2 4 3 7" xfId="4728" xr:uid="{00000000-0005-0000-0000-0000CE120000}"/>
    <cellStyle name="Normal 4 2 2 4 3 7 2" xfId="13178" xr:uid="{E098174D-19FD-4BA8-809B-0CE57D13D829}"/>
    <cellStyle name="Normal 4 2 2 4 3 8" xfId="8960" xr:uid="{27097608-C23E-49B3-9C93-E1855131E70F}"/>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E64B17FD-8A2A-481C-9502-F1DE2E58A464}"/>
    <cellStyle name="Normal 4 2 2 4 4 2 3" xfId="11515" xr:uid="{3B062DE4-96D2-4993-8686-82373873A854}"/>
    <cellStyle name="Normal 4 2 2 4 4 3" xfId="5138" xr:uid="{00000000-0005-0000-0000-0000D2120000}"/>
    <cellStyle name="Normal 4 2 2 4 4 3 2" xfId="13588" xr:uid="{DD9FD8B6-BC1A-4C65-BF3C-73A240F217F0}"/>
    <cellStyle name="Normal 4 2 2 4 4 4" xfId="9370" xr:uid="{B8FD5B36-9274-4EB8-80E2-06C16A88C56B}"/>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34814F56-3533-4EC5-A515-FE8A4DF4F382}"/>
    <cellStyle name="Normal 4 2 2 4 5 2 3" xfId="11928" xr:uid="{4CEE9956-3E01-4B07-A367-6016F9D21F03}"/>
    <cellStyle name="Normal 4 2 2 4 5 3" xfId="5551" xr:uid="{00000000-0005-0000-0000-0000D6120000}"/>
    <cellStyle name="Normal 4 2 2 4 5 3 2" xfId="14001" xr:uid="{8EEDD2A9-BCD5-4D14-A7AE-B672BF2C4DAA}"/>
    <cellStyle name="Normal 4 2 2 4 5 4" xfId="9783" xr:uid="{09EAB111-636F-4BA5-A2F7-389AFDE42DCF}"/>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9BDB2A73-21E3-4A98-95B8-C6C5B5DAF8CD}"/>
    <cellStyle name="Normal 4 2 2 4 6 2 3" xfId="12341" xr:uid="{D2EC3AF6-281F-4158-9633-2FC3DDE7D933}"/>
    <cellStyle name="Normal 4 2 2 4 6 3" xfId="5964" xr:uid="{00000000-0005-0000-0000-0000DA120000}"/>
    <cellStyle name="Normal 4 2 2 4 6 3 2" xfId="14414" xr:uid="{72CE18E4-48DC-4EE0-8499-758372E0A258}"/>
    <cellStyle name="Normal 4 2 2 4 6 4" xfId="10196" xr:uid="{A0416FD5-61FC-49E1-981C-6C0675900E2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F041CBDB-C1EF-4BA7-8955-816AA2908C48}"/>
    <cellStyle name="Normal 4 2 2 4 7 2 3" xfId="12754" xr:uid="{108AC549-11DF-4069-B383-75B93D2CA53A}"/>
    <cellStyle name="Normal 4 2 2 4 7 3" xfId="6377" xr:uid="{00000000-0005-0000-0000-0000DE120000}"/>
    <cellStyle name="Normal 4 2 2 4 7 3 2" xfId="14827" xr:uid="{A36D18CE-F80F-4B5C-853B-2343D2F27122}"/>
    <cellStyle name="Normal 4 2 2 4 7 4" xfId="10609" xr:uid="{4F787DAE-C393-4AF0-9CFA-70A396E12DB4}"/>
    <cellStyle name="Normal 4 2 2 4 8" xfId="2507" xr:uid="{00000000-0005-0000-0000-0000DF120000}"/>
    <cellStyle name="Normal 4 2 2 4 8 2" xfId="6790" xr:uid="{00000000-0005-0000-0000-0000E0120000}"/>
    <cellStyle name="Normal 4 2 2 4 8 2 2" xfId="15240" xr:uid="{DC39E5FC-FF4A-4663-83E1-DD7E1375BC1B}"/>
    <cellStyle name="Normal 4 2 2 4 8 3" xfId="11022" xr:uid="{ED40324C-7934-4FFA-92FE-C10D562E200C}"/>
    <cellStyle name="Normal 4 2 2 4 9" xfId="4725" xr:uid="{00000000-0005-0000-0000-0000E1120000}"/>
    <cellStyle name="Normal 4 2 2 4 9 2" xfId="13175" xr:uid="{0A448DDE-2491-4B14-8586-408A73AFD176}"/>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D625D3EE-078B-410A-A21F-795135EE2A63}"/>
    <cellStyle name="Normal 4 2 2 5 2 2 2 3" xfId="11520" xr:uid="{D345A6A5-A399-494A-92A9-0964A32EE1EB}"/>
    <cellStyle name="Normal 4 2 2 5 2 2 3" xfId="5143" xr:uid="{00000000-0005-0000-0000-0000E7120000}"/>
    <cellStyle name="Normal 4 2 2 5 2 2 3 2" xfId="13593" xr:uid="{B2CC1627-01CD-4A5A-B44B-4BDC8BBD6988}"/>
    <cellStyle name="Normal 4 2 2 5 2 2 4" xfId="9375" xr:uid="{D7B1216E-E5C4-4D1C-A8DD-A9E09C7FBF4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224E8638-D1F9-421B-AF37-F70A25925833}"/>
    <cellStyle name="Normal 4 2 2 5 2 3 2 3" xfId="11933" xr:uid="{A35899E9-9BF1-4A09-925C-347A5B0338F8}"/>
    <cellStyle name="Normal 4 2 2 5 2 3 3" xfId="5556" xr:uid="{00000000-0005-0000-0000-0000EB120000}"/>
    <cellStyle name="Normal 4 2 2 5 2 3 3 2" xfId="14006" xr:uid="{DA7EF05E-1479-4B67-8EB4-52B5C9744A57}"/>
    <cellStyle name="Normal 4 2 2 5 2 3 4" xfId="9788" xr:uid="{1C1D7577-22D0-4C12-907D-B2034B22F98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1E76FD77-4FA0-44A0-B8F9-B0B375476848}"/>
    <cellStyle name="Normal 4 2 2 5 2 4 2 3" xfId="12346" xr:uid="{CC0D78A0-B91B-4816-8725-87F1791D84C5}"/>
    <cellStyle name="Normal 4 2 2 5 2 4 3" xfId="5969" xr:uid="{00000000-0005-0000-0000-0000EF120000}"/>
    <cellStyle name="Normal 4 2 2 5 2 4 3 2" xfId="14419" xr:uid="{6F698D9D-E4A7-465F-A946-795CE4677463}"/>
    <cellStyle name="Normal 4 2 2 5 2 4 4" xfId="10201" xr:uid="{19CFA812-E8A9-4079-9E90-C6755C4E7B85}"/>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1877ACF8-B467-4234-AFFC-58F0BAF41607}"/>
    <cellStyle name="Normal 4 2 2 5 2 5 2 3" xfId="12759" xr:uid="{A1D6E976-FFC7-4D2F-9B8B-A1B0445B6B09}"/>
    <cellStyle name="Normal 4 2 2 5 2 5 3" xfId="6382" xr:uid="{00000000-0005-0000-0000-0000F3120000}"/>
    <cellStyle name="Normal 4 2 2 5 2 5 3 2" xfId="14832" xr:uid="{447A53C6-4FA9-4085-849E-4B78AECBB84A}"/>
    <cellStyle name="Normal 4 2 2 5 2 5 4" xfId="10614" xr:uid="{3DD89C61-66EB-4411-BE21-7E18025C38E5}"/>
    <cellStyle name="Normal 4 2 2 5 2 6" xfId="2512" xr:uid="{00000000-0005-0000-0000-0000F4120000}"/>
    <cellStyle name="Normal 4 2 2 5 2 6 2" xfId="6795" xr:uid="{00000000-0005-0000-0000-0000F5120000}"/>
    <cellStyle name="Normal 4 2 2 5 2 6 2 2" xfId="15245" xr:uid="{204C23F5-D72A-469B-B05D-E96A6CE71DC6}"/>
    <cellStyle name="Normal 4 2 2 5 2 6 3" xfId="11027" xr:uid="{C2944E09-9DB5-4671-BE75-C1458BAFC481}"/>
    <cellStyle name="Normal 4 2 2 5 2 7" xfId="4730" xr:uid="{00000000-0005-0000-0000-0000F6120000}"/>
    <cellStyle name="Normal 4 2 2 5 2 7 2" xfId="13180" xr:uid="{D45959CC-DE85-438F-AED6-C120C9FD2A34}"/>
    <cellStyle name="Normal 4 2 2 5 2 8" xfId="8962" xr:uid="{8144C434-7B5B-4FEC-99EB-50A8DFBA0A28}"/>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70C80D08-BBC3-498D-B7F1-F248751ADD8C}"/>
    <cellStyle name="Normal 4 2 2 5 3 2 3" xfId="11519" xr:uid="{AC0BE5C3-2ABF-409C-B9E0-EEB6507F55BF}"/>
    <cellStyle name="Normal 4 2 2 5 3 3" xfId="5142" xr:uid="{00000000-0005-0000-0000-0000FA120000}"/>
    <cellStyle name="Normal 4 2 2 5 3 3 2" xfId="13592" xr:uid="{19ED1B3B-631A-4857-9CFC-EC98D702F10F}"/>
    <cellStyle name="Normal 4 2 2 5 3 4" xfId="9374" xr:uid="{00A72778-D0B1-438A-BC47-5A3D4B7AA358}"/>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83AC1DBA-E3A7-4CD1-B2E3-2D99CF661483}"/>
    <cellStyle name="Normal 4 2 2 5 4 2 3" xfId="11932" xr:uid="{FFA4704A-3B61-4604-B0F6-3F56398F4180}"/>
    <cellStyle name="Normal 4 2 2 5 4 3" xfId="5555" xr:uid="{00000000-0005-0000-0000-0000FE120000}"/>
    <cellStyle name="Normal 4 2 2 5 4 3 2" xfId="14005" xr:uid="{C6EDE993-0FC2-43ED-BF71-08CCAE3D7E11}"/>
    <cellStyle name="Normal 4 2 2 5 4 4" xfId="9787" xr:uid="{E536DB3D-6EF9-4077-958D-C33A66144881}"/>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EC4B2808-7B87-4352-BE6C-5887283A50FB}"/>
    <cellStyle name="Normal 4 2 2 5 5 2 3" xfId="12345" xr:uid="{32708D5C-84FA-42F6-93DA-45BB605AF8F7}"/>
    <cellStyle name="Normal 4 2 2 5 5 3" xfId="5968" xr:uid="{00000000-0005-0000-0000-000002130000}"/>
    <cellStyle name="Normal 4 2 2 5 5 3 2" xfId="14418" xr:uid="{8FEBF993-8D13-4697-A7EC-3E0203A3A87B}"/>
    <cellStyle name="Normal 4 2 2 5 5 4" xfId="10200" xr:uid="{F8762796-AB1B-4C07-BF2F-CF67C99D702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F235CAD0-1BFD-4746-9E35-0E3D9975FB47}"/>
    <cellStyle name="Normal 4 2 2 5 6 2 3" xfId="12758" xr:uid="{9D18285E-5865-4090-ACC6-4C42058E3DA3}"/>
    <cellStyle name="Normal 4 2 2 5 6 3" xfId="6381" xr:uid="{00000000-0005-0000-0000-000006130000}"/>
    <cellStyle name="Normal 4 2 2 5 6 3 2" xfId="14831" xr:uid="{A248438D-5949-409B-9C7F-96ECA4453583}"/>
    <cellStyle name="Normal 4 2 2 5 6 4" xfId="10613" xr:uid="{70E4DD82-AA53-4079-A972-1343B4F389BD}"/>
    <cellStyle name="Normal 4 2 2 5 7" xfId="2511" xr:uid="{00000000-0005-0000-0000-000007130000}"/>
    <cellStyle name="Normal 4 2 2 5 7 2" xfId="6794" xr:uid="{00000000-0005-0000-0000-000008130000}"/>
    <cellStyle name="Normal 4 2 2 5 7 2 2" xfId="15244" xr:uid="{F4F0D30E-3C1B-4FF7-9AA6-3F6EB6A2E541}"/>
    <cellStyle name="Normal 4 2 2 5 7 3" xfId="11026" xr:uid="{07514F8F-3E8C-4A1F-90F6-95F42534F291}"/>
    <cellStyle name="Normal 4 2 2 5 8" xfId="4729" xr:uid="{00000000-0005-0000-0000-000009130000}"/>
    <cellStyle name="Normal 4 2 2 5 8 2" xfId="13179" xr:uid="{D690E941-9B5D-4610-8465-4C0159487CFA}"/>
    <cellStyle name="Normal 4 2 2 5 9" xfId="8961" xr:uid="{62470957-A546-4F59-8124-4C8E8D82D515}"/>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E5DA58A3-73DC-469E-AF83-9DA6E5E5A13A}"/>
    <cellStyle name="Normal 4 2 2 6 2 2 3" xfId="11521" xr:uid="{0AE803AC-D8EF-4FDC-8498-9DB0589AC3A6}"/>
    <cellStyle name="Normal 4 2 2 6 2 3" xfId="5144" xr:uid="{00000000-0005-0000-0000-00000E130000}"/>
    <cellStyle name="Normal 4 2 2 6 2 3 2" xfId="13594" xr:uid="{74CA70A2-DC9D-4658-A167-6900039E57C1}"/>
    <cellStyle name="Normal 4 2 2 6 2 4" xfId="9376" xr:uid="{E5A9B668-2804-4FFE-9740-AE8C29C6778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7A1A8CD4-15AA-4DF8-B7A3-2991670F6662}"/>
    <cellStyle name="Normal 4 2 2 6 3 2 3" xfId="11934" xr:uid="{873C701E-D046-475F-9844-334E136F1620}"/>
    <cellStyle name="Normal 4 2 2 6 3 3" xfId="5557" xr:uid="{00000000-0005-0000-0000-000012130000}"/>
    <cellStyle name="Normal 4 2 2 6 3 3 2" xfId="14007" xr:uid="{75C4654A-6BA0-4E8C-9C5A-46C58FE7143A}"/>
    <cellStyle name="Normal 4 2 2 6 3 4" xfId="9789" xr:uid="{560533BE-051C-47E5-8654-4B2B683ACDD4}"/>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10C4E05A-1229-4E44-A67A-6F2E749E7B92}"/>
    <cellStyle name="Normal 4 2 2 6 4 2 3" xfId="12347" xr:uid="{11D6C514-ED80-45E4-AF29-EAF273265F0B}"/>
    <cellStyle name="Normal 4 2 2 6 4 3" xfId="5970" xr:uid="{00000000-0005-0000-0000-000016130000}"/>
    <cellStyle name="Normal 4 2 2 6 4 3 2" xfId="14420" xr:uid="{19FDEE2C-4F3A-4C67-AC3D-598A5EBB35DA}"/>
    <cellStyle name="Normal 4 2 2 6 4 4" xfId="10202" xr:uid="{70B9AE48-D1BC-4484-A870-86160E5C0E6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3E47ECF8-E377-481D-AA8B-806AC4BA9F40}"/>
    <cellStyle name="Normal 4 2 2 6 5 2 3" xfId="12760" xr:uid="{A5438D4A-36C0-4DB0-92BB-89A7B64074C7}"/>
    <cellStyle name="Normal 4 2 2 6 5 3" xfId="6383" xr:uid="{00000000-0005-0000-0000-00001A130000}"/>
    <cellStyle name="Normal 4 2 2 6 5 3 2" xfId="14833" xr:uid="{7E6322D6-6955-4537-987F-DF2064CBCF92}"/>
    <cellStyle name="Normal 4 2 2 6 5 4" xfId="10615" xr:uid="{FF0B59CB-C58D-4A56-BCFD-EA9725401FFA}"/>
    <cellStyle name="Normal 4 2 2 6 6" xfId="2513" xr:uid="{00000000-0005-0000-0000-00001B130000}"/>
    <cellStyle name="Normal 4 2 2 6 6 2" xfId="6796" xr:uid="{00000000-0005-0000-0000-00001C130000}"/>
    <cellStyle name="Normal 4 2 2 6 6 2 2" xfId="15246" xr:uid="{DFDA8611-3F0A-4467-8D93-5987B687CBBA}"/>
    <cellStyle name="Normal 4 2 2 6 6 3" xfId="11028" xr:uid="{B1D56C0D-C1BA-43D9-91F7-FBE7423D406A}"/>
    <cellStyle name="Normal 4 2 2 6 7" xfId="4731" xr:uid="{00000000-0005-0000-0000-00001D130000}"/>
    <cellStyle name="Normal 4 2 2 6 7 2" xfId="13181" xr:uid="{9011B92C-EFDC-4AA8-88DC-83F4410C8EBA}"/>
    <cellStyle name="Normal 4 2 2 6 8" xfId="8963" xr:uid="{705AF603-7A3C-4920-A3CE-076EF188173C}"/>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CAB609FB-8D79-4C94-B204-C77B86AA9391}"/>
    <cellStyle name="Normal 4 2 2 7 2 3" xfId="11506" xr:uid="{AE68B768-5D8A-4091-8324-3418E8D47AE4}"/>
    <cellStyle name="Normal 4 2 2 7 3" xfId="5129" xr:uid="{00000000-0005-0000-0000-000021130000}"/>
    <cellStyle name="Normal 4 2 2 7 3 2" xfId="13579" xr:uid="{4A737A42-42C2-414B-9C50-B9D0C4CBC3F7}"/>
    <cellStyle name="Normal 4 2 2 7 4" xfId="9361" xr:uid="{FB7D15E3-ADB3-4F29-9FA9-7DA75B0A073B}"/>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53CBF4EE-8410-43F5-A748-E233D77926CC}"/>
    <cellStyle name="Normal 4 2 2 8 2 3" xfId="11919" xr:uid="{7D0C448B-82BA-4C2B-8452-12AD3C5A241C}"/>
    <cellStyle name="Normal 4 2 2 8 3" xfId="5542" xr:uid="{00000000-0005-0000-0000-000025130000}"/>
    <cellStyle name="Normal 4 2 2 8 3 2" xfId="13992" xr:uid="{231A075B-ABA5-4CC5-AC70-F24D4BF95FD5}"/>
    <cellStyle name="Normal 4 2 2 8 4" xfId="9774" xr:uid="{314CA1B8-A6F5-4742-882A-67202231A559}"/>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2CE21831-9608-4B4A-995C-3E5EF3155B90}"/>
    <cellStyle name="Normal 4 2 2 9 2 3" xfId="12332" xr:uid="{600E1783-6B83-476A-A914-56CA6F1376C7}"/>
    <cellStyle name="Normal 4 2 2 9 3" xfId="5955" xr:uid="{00000000-0005-0000-0000-000029130000}"/>
    <cellStyle name="Normal 4 2 2 9 3 2" xfId="14405" xr:uid="{CB82BF10-F145-4E06-8581-3248FCFEC7CB}"/>
    <cellStyle name="Normal 4 2 2 9 4" xfId="10187" xr:uid="{A3992E79-825E-4063-AE84-0B9130F4EB09}"/>
    <cellStyle name="Normal 4 2 3" xfId="354" xr:uid="{00000000-0005-0000-0000-00002A130000}"/>
    <cellStyle name="Normal 4 2 4" xfId="355" xr:uid="{00000000-0005-0000-0000-00002B130000}"/>
    <cellStyle name="Normal 4 2 4 10" xfId="4732" xr:uid="{00000000-0005-0000-0000-00002C130000}"/>
    <cellStyle name="Normal 4 2 4 10 2" xfId="13182" xr:uid="{7F86CCB5-C3B1-43B0-93CA-2E310B005B27}"/>
    <cellStyle name="Normal 4 2 4 11" xfId="8964" xr:uid="{5DF9DCB4-DE26-4B72-A126-2E4A060106C8}"/>
    <cellStyle name="Normal 4 2 4 2" xfId="356" xr:uid="{00000000-0005-0000-0000-00002D130000}"/>
    <cellStyle name="Normal 4 2 4 2 10" xfId="8965" xr:uid="{4DED390E-B713-46FE-8212-5E5FF985761E}"/>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46B43CDF-8511-47C8-AE2E-18223EE4BD7F}"/>
    <cellStyle name="Normal 4 2 4 2 2 2 2 2 3" xfId="11525" xr:uid="{7466B085-B86E-4F20-A2B4-DE1DB332077E}"/>
    <cellStyle name="Normal 4 2 4 2 2 2 2 3" xfId="5148" xr:uid="{00000000-0005-0000-0000-000033130000}"/>
    <cellStyle name="Normal 4 2 4 2 2 2 2 3 2" xfId="13598" xr:uid="{CEC0316F-8408-4E84-AC44-B88D844AE6F3}"/>
    <cellStyle name="Normal 4 2 4 2 2 2 2 4" xfId="9380" xr:uid="{73992270-390C-475E-B49D-CBE513E0B396}"/>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6A06855B-9C21-4D60-96B6-5EB0EFE1219F}"/>
    <cellStyle name="Normal 4 2 4 2 2 2 3 2 3" xfId="11938" xr:uid="{CBA400FE-14B6-478F-8EAA-E42EF8C88F85}"/>
    <cellStyle name="Normal 4 2 4 2 2 2 3 3" xfId="5561" xr:uid="{00000000-0005-0000-0000-000037130000}"/>
    <cellStyle name="Normal 4 2 4 2 2 2 3 3 2" xfId="14011" xr:uid="{CC1E26C1-B704-47FC-A8AD-170490E7C820}"/>
    <cellStyle name="Normal 4 2 4 2 2 2 3 4" xfId="9793" xr:uid="{62DC6056-CA39-476F-8496-A6D505D8F6B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E1A3483E-F603-47D9-9152-AF16AA0DEA43}"/>
    <cellStyle name="Normal 4 2 4 2 2 2 4 2 3" xfId="12351" xr:uid="{04C64ADE-4280-42E3-9163-39E2C9BECA5C}"/>
    <cellStyle name="Normal 4 2 4 2 2 2 4 3" xfId="5974" xr:uid="{00000000-0005-0000-0000-00003B130000}"/>
    <cellStyle name="Normal 4 2 4 2 2 2 4 3 2" xfId="14424" xr:uid="{5D6957DF-D1C6-49D4-AB9A-F1D114678FDE}"/>
    <cellStyle name="Normal 4 2 4 2 2 2 4 4" xfId="10206" xr:uid="{C01555FB-7758-45FC-8C4A-7205725BD03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87FBD891-3923-45C2-9A40-8DA6DF95BAC3}"/>
    <cellStyle name="Normal 4 2 4 2 2 2 5 2 3" xfId="12764" xr:uid="{486F6BC9-7DDC-4227-AE88-529090D3BCD3}"/>
    <cellStyle name="Normal 4 2 4 2 2 2 5 3" xfId="6387" xr:uid="{00000000-0005-0000-0000-00003F130000}"/>
    <cellStyle name="Normal 4 2 4 2 2 2 5 3 2" xfId="14837" xr:uid="{4A9B406C-EE9F-4272-9B2A-A0D47E38446B}"/>
    <cellStyle name="Normal 4 2 4 2 2 2 5 4" xfId="10619" xr:uid="{709FCB7E-0464-47C9-8026-6AB7B8B9DB99}"/>
    <cellStyle name="Normal 4 2 4 2 2 2 6" xfId="2517" xr:uid="{00000000-0005-0000-0000-000040130000}"/>
    <cellStyle name="Normal 4 2 4 2 2 2 6 2" xfId="6800" xr:uid="{00000000-0005-0000-0000-000041130000}"/>
    <cellStyle name="Normal 4 2 4 2 2 2 6 2 2" xfId="15250" xr:uid="{26A90E01-E70D-496D-9824-EA24DE8C43C5}"/>
    <cellStyle name="Normal 4 2 4 2 2 2 6 3" xfId="11032" xr:uid="{38C255AF-FD17-446F-BBAB-5B6BF0768E2D}"/>
    <cellStyle name="Normal 4 2 4 2 2 2 7" xfId="4735" xr:uid="{00000000-0005-0000-0000-000042130000}"/>
    <cellStyle name="Normal 4 2 4 2 2 2 7 2" xfId="13185" xr:uid="{CF7DC449-44EB-4170-92F8-605B4E655359}"/>
    <cellStyle name="Normal 4 2 4 2 2 2 8" xfId="8967" xr:uid="{7FB042F3-43AF-4F06-91D5-8232338FBD6D}"/>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B10F3CD9-86F4-4932-AFFD-D0FB2D0B5CBE}"/>
    <cellStyle name="Normal 4 2 4 2 2 3 2 3" xfId="11524" xr:uid="{BB952DEF-A194-45CB-BBC1-6013192E2CFD}"/>
    <cellStyle name="Normal 4 2 4 2 2 3 3" xfId="5147" xr:uid="{00000000-0005-0000-0000-000046130000}"/>
    <cellStyle name="Normal 4 2 4 2 2 3 3 2" xfId="13597" xr:uid="{97968EE7-87CE-4348-B2AD-D86A1145A1AE}"/>
    <cellStyle name="Normal 4 2 4 2 2 3 4" xfId="9379" xr:uid="{25B9EEA5-2BE8-40FB-B752-FFAB5CA21E78}"/>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539FB0E2-F5C4-4D45-A74C-1EF3A47B5639}"/>
    <cellStyle name="Normal 4 2 4 2 2 4 2 3" xfId="11937" xr:uid="{4F73A899-A77B-4FF3-8935-2E7101BA4115}"/>
    <cellStyle name="Normal 4 2 4 2 2 4 3" xfId="5560" xr:uid="{00000000-0005-0000-0000-00004A130000}"/>
    <cellStyle name="Normal 4 2 4 2 2 4 3 2" xfId="14010" xr:uid="{EB2C83F3-66B7-4D97-AA61-AB24808D1080}"/>
    <cellStyle name="Normal 4 2 4 2 2 4 4" xfId="9792" xr:uid="{1166576C-38ED-429A-9DDD-12CF5B7562F8}"/>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01AAA616-AFE8-4A3E-9B87-7A2C831BEF41}"/>
    <cellStyle name="Normal 4 2 4 2 2 5 2 3" xfId="12350" xr:uid="{4AF45464-17B0-43D1-9F3D-AC9579645816}"/>
    <cellStyle name="Normal 4 2 4 2 2 5 3" xfId="5973" xr:uid="{00000000-0005-0000-0000-00004E130000}"/>
    <cellStyle name="Normal 4 2 4 2 2 5 3 2" xfId="14423" xr:uid="{C822B3B8-6DB4-429C-BA33-37E09096E5BD}"/>
    <cellStyle name="Normal 4 2 4 2 2 5 4" xfId="10205" xr:uid="{A0319531-FF2E-4AF2-B8DA-5B43AD50016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CA4A6A1A-17A6-4B19-AFB2-50ED90A53F08}"/>
    <cellStyle name="Normal 4 2 4 2 2 6 2 3" xfId="12763" xr:uid="{B7709A48-8370-4329-B090-D2C547FF833C}"/>
    <cellStyle name="Normal 4 2 4 2 2 6 3" xfId="6386" xr:uid="{00000000-0005-0000-0000-000052130000}"/>
    <cellStyle name="Normal 4 2 4 2 2 6 3 2" xfId="14836" xr:uid="{89EA19ED-F275-4282-B3A7-8DE33D0E08C3}"/>
    <cellStyle name="Normal 4 2 4 2 2 6 4" xfId="10618" xr:uid="{69A42E5D-1CBC-4EF5-B3D8-D924AC8E303C}"/>
    <cellStyle name="Normal 4 2 4 2 2 7" xfId="2516" xr:uid="{00000000-0005-0000-0000-000053130000}"/>
    <cellStyle name="Normal 4 2 4 2 2 7 2" xfId="6799" xr:uid="{00000000-0005-0000-0000-000054130000}"/>
    <cellStyle name="Normal 4 2 4 2 2 7 2 2" xfId="15249" xr:uid="{93266879-5959-4B17-875F-351FEB06D0FF}"/>
    <cellStyle name="Normal 4 2 4 2 2 7 3" xfId="11031" xr:uid="{EDD23874-DC7E-4906-BD8B-3C0C24C76D0F}"/>
    <cellStyle name="Normal 4 2 4 2 2 8" xfId="4734" xr:uid="{00000000-0005-0000-0000-000055130000}"/>
    <cellStyle name="Normal 4 2 4 2 2 8 2" xfId="13184" xr:uid="{2CCCB759-8C18-46B5-9A92-004D5E3E33BE}"/>
    <cellStyle name="Normal 4 2 4 2 2 9" xfId="8966" xr:uid="{18EC078F-94B3-4891-8D97-F48D885CF2EC}"/>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AEE164D6-95D0-4C5A-8ECE-B052453AD84C}"/>
    <cellStyle name="Normal 4 2 4 2 3 2 2 3" xfId="11526" xr:uid="{697A5134-78A8-4F47-B4EC-86205642F5AD}"/>
    <cellStyle name="Normal 4 2 4 2 3 2 3" xfId="5149" xr:uid="{00000000-0005-0000-0000-00005A130000}"/>
    <cellStyle name="Normal 4 2 4 2 3 2 3 2" xfId="13599" xr:uid="{820417AD-9C85-450A-AF8A-782D7B354431}"/>
    <cellStyle name="Normal 4 2 4 2 3 2 4" xfId="9381" xr:uid="{ABF3B145-5873-4B7B-B4AA-60EB071D4FA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6DDB6F52-2637-4504-985C-72E8DCA1682A}"/>
    <cellStyle name="Normal 4 2 4 2 3 3 2 3" xfId="11939" xr:uid="{435A4CA5-30C0-4B94-8802-011A27039521}"/>
    <cellStyle name="Normal 4 2 4 2 3 3 3" xfId="5562" xr:uid="{00000000-0005-0000-0000-00005E130000}"/>
    <cellStyle name="Normal 4 2 4 2 3 3 3 2" xfId="14012" xr:uid="{3D5F9E67-9410-4811-A189-CDC431C861BE}"/>
    <cellStyle name="Normal 4 2 4 2 3 3 4" xfId="9794" xr:uid="{34B9D9E4-2309-4AEF-8F01-38DFA0E9F4BD}"/>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180BEFB2-3D1D-4A16-8F18-2387B692DE13}"/>
    <cellStyle name="Normal 4 2 4 2 3 4 2 3" xfId="12352" xr:uid="{02246C08-BBC1-4B5A-984E-168CDB0A3BED}"/>
    <cellStyle name="Normal 4 2 4 2 3 4 3" xfId="5975" xr:uid="{00000000-0005-0000-0000-000062130000}"/>
    <cellStyle name="Normal 4 2 4 2 3 4 3 2" xfId="14425" xr:uid="{08DBF3D7-19DD-4476-88EA-3D9AF23B9D62}"/>
    <cellStyle name="Normal 4 2 4 2 3 4 4" xfId="10207" xr:uid="{3B5DD94E-55EE-41EB-8350-38228A5C169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9533EE2A-EB66-4DAB-8FC1-FF2ECA398CDD}"/>
    <cellStyle name="Normal 4 2 4 2 3 5 2 3" xfId="12765" xr:uid="{C72DC658-1675-4CE6-8006-E7FDABA3F006}"/>
    <cellStyle name="Normal 4 2 4 2 3 5 3" xfId="6388" xr:uid="{00000000-0005-0000-0000-000066130000}"/>
    <cellStyle name="Normal 4 2 4 2 3 5 3 2" xfId="14838" xr:uid="{8D7717B6-2FE4-4395-A38F-40375CDE6AD7}"/>
    <cellStyle name="Normal 4 2 4 2 3 5 4" xfId="10620" xr:uid="{70AF9044-5832-4EEE-97BD-0DACAEAAF89F}"/>
    <cellStyle name="Normal 4 2 4 2 3 6" xfId="2518" xr:uid="{00000000-0005-0000-0000-000067130000}"/>
    <cellStyle name="Normal 4 2 4 2 3 6 2" xfId="6801" xr:uid="{00000000-0005-0000-0000-000068130000}"/>
    <cellStyle name="Normal 4 2 4 2 3 6 2 2" xfId="15251" xr:uid="{018870F3-2D46-440A-B01D-A0DBA91FFF69}"/>
    <cellStyle name="Normal 4 2 4 2 3 6 3" xfId="11033" xr:uid="{385BE04C-DB0D-40E0-BB4A-866320EF7C6E}"/>
    <cellStyle name="Normal 4 2 4 2 3 7" xfId="4736" xr:uid="{00000000-0005-0000-0000-000069130000}"/>
    <cellStyle name="Normal 4 2 4 2 3 7 2" xfId="13186" xr:uid="{5D857F03-2772-4BCA-9398-EDFCBFDD86D5}"/>
    <cellStyle name="Normal 4 2 4 2 3 8" xfId="8968" xr:uid="{181296D6-788C-4B46-8303-900788E24D1A}"/>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990EAC0C-0587-4293-A426-49E4FAF001A1}"/>
    <cellStyle name="Normal 4 2 4 2 4 2 3" xfId="11523" xr:uid="{94F4C0AF-5D21-4574-BCC0-2681782A9420}"/>
    <cellStyle name="Normal 4 2 4 2 4 3" xfId="5146" xr:uid="{00000000-0005-0000-0000-00006D130000}"/>
    <cellStyle name="Normal 4 2 4 2 4 3 2" xfId="13596" xr:uid="{FE62F722-7F22-415A-BDAB-147229F3E9F2}"/>
    <cellStyle name="Normal 4 2 4 2 4 4" xfId="9378" xr:uid="{AA4485EB-6B20-43E5-9F82-CF0407907B2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1DAE252A-BFC3-443A-B469-81F606DDC65B}"/>
    <cellStyle name="Normal 4 2 4 2 5 2 3" xfId="11936" xr:uid="{B5DC7A7B-9505-4D1E-AA18-8FAA2617B616}"/>
    <cellStyle name="Normal 4 2 4 2 5 3" xfId="5559" xr:uid="{00000000-0005-0000-0000-000071130000}"/>
    <cellStyle name="Normal 4 2 4 2 5 3 2" xfId="14009" xr:uid="{A0119CEA-3703-4526-93ED-262F15661CCA}"/>
    <cellStyle name="Normal 4 2 4 2 5 4" xfId="9791" xr:uid="{612357C5-590E-4CDD-945C-AA72041F3921}"/>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FF1421CC-3973-42FF-AD52-E23B0FC18699}"/>
    <cellStyle name="Normal 4 2 4 2 6 2 3" xfId="12349" xr:uid="{8D02B48E-5DF7-4EC5-A5F8-914E3DA4613F}"/>
    <cellStyle name="Normal 4 2 4 2 6 3" xfId="5972" xr:uid="{00000000-0005-0000-0000-000075130000}"/>
    <cellStyle name="Normal 4 2 4 2 6 3 2" xfId="14422" xr:uid="{E6A8A319-C302-4D77-93B1-C56509D709B7}"/>
    <cellStyle name="Normal 4 2 4 2 6 4" xfId="10204" xr:uid="{8B7CCEC7-FED0-4944-B320-50F2CA3EA27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EA1B5C41-BAA1-4B5B-B3FF-37D48246B086}"/>
    <cellStyle name="Normal 4 2 4 2 7 2 3" xfId="12762" xr:uid="{8CEB6069-5B23-4BC1-9BB8-CA5F94B9DE98}"/>
    <cellStyle name="Normal 4 2 4 2 7 3" xfId="6385" xr:uid="{00000000-0005-0000-0000-000079130000}"/>
    <cellStyle name="Normal 4 2 4 2 7 3 2" xfId="14835" xr:uid="{D607BC34-C33E-4C77-898D-307BA08C2E52}"/>
    <cellStyle name="Normal 4 2 4 2 7 4" xfId="10617" xr:uid="{9EFE82C0-7B15-4191-9717-653C2434140B}"/>
    <cellStyle name="Normal 4 2 4 2 8" xfId="2515" xr:uid="{00000000-0005-0000-0000-00007A130000}"/>
    <cellStyle name="Normal 4 2 4 2 8 2" xfId="6798" xr:uid="{00000000-0005-0000-0000-00007B130000}"/>
    <cellStyle name="Normal 4 2 4 2 8 2 2" xfId="15248" xr:uid="{E264ADFE-1020-4C14-B3BC-D461B49AECFE}"/>
    <cellStyle name="Normal 4 2 4 2 8 3" xfId="11030" xr:uid="{16D04468-BEFD-466B-AD98-170C24AFFE6F}"/>
    <cellStyle name="Normal 4 2 4 2 9" xfId="4733" xr:uid="{00000000-0005-0000-0000-00007C130000}"/>
    <cellStyle name="Normal 4 2 4 2 9 2" xfId="13183" xr:uid="{A4312A1E-4283-4DBB-B419-01936684898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B9A030D5-EE0D-412E-B43E-5816CF75D67F}"/>
    <cellStyle name="Normal 4 2 4 3 2 2 2 3" xfId="11528" xr:uid="{609D85C6-FDF7-471A-907B-B0BBEC882551}"/>
    <cellStyle name="Normal 4 2 4 3 2 2 3" xfId="5151" xr:uid="{00000000-0005-0000-0000-000082130000}"/>
    <cellStyle name="Normal 4 2 4 3 2 2 3 2" xfId="13601" xr:uid="{810D34B0-6A47-4357-9FD8-87E4FB2F6343}"/>
    <cellStyle name="Normal 4 2 4 3 2 2 4" xfId="9383" xr:uid="{965EAA80-FFF0-42E8-866E-9549C04F960B}"/>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DEAF49F3-58AE-4B80-9FF4-62D07F0D0E29}"/>
    <cellStyle name="Normal 4 2 4 3 2 3 2 3" xfId="11941" xr:uid="{D12DDF12-3B0F-4AE8-9574-74CB1A7A2F84}"/>
    <cellStyle name="Normal 4 2 4 3 2 3 3" xfId="5564" xr:uid="{00000000-0005-0000-0000-000086130000}"/>
    <cellStyle name="Normal 4 2 4 3 2 3 3 2" xfId="14014" xr:uid="{C8C468F6-66C4-493A-8EA0-C5FC6C3B72B8}"/>
    <cellStyle name="Normal 4 2 4 3 2 3 4" xfId="9796" xr:uid="{63AC10F8-D3B1-4F38-985B-AA2865AE134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78665B0D-BF58-476C-BD85-D697785CDB1E}"/>
    <cellStyle name="Normal 4 2 4 3 2 4 2 3" xfId="12354" xr:uid="{2D32817A-4257-4804-8405-F9A0FFD1E8A4}"/>
    <cellStyle name="Normal 4 2 4 3 2 4 3" xfId="5977" xr:uid="{00000000-0005-0000-0000-00008A130000}"/>
    <cellStyle name="Normal 4 2 4 3 2 4 3 2" xfId="14427" xr:uid="{84129A95-920E-4F44-AF8B-8EE847F697D2}"/>
    <cellStyle name="Normal 4 2 4 3 2 4 4" xfId="10209" xr:uid="{9CFBBFED-2640-4E6C-9CCF-16A229AC068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072FAC93-0DCF-4691-B24E-ACE632908176}"/>
    <cellStyle name="Normal 4 2 4 3 2 5 2 3" xfId="12767" xr:uid="{26782DFF-FE0E-4256-95E6-856BBFAA01D6}"/>
    <cellStyle name="Normal 4 2 4 3 2 5 3" xfId="6390" xr:uid="{00000000-0005-0000-0000-00008E130000}"/>
    <cellStyle name="Normal 4 2 4 3 2 5 3 2" xfId="14840" xr:uid="{8DCE76F7-43D8-4E38-A8C5-BDE5FD81FA61}"/>
    <cellStyle name="Normal 4 2 4 3 2 5 4" xfId="10622" xr:uid="{88ED8471-43B8-42A6-BE99-3783BB88CFA2}"/>
    <cellStyle name="Normal 4 2 4 3 2 6" xfId="2520" xr:uid="{00000000-0005-0000-0000-00008F130000}"/>
    <cellStyle name="Normal 4 2 4 3 2 6 2" xfId="6803" xr:uid="{00000000-0005-0000-0000-000090130000}"/>
    <cellStyle name="Normal 4 2 4 3 2 6 2 2" xfId="15253" xr:uid="{389FFE11-E64D-45C0-AE4F-52A6D6E5D8BD}"/>
    <cellStyle name="Normal 4 2 4 3 2 6 3" xfId="11035" xr:uid="{7C83255D-61C2-42A9-83CC-33FAD2A93E5F}"/>
    <cellStyle name="Normal 4 2 4 3 2 7" xfId="4738" xr:uid="{00000000-0005-0000-0000-000091130000}"/>
    <cellStyle name="Normal 4 2 4 3 2 7 2" xfId="13188" xr:uid="{E53853E5-81F8-4FC3-AB40-C256DA0643FE}"/>
    <cellStyle name="Normal 4 2 4 3 2 8" xfId="8970" xr:uid="{F7BD4DEA-8A9C-4CB8-8F7C-453BE8908CD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5B9C0217-B1FE-405D-A2B7-93B973634FF5}"/>
    <cellStyle name="Normal 4 2 4 3 3 2 3" xfId="11527" xr:uid="{73A08B97-410E-477C-ADB1-42147B35AEDB}"/>
    <cellStyle name="Normal 4 2 4 3 3 3" xfId="5150" xr:uid="{00000000-0005-0000-0000-000095130000}"/>
    <cellStyle name="Normal 4 2 4 3 3 3 2" xfId="13600" xr:uid="{A019E6A0-98AA-48DC-B390-802B0156E59F}"/>
    <cellStyle name="Normal 4 2 4 3 3 4" xfId="9382" xr:uid="{738A472E-D82B-4E5A-8934-7AA3D6741F26}"/>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1F51D65D-2C46-4B3B-8096-0EAE19ADD5BD}"/>
    <cellStyle name="Normal 4 2 4 3 4 2 3" xfId="11940" xr:uid="{CB7075E8-0FF2-400A-A184-10A31955D2B2}"/>
    <cellStyle name="Normal 4 2 4 3 4 3" xfId="5563" xr:uid="{00000000-0005-0000-0000-000099130000}"/>
    <cellStyle name="Normal 4 2 4 3 4 3 2" xfId="14013" xr:uid="{1139B6DB-0A04-4736-94F7-DA1C53431651}"/>
    <cellStyle name="Normal 4 2 4 3 4 4" xfId="9795" xr:uid="{A5B68310-1909-42DB-8333-713D90E43709}"/>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DAAAB67C-8268-4660-9EE5-97D914971C7F}"/>
    <cellStyle name="Normal 4 2 4 3 5 2 3" xfId="12353" xr:uid="{F7E9D31C-5430-4DC2-80AE-456FBA8CA82B}"/>
    <cellStyle name="Normal 4 2 4 3 5 3" xfId="5976" xr:uid="{00000000-0005-0000-0000-00009D130000}"/>
    <cellStyle name="Normal 4 2 4 3 5 3 2" xfId="14426" xr:uid="{D405D0D5-6460-446E-9822-BCB9F76E074F}"/>
    <cellStyle name="Normal 4 2 4 3 5 4" xfId="10208" xr:uid="{0104267B-CD0A-446E-AC52-010C9A89E4D3}"/>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90B608CA-B63A-4BC1-BABA-54D613F78B30}"/>
    <cellStyle name="Normal 4 2 4 3 6 2 3" xfId="12766" xr:uid="{4F9F98F5-94AF-4013-8ECA-E169E28D55F3}"/>
    <cellStyle name="Normal 4 2 4 3 6 3" xfId="6389" xr:uid="{00000000-0005-0000-0000-0000A1130000}"/>
    <cellStyle name="Normal 4 2 4 3 6 3 2" xfId="14839" xr:uid="{DCFEB8B8-2A90-4EB1-94D2-AF39A7B5E871}"/>
    <cellStyle name="Normal 4 2 4 3 6 4" xfId="10621" xr:uid="{CAE92FC2-33D5-44B1-B35D-E58DD37A1D4E}"/>
    <cellStyle name="Normal 4 2 4 3 7" xfId="2519" xr:uid="{00000000-0005-0000-0000-0000A2130000}"/>
    <cellStyle name="Normal 4 2 4 3 7 2" xfId="6802" xr:uid="{00000000-0005-0000-0000-0000A3130000}"/>
    <cellStyle name="Normal 4 2 4 3 7 2 2" xfId="15252" xr:uid="{665FC2D5-E4D9-4A4B-9834-7736971242D5}"/>
    <cellStyle name="Normal 4 2 4 3 7 3" xfId="11034" xr:uid="{299B20D9-D4E9-46DD-BF14-E1975706BC28}"/>
    <cellStyle name="Normal 4 2 4 3 8" xfId="4737" xr:uid="{00000000-0005-0000-0000-0000A4130000}"/>
    <cellStyle name="Normal 4 2 4 3 8 2" xfId="13187" xr:uid="{2C4066D4-FCA2-4AE7-BC29-8DA318209407}"/>
    <cellStyle name="Normal 4 2 4 3 9" xfId="8969" xr:uid="{27DED8BD-3B23-4806-8776-8263BE202442}"/>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3A1C58C9-5CD3-45CD-B9FE-FB8DB7B765D5}"/>
    <cellStyle name="Normal 4 2 4 4 2 2 3" xfId="11529" xr:uid="{261B272C-6B66-4965-921B-62E6EE099201}"/>
    <cellStyle name="Normal 4 2 4 4 2 3" xfId="5152" xr:uid="{00000000-0005-0000-0000-0000A9130000}"/>
    <cellStyle name="Normal 4 2 4 4 2 3 2" xfId="13602" xr:uid="{224A9090-4C60-45B1-9E28-515A38F6369B}"/>
    <cellStyle name="Normal 4 2 4 4 2 4" xfId="9384" xr:uid="{4F024D5B-6ECB-44AE-A8BC-4A319695E13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6A507FD-D868-4643-96AF-ACC9D10AA0AB}"/>
    <cellStyle name="Normal 4 2 4 4 3 2 3" xfId="11942" xr:uid="{77C4A537-C817-46ED-8B82-C9CBF43C3968}"/>
    <cellStyle name="Normal 4 2 4 4 3 3" xfId="5565" xr:uid="{00000000-0005-0000-0000-0000AD130000}"/>
    <cellStyle name="Normal 4 2 4 4 3 3 2" xfId="14015" xr:uid="{B4B069A0-78ED-4687-930A-63E46520B260}"/>
    <cellStyle name="Normal 4 2 4 4 3 4" xfId="9797" xr:uid="{BB9179DE-8386-4BAC-90E5-9DE04B43703F}"/>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1FF6F6F8-944A-4B8F-826C-D739646FD847}"/>
    <cellStyle name="Normal 4 2 4 4 4 2 3" xfId="12355" xr:uid="{BB879E03-8C96-43FC-89D9-EE52BEF92EBF}"/>
    <cellStyle name="Normal 4 2 4 4 4 3" xfId="5978" xr:uid="{00000000-0005-0000-0000-0000B1130000}"/>
    <cellStyle name="Normal 4 2 4 4 4 3 2" xfId="14428" xr:uid="{FB277851-D797-45C0-9BC6-B7CBB94481CC}"/>
    <cellStyle name="Normal 4 2 4 4 4 4" xfId="10210" xr:uid="{2171B4B6-55FD-4DD6-B2AC-22871C8BFC4B}"/>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7F123902-587B-46B4-B4B2-DF1869CB7F66}"/>
    <cellStyle name="Normal 4 2 4 4 5 2 3" xfId="12768" xr:uid="{2A5D1BA2-5BD7-4D37-B37B-5D6846F40942}"/>
    <cellStyle name="Normal 4 2 4 4 5 3" xfId="6391" xr:uid="{00000000-0005-0000-0000-0000B5130000}"/>
    <cellStyle name="Normal 4 2 4 4 5 3 2" xfId="14841" xr:uid="{E4854A75-B3FA-454D-A012-0BB212BB23FA}"/>
    <cellStyle name="Normal 4 2 4 4 5 4" xfId="10623" xr:uid="{3F60ABE0-6498-44A5-9B9E-606C5387ABC9}"/>
    <cellStyle name="Normal 4 2 4 4 6" xfId="2521" xr:uid="{00000000-0005-0000-0000-0000B6130000}"/>
    <cellStyle name="Normal 4 2 4 4 6 2" xfId="6804" xr:uid="{00000000-0005-0000-0000-0000B7130000}"/>
    <cellStyle name="Normal 4 2 4 4 6 2 2" xfId="15254" xr:uid="{668F4AC9-9E63-4ABB-91EB-692E6AFE6D19}"/>
    <cellStyle name="Normal 4 2 4 4 6 3" xfId="11036" xr:uid="{685C9CAB-144C-4E88-B57F-48F72A658E57}"/>
    <cellStyle name="Normal 4 2 4 4 7" xfId="4739" xr:uid="{00000000-0005-0000-0000-0000B8130000}"/>
    <cellStyle name="Normal 4 2 4 4 7 2" xfId="13189" xr:uid="{8991A2CF-BE65-4B64-9D2D-4C0CFFB108D7}"/>
    <cellStyle name="Normal 4 2 4 4 8" xfId="8971" xr:uid="{21B0E713-527C-4164-8A48-C69D83E6E07F}"/>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EDBAF995-7947-48AB-87F9-5AF35234D789}"/>
    <cellStyle name="Normal 4 2 4 5 2 3" xfId="11522" xr:uid="{5BA5864B-A3CC-4B0A-9AB2-8803C0C5572E}"/>
    <cellStyle name="Normal 4 2 4 5 3" xfId="5145" xr:uid="{00000000-0005-0000-0000-0000BC130000}"/>
    <cellStyle name="Normal 4 2 4 5 3 2" xfId="13595" xr:uid="{832EF8DA-FBEC-4C60-BED1-AE29DBCB9A72}"/>
    <cellStyle name="Normal 4 2 4 5 4" xfId="9377" xr:uid="{32AA55A2-2E77-4F17-A5F6-668440F19818}"/>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73B963A4-D9FC-4678-9B00-7FC0135B385C}"/>
    <cellStyle name="Normal 4 2 4 6 2 3" xfId="11935" xr:uid="{80810295-4665-4933-8A55-8425D0ADF97A}"/>
    <cellStyle name="Normal 4 2 4 6 3" xfId="5558" xr:uid="{00000000-0005-0000-0000-0000C0130000}"/>
    <cellStyle name="Normal 4 2 4 6 3 2" xfId="14008" xr:uid="{25C99B5A-4DEC-4C39-96FA-E5F71425E998}"/>
    <cellStyle name="Normal 4 2 4 6 4" xfId="9790" xr:uid="{9E54552C-4308-463E-9315-171031E2CBFF}"/>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073C1780-E316-4290-B2B1-08A75D54D1F1}"/>
    <cellStyle name="Normal 4 2 4 7 2 3" xfId="12348" xr:uid="{F9272EF5-BC5E-434C-A93E-7FD3BFE72169}"/>
    <cellStyle name="Normal 4 2 4 7 3" xfId="5971" xr:uid="{00000000-0005-0000-0000-0000C4130000}"/>
    <cellStyle name="Normal 4 2 4 7 3 2" xfId="14421" xr:uid="{1FA81406-7671-4666-AE4D-C889CEB40EFD}"/>
    <cellStyle name="Normal 4 2 4 7 4" xfId="10203" xr:uid="{AAF2A513-CB93-4ABC-A8E1-5A06D0B74E7D}"/>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D1E6FEF0-E4C3-47F8-A0A1-049F22B3546A}"/>
    <cellStyle name="Normal 4 2 4 8 2 3" xfId="12761" xr:uid="{D43D1334-6064-45B7-9A0E-80B6D8BB28E1}"/>
    <cellStyle name="Normal 4 2 4 8 3" xfId="6384" xr:uid="{00000000-0005-0000-0000-0000C8130000}"/>
    <cellStyle name="Normal 4 2 4 8 3 2" xfId="14834" xr:uid="{878F5FCB-2C10-41A4-AB6A-67DEB7831626}"/>
    <cellStyle name="Normal 4 2 4 8 4" xfId="10616" xr:uid="{788E4D91-F60A-4EF7-8A17-6C89BAF2F7B4}"/>
    <cellStyle name="Normal 4 2 4 9" xfId="2514" xr:uid="{00000000-0005-0000-0000-0000C9130000}"/>
    <cellStyle name="Normal 4 2 4 9 2" xfId="6797" xr:uid="{00000000-0005-0000-0000-0000CA130000}"/>
    <cellStyle name="Normal 4 2 4 9 2 2" xfId="15247" xr:uid="{89FDB37B-C51B-441B-8CC1-18FE7EB39B65}"/>
    <cellStyle name="Normal 4 2 4 9 3" xfId="11029" xr:uid="{9119870B-8DE5-4FC3-A9B4-2BEE6F14FB62}"/>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9634B6DB-B3F8-4E4E-B8F6-C70522AAA500}"/>
    <cellStyle name="Normal 4 2 5 2 2 2 3" xfId="11531" xr:uid="{491BC185-E764-49FA-8DDE-A79944FEF3D4}"/>
    <cellStyle name="Normal 4 2 5 2 2 3" xfId="5154" xr:uid="{00000000-0005-0000-0000-0000D0130000}"/>
    <cellStyle name="Normal 4 2 5 2 2 3 2" xfId="13604" xr:uid="{03730B1D-D912-4FC2-B20E-E4C07958C6AD}"/>
    <cellStyle name="Normal 4 2 5 2 2 4" xfId="9386" xr:uid="{9DA085DB-2597-4C60-86BD-7D4AD2CD7285}"/>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779D4DB4-D5A9-460A-BC58-41AE087CDA02}"/>
    <cellStyle name="Normal 4 2 5 2 3 2 3" xfId="11944" xr:uid="{D0A7EE95-4C40-4872-9FB0-C6652FA6F403}"/>
    <cellStyle name="Normal 4 2 5 2 3 3" xfId="5567" xr:uid="{00000000-0005-0000-0000-0000D4130000}"/>
    <cellStyle name="Normal 4 2 5 2 3 3 2" xfId="14017" xr:uid="{09635930-4DFC-4BCD-9A9B-2B3D6F50CDF6}"/>
    <cellStyle name="Normal 4 2 5 2 3 4" xfId="9799" xr:uid="{157AFC4A-9247-4A22-81E7-B52DC91D429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C5DB64A5-F628-4DB1-B5BA-CFF682F46CF0}"/>
    <cellStyle name="Normal 4 2 5 2 4 2 3" xfId="12357" xr:uid="{20C95F95-141A-46C4-8CF7-ACF6E40E7EA1}"/>
    <cellStyle name="Normal 4 2 5 2 4 3" xfId="5980" xr:uid="{00000000-0005-0000-0000-0000D8130000}"/>
    <cellStyle name="Normal 4 2 5 2 4 3 2" xfId="14430" xr:uid="{D437CCC4-5996-4B4B-B200-98FA497E9073}"/>
    <cellStyle name="Normal 4 2 5 2 4 4" xfId="10212" xr:uid="{BFFA3DBB-FEA3-4604-BB48-EB14E29BCCED}"/>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EEBB7D70-9E54-4CAF-B18C-61E80E6D9FEB}"/>
    <cellStyle name="Normal 4 2 5 2 5 2 3" xfId="12770" xr:uid="{C2CECDF8-AEDF-487D-B926-6E5742C64748}"/>
    <cellStyle name="Normal 4 2 5 2 5 3" xfId="6393" xr:uid="{00000000-0005-0000-0000-0000DC130000}"/>
    <cellStyle name="Normal 4 2 5 2 5 3 2" xfId="14843" xr:uid="{5ABF6B82-5866-46A3-8094-80097DC2B2B2}"/>
    <cellStyle name="Normal 4 2 5 2 5 4" xfId="10625" xr:uid="{35B66FFC-8501-4871-B5CF-2F596A5861AD}"/>
    <cellStyle name="Normal 4 2 5 2 6" xfId="2523" xr:uid="{00000000-0005-0000-0000-0000DD130000}"/>
    <cellStyle name="Normal 4 2 5 2 6 2" xfId="6806" xr:uid="{00000000-0005-0000-0000-0000DE130000}"/>
    <cellStyle name="Normal 4 2 5 2 6 2 2" xfId="15256" xr:uid="{0ED009F4-FD2E-4C65-9A51-0403271E59AE}"/>
    <cellStyle name="Normal 4 2 5 2 6 3" xfId="11038" xr:uid="{675A4F5D-6DCF-49D9-9C81-3949E6B89503}"/>
    <cellStyle name="Normal 4 2 5 2 7" xfId="4741" xr:uid="{00000000-0005-0000-0000-0000DF130000}"/>
    <cellStyle name="Normal 4 2 5 2 7 2" xfId="13191" xr:uid="{753C5A20-6017-49DD-8077-58CECF9A1DF1}"/>
    <cellStyle name="Normal 4 2 5 2 8" xfId="8973" xr:uid="{48195991-B6DA-449D-B200-330705EFCA47}"/>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06851C5B-89A7-4DDF-96AE-5698E5A68CC9}"/>
    <cellStyle name="Normal 4 2 5 3 2 3" xfId="11530" xr:uid="{23D5E5A3-90FB-4FA7-8B7B-A8E43E4C4762}"/>
    <cellStyle name="Normal 4 2 5 3 3" xfId="5153" xr:uid="{00000000-0005-0000-0000-0000E3130000}"/>
    <cellStyle name="Normal 4 2 5 3 3 2" xfId="13603" xr:uid="{A4FC9EBC-A374-4777-AB79-323593DA0790}"/>
    <cellStyle name="Normal 4 2 5 3 4" xfId="9385" xr:uid="{77F11F9F-E330-4674-A528-BAD2C60546ED}"/>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649389F-BECD-44EB-BF7C-E71538AEAD85}"/>
    <cellStyle name="Normal 4 2 5 4 2 3" xfId="11943" xr:uid="{9063FC10-A6CE-4B69-899B-12C56F727235}"/>
    <cellStyle name="Normal 4 2 5 4 3" xfId="5566" xr:uid="{00000000-0005-0000-0000-0000E7130000}"/>
    <cellStyle name="Normal 4 2 5 4 3 2" xfId="14016" xr:uid="{EA5D50F7-6E7B-4150-B609-7B8F27850D76}"/>
    <cellStyle name="Normal 4 2 5 4 4" xfId="9798" xr:uid="{DE020650-7220-4D21-8872-EAB20A1D5509}"/>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664A4591-4A16-4DD9-A9C9-5B25C8BB7B8D}"/>
    <cellStyle name="Normal 4 2 5 5 2 3" xfId="12356" xr:uid="{5C87B898-FD6F-4607-A260-2EE8971DC676}"/>
    <cellStyle name="Normal 4 2 5 5 3" xfId="5979" xr:uid="{00000000-0005-0000-0000-0000EB130000}"/>
    <cellStyle name="Normal 4 2 5 5 3 2" xfId="14429" xr:uid="{6D12F223-F0F6-4806-80C8-C4D89A43EAF5}"/>
    <cellStyle name="Normal 4 2 5 5 4" xfId="10211" xr:uid="{83BC4B28-8583-4631-838C-39D232114178}"/>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11F609DB-CD14-4B56-A071-AE4AAB7FD94C}"/>
    <cellStyle name="Normal 4 2 5 6 2 3" xfId="12769" xr:uid="{C0D6D121-9A10-49B7-803C-5C5B1E6A1C32}"/>
    <cellStyle name="Normal 4 2 5 6 3" xfId="6392" xr:uid="{00000000-0005-0000-0000-0000EF130000}"/>
    <cellStyle name="Normal 4 2 5 6 3 2" xfId="14842" xr:uid="{B1B4FD14-31E1-4ED9-A97A-F535C5710BA3}"/>
    <cellStyle name="Normal 4 2 5 6 4" xfId="10624" xr:uid="{1D62434D-DA8C-4101-939A-3B84375D5CA4}"/>
    <cellStyle name="Normal 4 2 5 7" xfId="2522" xr:uid="{00000000-0005-0000-0000-0000F0130000}"/>
    <cellStyle name="Normal 4 2 5 7 2" xfId="6805" xr:uid="{00000000-0005-0000-0000-0000F1130000}"/>
    <cellStyle name="Normal 4 2 5 7 2 2" xfId="15255" xr:uid="{416609DD-EDDE-4D14-A447-A6588985217B}"/>
    <cellStyle name="Normal 4 2 5 7 3" xfId="11037" xr:uid="{5799A151-8D47-4596-B763-1F55EDB3DBAA}"/>
    <cellStyle name="Normal 4 2 5 8" xfId="4740" xr:uid="{00000000-0005-0000-0000-0000F2130000}"/>
    <cellStyle name="Normal 4 2 5 8 2" xfId="13190" xr:uid="{42B55D47-78A2-4EFA-9F44-5041886CD733}"/>
    <cellStyle name="Normal 4 2 5 9" xfId="8972" xr:uid="{2C621A22-B8B8-4BCB-AE63-494D5E12F49A}"/>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22807FF6-B40B-4C81-BD24-8B5B87EDD694}"/>
    <cellStyle name="Normal 4 2 6 2 2 3" xfId="11532" xr:uid="{75C550A4-547D-4C5F-8CDE-5826198C5491}"/>
    <cellStyle name="Normal 4 2 6 2 3" xfId="5155" xr:uid="{00000000-0005-0000-0000-0000F7130000}"/>
    <cellStyle name="Normal 4 2 6 2 3 2" xfId="13605" xr:uid="{E2BE6EDA-7144-4D50-8535-EA4B9A24233E}"/>
    <cellStyle name="Normal 4 2 6 2 4" xfId="9387" xr:uid="{F94ABABF-CC33-4238-A71C-F95B9B52199C}"/>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FC51BF59-C574-43EE-9613-DA4CC904D8CA}"/>
    <cellStyle name="Normal 4 2 6 3 2 3" xfId="11945" xr:uid="{1AD7CFD5-FF2E-4F4B-993D-C0759B8CBB10}"/>
    <cellStyle name="Normal 4 2 6 3 3" xfId="5568" xr:uid="{00000000-0005-0000-0000-0000FB130000}"/>
    <cellStyle name="Normal 4 2 6 3 3 2" xfId="14018" xr:uid="{A9B41CD4-6468-45F3-9D7E-4AD5B28ACE14}"/>
    <cellStyle name="Normal 4 2 6 3 4" xfId="9800" xr:uid="{774F0F26-4035-42AF-985C-42409FA38AD2}"/>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4AE69FBA-F6CD-4D2F-897F-6B72E2C04794}"/>
    <cellStyle name="Normal 4 2 6 4 2 3" xfId="12358" xr:uid="{F67764B4-CFFA-47B1-9236-81BE61A60C36}"/>
    <cellStyle name="Normal 4 2 6 4 3" xfId="5981" xr:uid="{00000000-0005-0000-0000-0000FF130000}"/>
    <cellStyle name="Normal 4 2 6 4 3 2" xfId="14431" xr:uid="{3541742E-8862-4611-8AB2-5775A5196EE4}"/>
    <cellStyle name="Normal 4 2 6 4 4" xfId="10213" xr:uid="{F4BE64A7-0102-40BB-AC9B-3650EED5BCBB}"/>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11B47E9D-31F4-417F-8587-FA664C8F0819}"/>
    <cellStyle name="Normal 4 2 6 5 2 3" xfId="12771" xr:uid="{E0317AB9-4D19-4ECE-977D-4B6816223F99}"/>
    <cellStyle name="Normal 4 2 6 5 3" xfId="6394" xr:uid="{00000000-0005-0000-0000-000003140000}"/>
    <cellStyle name="Normal 4 2 6 5 3 2" xfId="14844" xr:uid="{404AF33C-2231-479A-9CCF-7470382874B1}"/>
    <cellStyle name="Normal 4 2 6 5 4" xfId="10626" xr:uid="{0B20AE62-4AB7-4411-A4EC-EE8F11D108FD}"/>
    <cellStyle name="Normal 4 2 6 6" xfId="2524" xr:uid="{00000000-0005-0000-0000-000004140000}"/>
    <cellStyle name="Normal 4 2 6 6 2" xfId="6807" xr:uid="{00000000-0005-0000-0000-000005140000}"/>
    <cellStyle name="Normal 4 2 6 6 2 2" xfId="15257" xr:uid="{6D0DA695-5C55-45F2-8833-DF9D921DB492}"/>
    <cellStyle name="Normal 4 2 6 6 3" xfId="11039" xr:uid="{A268C1B7-AD18-4BD4-94E2-7984FC59C269}"/>
    <cellStyle name="Normal 4 2 6 7" xfId="4742" xr:uid="{00000000-0005-0000-0000-000006140000}"/>
    <cellStyle name="Normal 4 2 6 7 2" xfId="13192" xr:uid="{74DB7EDE-9D6A-46FF-BB89-FCF345861EE0}"/>
    <cellStyle name="Normal 4 2 6 8" xfId="8974" xr:uid="{40DD8454-D128-49F0-9F06-8FE0BD70268C}"/>
    <cellStyle name="Normal 4 3" xfId="366" xr:uid="{00000000-0005-0000-0000-000007140000}"/>
    <cellStyle name="Normal 4 3 10" xfId="8975" xr:uid="{25C79588-A012-4D4D-94F4-99655C5B33CB}"/>
    <cellStyle name="Normal 4 3 2" xfId="367" xr:uid="{00000000-0005-0000-0000-000008140000}"/>
    <cellStyle name="Normal 4 3 2 2" xfId="368" xr:uid="{00000000-0005-0000-0000-000009140000}"/>
    <cellStyle name="Normal 4 3 2 2 2" xfId="369" xr:uid="{00000000-0005-0000-0000-00000A140000}"/>
    <cellStyle name="Normal 4 3 2 2 2 10" xfId="8976" xr:uid="{DDA28E3D-B2F4-4DBA-89EC-059F3D8381DB}"/>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94B264BB-9CB4-44B2-8102-43564D864A35}"/>
    <cellStyle name="Normal 4 3 2 2 2 2 2 2 2 3" xfId="11536" xr:uid="{D9FB4170-5518-4919-9491-539319ECAA76}"/>
    <cellStyle name="Normal 4 3 2 2 2 2 2 2 3" xfId="5159" xr:uid="{00000000-0005-0000-0000-000010140000}"/>
    <cellStyle name="Normal 4 3 2 2 2 2 2 2 3 2" xfId="13609" xr:uid="{152017F6-7624-42CA-9F87-E0D9362D091F}"/>
    <cellStyle name="Normal 4 3 2 2 2 2 2 2 4" xfId="9391" xr:uid="{719B1A42-F3C2-4019-A502-F83B19FA67F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E2790F5A-AC97-4FC6-9BEC-74C915087541}"/>
    <cellStyle name="Normal 4 3 2 2 2 2 2 3 2 3" xfId="11949" xr:uid="{58F621B8-5748-49AA-9993-8ECCE89DEE28}"/>
    <cellStyle name="Normal 4 3 2 2 2 2 2 3 3" xfId="5572" xr:uid="{00000000-0005-0000-0000-000014140000}"/>
    <cellStyle name="Normal 4 3 2 2 2 2 2 3 3 2" xfId="14022" xr:uid="{FE39BFF2-CBA9-4936-8BF8-342D812E04F0}"/>
    <cellStyle name="Normal 4 3 2 2 2 2 2 3 4" xfId="9804" xr:uid="{A5666CEE-EBE1-4DD0-86CA-9938C485C45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C248D363-B8F6-4A01-BB64-F3872714F1AE}"/>
    <cellStyle name="Normal 4 3 2 2 2 2 2 4 2 3" xfId="12362" xr:uid="{318191BB-2DF5-445B-B0BF-86C734AA9D0C}"/>
    <cellStyle name="Normal 4 3 2 2 2 2 2 4 3" xfId="5985" xr:uid="{00000000-0005-0000-0000-000018140000}"/>
    <cellStyle name="Normal 4 3 2 2 2 2 2 4 3 2" xfId="14435" xr:uid="{F529970E-9B10-44AD-9D0F-DF05253937BC}"/>
    <cellStyle name="Normal 4 3 2 2 2 2 2 4 4" xfId="10217" xr:uid="{766F31FF-42FD-40D6-8A53-F25A68FC097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2BD65C03-C0D6-4126-9F6C-63F3773FAFAB}"/>
    <cellStyle name="Normal 4 3 2 2 2 2 2 5 2 3" xfId="12775" xr:uid="{2781F215-0EEF-4D96-9AFA-7542F462D420}"/>
    <cellStyle name="Normal 4 3 2 2 2 2 2 5 3" xfId="6398" xr:uid="{00000000-0005-0000-0000-00001C140000}"/>
    <cellStyle name="Normal 4 3 2 2 2 2 2 5 3 2" xfId="14848" xr:uid="{0890FCC8-1EFA-439C-90E2-DE5D8BAA2730}"/>
    <cellStyle name="Normal 4 3 2 2 2 2 2 5 4" xfId="10630" xr:uid="{1E5E6D33-B8E3-488C-A440-44ED9F1001C8}"/>
    <cellStyle name="Normal 4 3 2 2 2 2 2 6" xfId="2528" xr:uid="{00000000-0005-0000-0000-00001D140000}"/>
    <cellStyle name="Normal 4 3 2 2 2 2 2 6 2" xfId="6811" xr:uid="{00000000-0005-0000-0000-00001E140000}"/>
    <cellStyle name="Normal 4 3 2 2 2 2 2 6 2 2" xfId="15261" xr:uid="{26850FF7-B96C-44F3-AEAE-4C3A851DAE12}"/>
    <cellStyle name="Normal 4 3 2 2 2 2 2 6 3" xfId="11043" xr:uid="{594AD031-70AE-4AE0-84F8-99047E7523F0}"/>
    <cellStyle name="Normal 4 3 2 2 2 2 2 7" xfId="4746" xr:uid="{00000000-0005-0000-0000-00001F140000}"/>
    <cellStyle name="Normal 4 3 2 2 2 2 2 7 2" xfId="13196" xr:uid="{683EF181-553B-4FCA-AA8A-10E1CA95167E}"/>
    <cellStyle name="Normal 4 3 2 2 2 2 2 8" xfId="8978" xr:uid="{963BEAAC-73E2-4626-844C-B795806417F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4D4053EB-AFDD-4CD9-B6B7-8B317F23898F}"/>
    <cellStyle name="Normal 4 3 2 2 2 2 3 2 3" xfId="11535" xr:uid="{F53DFFDB-22F0-4435-872C-7366D8A98233}"/>
    <cellStyle name="Normal 4 3 2 2 2 2 3 3" xfId="5158" xr:uid="{00000000-0005-0000-0000-000023140000}"/>
    <cellStyle name="Normal 4 3 2 2 2 2 3 3 2" xfId="13608" xr:uid="{CBDF7D60-1F8E-4C6F-9FF1-7C3B6ECF59A2}"/>
    <cellStyle name="Normal 4 3 2 2 2 2 3 4" xfId="9390" xr:uid="{1A8FED5C-215D-4DB1-8709-0CAA2C873F8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1292A53F-3AA5-4FFA-8119-D5391C13CB3E}"/>
    <cellStyle name="Normal 4 3 2 2 2 2 4 2 3" xfId="11948" xr:uid="{4ECE1409-4BD8-4415-8779-E340C10AE3FF}"/>
    <cellStyle name="Normal 4 3 2 2 2 2 4 3" xfId="5571" xr:uid="{00000000-0005-0000-0000-000027140000}"/>
    <cellStyle name="Normal 4 3 2 2 2 2 4 3 2" xfId="14021" xr:uid="{28D6A8E4-FB56-447F-B811-CB10C4B482D8}"/>
    <cellStyle name="Normal 4 3 2 2 2 2 4 4" xfId="9803" xr:uid="{CD7714B7-05B4-490B-BC8C-C1985A617081}"/>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D9D2F5F0-53EA-4E7A-A805-5C5CEC2264CF}"/>
    <cellStyle name="Normal 4 3 2 2 2 2 5 2 3" xfId="12361" xr:uid="{047CC5D1-E584-4C36-9226-E0EDA52DDCB2}"/>
    <cellStyle name="Normal 4 3 2 2 2 2 5 3" xfId="5984" xr:uid="{00000000-0005-0000-0000-00002B140000}"/>
    <cellStyle name="Normal 4 3 2 2 2 2 5 3 2" xfId="14434" xr:uid="{C1889776-E14C-4DB2-BF12-DFA7280A8441}"/>
    <cellStyle name="Normal 4 3 2 2 2 2 5 4" xfId="10216" xr:uid="{8749D946-D3A0-46A8-B3D8-0BAF72C2812B}"/>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079AEB3-B168-480C-A881-7245333B828D}"/>
    <cellStyle name="Normal 4 3 2 2 2 2 6 2 3" xfId="12774" xr:uid="{339257F3-5564-48E7-B03F-82579764C6A5}"/>
    <cellStyle name="Normal 4 3 2 2 2 2 6 3" xfId="6397" xr:uid="{00000000-0005-0000-0000-00002F140000}"/>
    <cellStyle name="Normal 4 3 2 2 2 2 6 3 2" xfId="14847" xr:uid="{7ACA37C9-7D4A-4068-B853-D0EF2B0FCC96}"/>
    <cellStyle name="Normal 4 3 2 2 2 2 6 4" xfId="10629" xr:uid="{343F3748-8A2F-4EF3-8F0C-702C720BFEEA}"/>
    <cellStyle name="Normal 4 3 2 2 2 2 7" xfId="2527" xr:uid="{00000000-0005-0000-0000-000030140000}"/>
    <cellStyle name="Normal 4 3 2 2 2 2 7 2" xfId="6810" xr:uid="{00000000-0005-0000-0000-000031140000}"/>
    <cellStyle name="Normal 4 3 2 2 2 2 7 2 2" xfId="15260" xr:uid="{CA40520E-558A-48AC-9D78-C7E43D0945AF}"/>
    <cellStyle name="Normal 4 3 2 2 2 2 7 3" xfId="11042" xr:uid="{8C9E6843-8B32-4754-BE02-E390953E69D5}"/>
    <cellStyle name="Normal 4 3 2 2 2 2 8" xfId="4745" xr:uid="{00000000-0005-0000-0000-000032140000}"/>
    <cellStyle name="Normal 4 3 2 2 2 2 8 2" xfId="13195" xr:uid="{9D6C78BA-5951-42FA-A4BC-F914D07C9EBE}"/>
    <cellStyle name="Normal 4 3 2 2 2 2 9" xfId="8977" xr:uid="{238030CA-E816-40E9-A326-2C1EAD8B49BF}"/>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58CFC6CA-51B3-4FF9-AA60-9AAA9E50A818}"/>
    <cellStyle name="Normal 4 3 2 2 2 3 2 2 3" xfId="11537" xr:uid="{EC7BB956-6763-400B-8D05-3E60A8E41944}"/>
    <cellStyle name="Normal 4 3 2 2 2 3 2 3" xfId="5160" xr:uid="{00000000-0005-0000-0000-000037140000}"/>
    <cellStyle name="Normal 4 3 2 2 2 3 2 3 2" xfId="13610" xr:uid="{70A5D221-1F1D-41B7-8BB1-6E7D21B9FA15}"/>
    <cellStyle name="Normal 4 3 2 2 2 3 2 4" xfId="9392" xr:uid="{8DB0265C-0A71-4747-9875-697F045F0EC6}"/>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3831ED92-BF36-49CC-8C34-136F112DDFCF}"/>
    <cellStyle name="Normal 4 3 2 2 2 3 3 2 3" xfId="11950" xr:uid="{BB46ADB6-F649-48B8-921E-AEFFCB0C6B78}"/>
    <cellStyle name="Normal 4 3 2 2 2 3 3 3" xfId="5573" xr:uid="{00000000-0005-0000-0000-00003B140000}"/>
    <cellStyle name="Normal 4 3 2 2 2 3 3 3 2" xfId="14023" xr:uid="{D4CC5245-914B-4654-B3AC-A17F187FAAB5}"/>
    <cellStyle name="Normal 4 3 2 2 2 3 3 4" xfId="9805" xr:uid="{FB0305D5-D11C-4088-9BB9-A326CEFD64D4}"/>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BC399805-2229-4489-9831-2FEFFAE9B1A6}"/>
    <cellStyle name="Normal 4 3 2 2 2 3 4 2 3" xfId="12363" xr:uid="{86C4AC3E-5141-4959-BDF9-B059BA0DEE12}"/>
    <cellStyle name="Normal 4 3 2 2 2 3 4 3" xfId="5986" xr:uid="{00000000-0005-0000-0000-00003F140000}"/>
    <cellStyle name="Normal 4 3 2 2 2 3 4 3 2" xfId="14436" xr:uid="{785B98F7-C638-48A7-8F88-8E5B911BA3A2}"/>
    <cellStyle name="Normal 4 3 2 2 2 3 4 4" xfId="10218" xr:uid="{7535CA8D-EA27-4E5F-A43D-A7F412C8B1D5}"/>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4DAE9D5E-1EEC-4552-83F6-CEA8D147A6BD}"/>
    <cellStyle name="Normal 4 3 2 2 2 3 5 2 3" xfId="12776" xr:uid="{2362BFB8-45FC-4326-A5B6-D5AD2112F9E0}"/>
    <cellStyle name="Normal 4 3 2 2 2 3 5 3" xfId="6399" xr:uid="{00000000-0005-0000-0000-000043140000}"/>
    <cellStyle name="Normal 4 3 2 2 2 3 5 3 2" xfId="14849" xr:uid="{15A3709D-7A70-4A49-9433-3CEE459E8F74}"/>
    <cellStyle name="Normal 4 3 2 2 2 3 5 4" xfId="10631" xr:uid="{0BAD7993-963E-4ABF-B18F-E9F14E24B8B8}"/>
    <cellStyle name="Normal 4 3 2 2 2 3 6" xfId="2529" xr:uid="{00000000-0005-0000-0000-000044140000}"/>
    <cellStyle name="Normal 4 3 2 2 2 3 6 2" xfId="6812" xr:uid="{00000000-0005-0000-0000-000045140000}"/>
    <cellStyle name="Normal 4 3 2 2 2 3 6 2 2" xfId="15262" xr:uid="{CF6C91A9-BDC4-4A00-A67A-1B3F85C77546}"/>
    <cellStyle name="Normal 4 3 2 2 2 3 6 3" xfId="11044" xr:uid="{4134C665-568D-472E-983E-4294DD2842FC}"/>
    <cellStyle name="Normal 4 3 2 2 2 3 7" xfId="4747" xr:uid="{00000000-0005-0000-0000-000046140000}"/>
    <cellStyle name="Normal 4 3 2 2 2 3 7 2" xfId="13197" xr:uid="{87AA8EAF-EF27-4CC2-97A4-49720F32A1E2}"/>
    <cellStyle name="Normal 4 3 2 2 2 3 8" xfId="8979" xr:uid="{98D7C10A-4484-4D76-A457-91F15AAE6E9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848CD016-E65E-4930-9719-71B0CA8CCA76}"/>
    <cellStyle name="Normal 4 3 2 2 2 4 2 3" xfId="11534" xr:uid="{D952D2DF-56DC-44DB-A016-9313DBE691BF}"/>
    <cellStyle name="Normal 4 3 2 2 2 4 3" xfId="5157" xr:uid="{00000000-0005-0000-0000-00004A140000}"/>
    <cellStyle name="Normal 4 3 2 2 2 4 3 2" xfId="13607" xr:uid="{087BC0A1-EE7E-439F-83C9-E78ECF03014B}"/>
    <cellStyle name="Normal 4 3 2 2 2 4 4" xfId="9389" xr:uid="{8077BA17-4FE8-42C1-90BF-D7E3AA075D54}"/>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793E33E0-8CD3-4666-A00D-83F76BC75371}"/>
    <cellStyle name="Normal 4 3 2 2 2 5 2 3" xfId="11947" xr:uid="{F5F22152-CBB4-4880-BC99-6ADEDC0F1905}"/>
    <cellStyle name="Normal 4 3 2 2 2 5 3" xfId="5570" xr:uid="{00000000-0005-0000-0000-00004E140000}"/>
    <cellStyle name="Normal 4 3 2 2 2 5 3 2" xfId="14020" xr:uid="{C209C239-CCCE-433F-B8D1-FBB99B56C93A}"/>
    <cellStyle name="Normal 4 3 2 2 2 5 4" xfId="9802" xr:uid="{4EB4EBEF-54AA-46C5-8606-282A25A05E9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36BA4D6F-9009-4A99-B730-FDA9CF9249D0}"/>
    <cellStyle name="Normal 4 3 2 2 2 6 2 3" xfId="12360" xr:uid="{335B517A-2DC0-4DE4-95FD-C19C2613EE5C}"/>
    <cellStyle name="Normal 4 3 2 2 2 6 3" xfId="5983" xr:uid="{00000000-0005-0000-0000-000052140000}"/>
    <cellStyle name="Normal 4 3 2 2 2 6 3 2" xfId="14433" xr:uid="{D930EC12-DF04-4FDE-BC9F-9918BE2FE16A}"/>
    <cellStyle name="Normal 4 3 2 2 2 6 4" xfId="10215" xr:uid="{35F0B9FC-A238-41AA-A51C-3D283ED79C3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EE365DAC-4CCE-4350-9C56-122AA9E83E72}"/>
    <cellStyle name="Normal 4 3 2 2 2 7 2 3" xfId="12773" xr:uid="{D51187E1-2519-4BD7-B9E9-36C0F18A8F66}"/>
    <cellStyle name="Normal 4 3 2 2 2 7 3" xfId="6396" xr:uid="{00000000-0005-0000-0000-000056140000}"/>
    <cellStyle name="Normal 4 3 2 2 2 7 3 2" xfId="14846" xr:uid="{FAC7904D-8DE0-475A-B5BA-376031563E64}"/>
    <cellStyle name="Normal 4 3 2 2 2 7 4" xfId="10628" xr:uid="{2A60F65B-1301-4F0D-A1DD-D926CD6E44E1}"/>
    <cellStyle name="Normal 4 3 2 2 2 8" xfId="2526" xr:uid="{00000000-0005-0000-0000-000057140000}"/>
    <cellStyle name="Normal 4 3 2 2 2 8 2" xfId="6809" xr:uid="{00000000-0005-0000-0000-000058140000}"/>
    <cellStyle name="Normal 4 3 2 2 2 8 2 2" xfId="15259" xr:uid="{06570DCC-C7DF-4225-BBC5-F060B0EF586C}"/>
    <cellStyle name="Normal 4 3 2 2 2 8 3" xfId="11041" xr:uid="{6ED9CD02-7FCA-472A-AB25-B0A03562C7C9}"/>
    <cellStyle name="Normal 4 3 2 2 2 9" xfId="4744" xr:uid="{00000000-0005-0000-0000-000059140000}"/>
    <cellStyle name="Normal 4 3 2 2 2 9 2" xfId="13194" xr:uid="{C1F0C0DC-F7DE-4105-98F2-BECD14BB394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02B01312-6C85-425D-A480-649DE49D192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320119D1-5B86-4E4C-8052-5976EE3FC8E4}"/>
    <cellStyle name="Normal 4 3 3 2 2 2 2 3" xfId="11540" xr:uid="{263EBDF6-84D5-476C-91CE-4B9B3295D85B}"/>
    <cellStyle name="Normal 4 3 3 2 2 2 3" xfId="5163" xr:uid="{00000000-0005-0000-0000-000063140000}"/>
    <cellStyle name="Normal 4 3 3 2 2 2 3 2" xfId="13613" xr:uid="{595CD298-D4BB-4B2E-A1D7-FC3CCF78B11A}"/>
    <cellStyle name="Normal 4 3 3 2 2 2 4" xfId="9395" xr:uid="{4D184DDE-A2A6-4092-81DB-64D5528C38A4}"/>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20201E87-B295-4290-92D8-41489AF8F9FB}"/>
    <cellStyle name="Normal 4 3 3 2 2 3 2 3" xfId="11953" xr:uid="{E5FA2658-B2AC-4501-BFEE-EDD48E7DFE5F}"/>
    <cellStyle name="Normal 4 3 3 2 2 3 3" xfId="5576" xr:uid="{00000000-0005-0000-0000-000067140000}"/>
    <cellStyle name="Normal 4 3 3 2 2 3 3 2" xfId="14026" xr:uid="{7382DC68-9F6F-4130-8A7D-678EF222137C}"/>
    <cellStyle name="Normal 4 3 3 2 2 3 4" xfId="9808" xr:uid="{6D805227-2711-4B21-BC32-6BD28FB8C5D7}"/>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06BDDC94-0FFF-49A8-A49B-5AB927741DAF}"/>
    <cellStyle name="Normal 4 3 3 2 2 4 2 3" xfId="12366" xr:uid="{141BAB7F-FFCF-4782-A295-085C61639393}"/>
    <cellStyle name="Normal 4 3 3 2 2 4 3" xfId="5989" xr:uid="{00000000-0005-0000-0000-00006B140000}"/>
    <cellStyle name="Normal 4 3 3 2 2 4 3 2" xfId="14439" xr:uid="{CD370BD8-01D6-4F75-AEFC-842057BFF4BD}"/>
    <cellStyle name="Normal 4 3 3 2 2 4 4" xfId="10221" xr:uid="{CDEA1FBE-1CA5-484F-9F02-4A5A1E8319A8}"/>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FADBE468-0635-4515-92A2-F280227F40E4}"/>
    <cellStyle name="Normal 4 3 3 2 2 5 2 3" xfId="12779" xr:uid="{E3FB3D58-4413-45EC-8500-1568DAE7DAF1}"/>
    <cellStyle name="Normal 4 3 3 2 2 5 3" xfId="6402" xr:uid="{00000000-0005-0000-0000-00006F140000}"/>
    <cellStyle name="Normal 4 3 3 2 2 5 3 2" xfId="14852" xr:uid="{80D184DF-98AA-4086-ACBA-68FD2FC1DFED}"/>
    <cellStyle name="Normal 4 3 3 2 2 5 4" xfId="10634" xr:uid="{DC555992-F7E6-45A2-9F72-1D0B13DF2DB6}"/>
    <cellStyle name="Normal 4 3 3 2 2 6" xfId="2532" xr:uid="{00000000-0005-0000-0000-000070140000}"/>
    <cellStyle name="Normal 4 3 3 2 2 6 2" xfId="6815" xr:uid="{00000000-0005-0000-0000-000071140000}"/>
    <cellStyle name="Normal 4 3 3 2 2 6 2 2" xfId="15265" xr:uid="{39D2CE8E-BE70-4362-9AC9-C6795C861F6C}"/>
    <cellStyle name="Normal 4 3 3 2 2 6 3" xfId="11047" xr:uid="{BD96E9D5-ABD7-4675-88A4-94C561EB56AB}"/>
    <cellStyle name="Normal 4 3 3 2 2 7" xfId="4750" xr:uid="{00000000-0005-0000-0000-000072140000}"/>
    <cellStyle name="Normal 4 3 3 2 2 7 2" xfId="13200" xr:uid="{DFB083C6-D388-423A-BFE3-EC1A760EEF0D}"/>
    <cellStyle name="Normal 4 3 3 2 2 8" xfId="8982" xr:uid="{14AEB8D0-6BE5-4660-B146-2E062FE1DD7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4C9EFC20-FAC3-4B07-913A-0693C455B743}"/>
    <cellStyle name="Normal 4 3 3 2 3 2 3" xfId="11539" xr:uid="{A0A39F84-ABC8-4F90-9B76-28B197998010}"/>
    <cellStyle name="Normal 4 3 3 2 3 3" xfId="5162" xr:uid="{00000000-0005-0000-0000-000076140000}"/>
    <cellStyle name="Normal 4 3 3 2 3 3 2" xfId="13612" xr:uid="{A841BA16-1742-4114-A921-4D80EBB0CFB7}"/>
    <cellStyle name="Normal 4 3 3 2 3 4" xfId="9394" xr:uid="{CF7B8474-EC40-4243-8065-F64E45A22DB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A72B5317-4B5F-4EBE-B15A-C4728647E572}"/>
    <cellStyle name="Normal 4 3 3 2 4 2 3" xfId="11952" xr:uid="{FB631981-AECD-44BF-92F6-05890296BAC4}"/>
    <cellStyle name="Normal 4 3 3 2 4 3" xfId="5575" xr:uid="{00000000-0005-0000-0000-00007A140000}"/>
    <cellStyle name="Normal 4 3 3 2 4 3 2" xfId="14025" xr:uid="{EB5A0FA2-A44F-4192-9680-35329EBCD1FD}"/>
    <cellStyle name="Normal 4 3 3 2 4 4" xfId="9807" xr:uid="{A78C8A9C-F1E5-46C9-96A0-3C3A4DF682D0}"/>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11524945-388B-4F7E-86F6-2CC9B2FBB52C}"/>
    <cellStyle name="Normal 4 3 3 2 5 2 3" xfId="12365" xr:uid="{8AF9889A-24B5-4F03-8D42-3AAFE5A42F7A}"/>
    <cellStyle name="Normal 4 3 3 2 5 3" xfId="5988" xr:uid="{00000000-0005-0000-0000-00007E140000}"/>
    <cellStyle name="Normal 4 3 3 2 5 3 2" xfId="14438" xr:uid="{15F17115-D514-4CB0-9D3A-EF91AD0DFEF9}"/>
    <cellStyle name="Normal 4 3 3 2 5 4" xfId="10220" xr:uid="{15C23160-478E-4DF3-A136-961796CE1501}"/>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F6E4AADC-FB19-48A1-9099-28E3911C09ED}"/>
    <cellStyle name="Normal 4 3 3 2 6 2 3" xfId="12778" xr:uid="{BF9521D7-E948-4E7D-883A-63CF60A97F68}"/>
    <cellStyle name="Normal 4 3 3 2 6 3" xfId="6401" xr:uid="{00000000-0005-0000-0000-000082140000}"/>
    <cellStyle name="Normal 4 3 3 2 6 3 2" xfId="14851" xr:uid="{FD26627B-3110-42E0-8812-04E8919E35DF}"/>
    <cellStyle name="Normal 4 3 3 2 6 4" xfId="10633" xr:uid="{B0BF09E3-64DB-494E-A038-7BF13C67627D}"/>
    <cellStyle name="Normal 4 3 3 2 7" xfId="2531" xr:uid="{00000000-0005-0000-0000-000083140000}"/>
    <cellStyle name="Normal 4 3 3 2 7 2" xfId="6814" xr:uid="{00000000-0005-0000-0000-000084140000}"/>
    <cellStyle name="Normal 4 3 3 2 7 2 2" xfId="15264" xr:uid="{9225B688-1BA5-405E-9E32-618C9FF20766}"/>
    <cellStyle name="Normal 4 3 3 2 7 3" xfId="11046" xr:uid="{F6CF1F35-0267-400E-8BA7-2D3ABE4A581A}"/>
    <cellStyle name="Normal 4 3 3 2 8" xfId="4749" xr:uid="{00000000-0005-0000-0000-000085140000}"/>
    <cellStyle name="Normal 4 3 3 2 8 2" xfId="13199" xr:uid="{10837DBC-1381-4669-9473-1B39A897D80E}"/>
    <cellStyle name="Normal 4 3 3 2 9" xfId="8981" xr:uid="{8561D6E1-A8EB-4EDD-9561-EB380874B8B5}"/>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44EAA5C8-D95F-4DF8-83F1-3AA474DFADF3}"/>
    <cellStyle name="Normal 4 3 3 3 2 2 3" xfId="11541" xr:uid="{3F0AC369-77F8-405C-B5C4-E5B52971AF8A}"/>
    <cellStyle name="Normal 4 3 3 3 2 3" xfId="5164" xr:uid="{00000000-0005-0000-0000-00008A140000}"/>
    <cellStyle name="Normal 4 3 3 3 2 3 2" xfId="13614" xr:uid="{1701B88F-66D8-406F-834C-0464D471AAE0}"/>
    <cellStyle name="Normal 4 3 3 3 2 4" xfId="9396" xr:uid="{ADC3E7A4-8754-409A-A6F9-BC3C3694FA32}"/>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B8B9A8FC-8C30-48CF-990E-E0FECA53E9B1}"/>
    <cellStyle name="Normal 4 3 3 3 3 2 3" xfId="11954" xr:uid="{89E74410-22EC-4E96-AA1F-D56B97E35315}"/>
    <cellStyle name="Normal 4 3 3 3 3 3" xfId="5577" xr:uid="{00000000-0005-0000-0000-00008E140000}"/>
    <cellStyle name="Normal 4 3 3 3 3 3 2" xfId="14027" xr:uid="{73366958-8739-402E-B183-96BEF26ED388}"/>
    <cellStyle name="Normal 4 3 3 3 3 4" xfId="9809" xr:uid="{3DCC3A69-091A-483E-9BCF-25C9B177AF4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C4041ECC-220D-4EDC-91FA-9B5B76EDC310}"/>
    <cellStyle name="Normal 4 3 3 3 4 2 3" xfId="12367" xr:uid="{C598AE17-EF0D-4B3C-90FC-4AA56203FF09}"/>
    <cellStyle name="Normal 4 3 3 3 4 3" xfId="5990" xr:uid="{00000000-0005-0000-0000-000092140000}"/>
    <cellStyle name="Normal 4 3 3 3 4 3 2" xfId="14440" xr:uid="{94F019B1-9F4D-440B-A8CF-8434232838C6}"/>
    <cellStyle name="Normal 4 3 3 3 4 4" xfId="10222" xr:uid="{D371CC1B-F885-4D69-AC96-26C321F6A860}"/>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21DE5245-D7B1-4987-8BEA-04E6285F7D85}"/>
    <cellStyle name="Normal 4 3 3 3 5 2 3" xfId="12780" xr:uid="{72ACC075-7037-4F56-9E43-9BA1B54D9793}"/>
    <cellStyle name="Normal 4 3 3 3 5 3" xfId="6403" xr:uid="{00000000-0005-0000-0000-000096140000}"/>
    <cellStyle name="Normal 4 3 3 3 5 3 2" xfId="14853" xr:uid="{49688824-A610-4395-BB79-C978D5C5F1BD}"/>
    <cellStyle name="Normal 4 3 3 3 5 4" xfId="10635" xr:uid="{66C620C4-4306-4A48-9BCA-C30342930FAE}"/>
    <cellStyle name="Normal 4 3 3 3 6" xfId="2533" xr:uid="{00000000-0005-0000-0000-000097140000}"/>
    <cellStyle name="Normal 4 3 3 3 6 2" xfId="6816" xr:uid="{00000000-0005-0000-0000-000098140000}"/>
    <cellStyle name="Normal 4 3 3 3 6 2 2" xfId="15266" xr:uid="{9570132A-5D60-43B8-95A0-9C6E9B8C3181}"/>
    <cellStyle name="Normal 4 3 3 3 6 3" xfId="11048" xr:uid="{3321BD5F-9BEC-4C19-B262-F7742935E0E5}"/>
    <cellStyle name="Normal 4 3 3 3 7" xfId="4751" xr:uid="{00000000-0005-0000-0000-000099140000}"/>
    <cellStyle name="Normal 4 3 3 3 7 2" xfId="13201" xr:uid="{F6214190-8EFE-41D8-984C-FF6DBE5AFD27}"/>
    <cellStyle name="Normal 4 3 3 3 8" xfId="8983" xr:uid="{08A75374-E1B5-416F-9F34-B53304E638DE}"/>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1801D952-DCAE-4320-9D7F-ECEEC18357C5}"/>
    <cellStyle name="Normal 4 3 3 4 2 3" xfId="11538" xr:uid="{CC09FE7A-CAAE-46E5-8EED-F43B971BCC82}"/>
    <cellStyle name="Normal 4 3 3 4 3" xfId="5161" xr:uid="{00000000-0005-0000-0000-00009D140000}"/>
    <cellStyle name="Normal 4 3 3 4 3 2" xfId="13611" xr:uid="{E14B8D71-5E3A-40F7-956A-BD72F650296C}"/>
    <cellStyle name="Normal 4 3 3 4 4" xfId="9393" xr:uid="{B349CC66-F4A3-405E-BA68-C304A74E31F4}"/>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9D6A7E94-40D6-4621-9693-E3559B5B44C7}"/>
    <cellStyle name="Normal 4 3 3 5 2 3" xfId="11951" xr:uid="{AD154A73-9EA2-4329-8D3A-8C3867570CC3}"/>
    <cellStyle name="Normal 4 3 3 5 3" xfId="5574" xr:uid="{00000000-0005-0000-0000-0000A1140000}"/>
    <cellStyle name="Normal 4 3 3 5 3 2" xfId="14024" xr:uid="{8B75E52D-CF2D-447A-9E95-31E0D36E3192}"/>
    <cellStyle name="Normal 4 3 3 5 4" xfId="9806" xr:uid="{907356FC-294D-4D0F-828F-33E8D8FD1D49}"/>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448108AE-D495-4118-9082-6CE2B92A9505}"/>
    <cellStyle name="Normal 4 3 3 6 2 3" xfId="12364" xr:uid="{EE829745-8E95-4FFC-A691-88A4E3D462FA}"/>
    <cellStyle name="Normal 4 3 3 6 3" xfId="5987" xr:uid="{00000000-0005-0000-0000-0000A5140000}"/>
    <cellStyle name="Normal 4 3 3 6 3 2" xfId="14437" xr:uid="{D55C0FE6-9638-4B09-A398-794469240FBC}"/>
    <cellStyle name="Normal 4 3 3 6 4" xfId="10219" xr:uid="{1E55D24E-4B41-4B55-8675-0B71E5BB223D}"/>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B3074C47-78B1-47B1-AFFF-A320323D86C0}"/>
    <cellStyle name="Normal 4 3 3 7 2 3" xfId="12777" xr:uid="{F3CFA365-DFF0-418C-858F-B85555368B63}"/>
    <cellStyle name="Normal 4 3 3 7 3" xfId="6400" xr:uid="{00000000-0005-0000-0000-0000A9140000}"/>
    <cellStyle name="Normal 4 3 3 7 3 2" xfId="14850" xr:uid="{24BB01B8-6ED7-44BC-A7CF-A3CE8D9C1910}"/>
    <cellStyle name="Normal 4 3 3 7 4" xfId="10632" xr:uid="{D64FF000-C498-489E-9CED-EADD871F85C6}"/>
    <cellStyle name="Normal 4 3 3 8" xfId="2530" xr:uid="{00000000-0005-0000-0000-0000AA140000}"/>
    <cellStyle name="Normal 4 3 3 8 2" xfId="6813" xr:uid="{00000000-0005-0000-0000-0000AB140000}"/>
    <cellStyle name="Normal 4 3 3 8 2 2" xfId="15263" xr:uid="{A824227B-3395-4B9A-A27F-C86731674A8E}"/>
    <cellStyle name="Normal 4 3 3 8 3" xfId="11045" xr:uid="{47AE5F87-1CBC-4EBB-BF0D-CE76D78ADA65}"/>
    <cellStyle name="Normal 4 3 3 9" xfId="4748" xr:uid="{00000000-0005-0000-0000-0000AC140000}"/>
    <cellStyle name="Normal 4 3 3 9 2" xfId="13198" xr:uid="{9DA40EFB-AFA0-4928-8092-648B09014799}"/>
    <cellStyle name="Normal 4 3 4" xfId="842" xr:uid="{00000000-0005-0000-0000-0000AD140000}"/>
    <cellStyle name="Normal 4 3 4 2" xfId="3079" xr:uid="{00000000-0005-0000-0000-0000AE140000}"/>
    <cellStyle name="Normal 4 3 4 2 2" xfId="7301" xr:uid="{00000000-0005-0000-0000-0000AF140000}"/>
    <cellStyle name="Normal 4 3 4 2 2 2" xfId="15751" xr:uid="{B1736981-2C2C-4569-BA25-0AC367FBD498}"/>
    <cellStyle name="Normal 4 3 4 2 3" xfId="11533" xr:uid="{B5D7F800-1623-4754-8F88-A73BDAD7D6F3}"/>
    <cellStyle name="Normal 4 3 4 3" xfId="5156" xr:uid="{00000000-0005-0000-0000-0000B0140000}"/>
    <cellStyle name="Normal 4 3 4 3 2" xfId="13606" xr:uid="{C27FB2BE-6F37-4981-A997-65430C964D76}"/>
    <cellStyle name="Normal 4 3 4 4" xfId="9388" xr:uid="{FECF372D-5643-4F10-98A3-C2D61009E581}"/>
    <cellStyle name="Normal 4 3 5" xfId="1262" xr:uid="{00000000-0005-0000-0000-0000B1140000}"/>
    <cellStyle name="Normal 4 3 5 2" xfId="3492" xr:uid="{00000000-0005-0000-0000-0000B2140000}"/>
    <cellStyle name="Normal 4 3 5 2 2" xfId="7714" xr:uid="{00000000-0005-0000-0000-0000B3140000}"/>
    <cellStyle name="Normal 4 3 5 2 2 2" xfId="16164" xr:uid="{085074FB-6E9B-46D4-9CB6-C3E3E1B5A05B}"/>
    <cellStyle name="Normal 4 3 5 2 3" xfId="11946" xr:uid="{0F2AA568-F5E6-498A-A808-4B41EE2787C1}"/>
    <cellStyle name="Normal 4 3 5 3" xfId="5569" xr:uid="{00000000-0005-0000-0000-0000B4140000}"/>
    <cellStyle name="Normal 4 3 5 3 2" xfId="14019" xr:uid="{30815FC9-6A2D-41FF-9C11-F0045AA11234}"/>
    <cellStyle name="Normal 4 3 5 4" xfId="9801" xr:uid="{D7290E9C-2258-42A3-A5A9-C99344EB9604}"/>
    <cellStyle name="Normal 4 3 6" xfId="1675" xr:uid="{00000000-0005-0000-0000-0000B5140000}"/>
    <cellStyle name="Normal 4 3 6 2" xfId="3905" xr:uid="{00000000-0005-0000-0000-0000B6140000}"/>
    <cellStyle name="Normal 4 3 6 2 2" xfId="8127" xr:uid="{00000000-0005-0000-0000-0000B7140000}"/>
    <cellStyle name="Normal 4 3 6 2 2 2" xfId="16577" xr:uid="{A6D4C0DB-DB13-4B53-9827-4C9B7BA5F670}"/>
    <cellStyle name="Normal 4 3 6 2 3" xfId="12359" xr:uid="{DCDEDEB5-CF2A-4031-B200-C0DB20B3D78A}"/>
    <cellStyle name="Normal 4 3 6 3" xfId="5982" xr:uid="{00000000-0005-0000-0000-0000B8140000}"/>
    <cellStyle name="Normal 4 3 6 3 2" xfId="14432" xr:uid="{8EC7CFDF-C9CC-43C7-8D1A-5BB124A84591}"/>
    <cellStyle name="Normal 4 3 6 4" xfId="10214" xr:uid="{1C0858E6-C500-4965-8189-96577D64885E}"/>
    <cellStyle name="Normal 4 3 7" xfId="2089" xr:uid="{00000000-0005-0000-0000-0000B9140000}"/>
    <cellStyle name="Normal 4 3 7 2" xfId="4318" xr:uid="{00000000-0005-0000-0000-0000BA140000}"/>
    <cellStyle name="Normal 4 3 7 2 2" xfId="8540" xr:uid="{00000000-0005-0000-0000-0000BB140000}"/>
    <cellStyle name="Normal 4 3 7 2 2 2" xfId="16990" xr:uid="{EBF043C7-BBB7-46D5-A42F-144CA9A2F973}"/>
    <cellStyle name="Normal 4 3 7 2 3" xfId="12772" xr:uid="{6BF66ACC-088B-4CE2-81C2-953139171951}"/>
    <cellStyle name="Normal 4 3 7 3" xfId="6395" xr:uid="{00000000-0005-0000-0000-0000BC140000}"/>
    <cellStyle name="Normal 4 3 7 3 2" xfId="14845" xr:uid="{017E2619-811F-4E1F-B574-70DA0B6AD133}"/>
    <cellStyle name="Normal 4 3 7 4" xfId="10627" xr:uid="{73C31B94-2F86-47D2-B1D0-D82ACBD5599B}"/>
    <cellStyle name="Normal 4 3 8" xfId="2525" xr:uid="{00000000-0005-0000-0000-0000BD140000}"/>
    <cellStyle name="Normal 4 3 8 2" xfId="6808" xr:uid="{00000000-0005-0000-0000-0000BE140000}"/>
    <cellStyle name="Normal 4 3 8 2 2" xfId="15258" xr:uid="{C229EE46-4D69-4EC7-AFAF-EF85D3EFAF8A}"/>
    <cellStyle name="Normal 4 3 8 3" xfId="11040" xr:uid="{22CC94B4-310A-4577-A130-BFC55221549E}"/>
    <cellStyle name="Normal 4 3 9" xfId="4743" xr:uid="{00000000-0005-0000-0000-0000BF140000}"/>
    <cellStyle name="Normal 4 3 9 2" xfId="13193" xr:uid="{024F82C4-3684-4380-AC64-F7BD85EDEA89}"/>
    <cellStyle name="Normal 4 4" xfId="378" xr:uid="{00000000-0005-0000-0000-0000C0140000}"/>
    <cellStyle name="Normal 4 4 10" xfId="2534" xr:uid="{00000000-0005-0000-0000-0000C1140000}"/>
    <cellStyle name="Normal 4 4 10 2" xfId="6817" xr:uid="{00000000-0005-0000-0000-0000C2140000}"/>
    <cellStyle name="Normal 4 4 10 2 2" xfId="15267" xr:uid="{5C367E7B-93FA-43BC-ACA6-BAB265A82AAF}"/>
    <cellStyle name="Normal 4 4 10 3" xfId="11049" xr:uid="{EF58493B-B689-4B7D-8181-33100EDC74A2}"/>
    <cellStyle name="Normal 4 4 11" xfId="4752" xr:uid="{00000000-0005-0000-0000-0000C3140000}"/>
    <cellStyle name="Normal 4 4 11 2" xfId="13202" xr:uid="{F2C7E548-789A-45A5-B781-8FB6AA4D3413}"/>
    <cellStyle name="Normal 4 4 12" xfId="8984" xr:uid="{1CE44829-EDCD-4381-9E04-8331956D1DFD}"/>
    <cellStyle name="Normal 4 4 2" xfId="379" xr:uid="{00000000-0005-0000-0000-0000C4140000}"/>
    <cellStyle name="Normal 4 4 2 10" xfId="4753" xr:uid="{00000000-0005-0000-0000-0000C5140000}"/>
    <cellStyle name="Normal 4 4 2 10 2" xfId="13203" xr:uid="{29BAD03A-2370-4E6C-B8A7-050FC9AEED88}"/>
    <cellStyle name="Normal 4 4 2 11" xfId="8985" xr:uid="{6B0AAE5D-6E51-44AD-892C-200465AF2051}"/>
    <cellStyle name="Normal 4 4 2 2" xfId="380" xr:uid="{00000000-0005-0000-0000-0000C6140000}"/>
    <cellStyle name="Normal 4 4 2 2 10" xfId="8986" xr:uid="{39FC802F-B9F1-40E9-B71E-996313523A3D}"/>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B81C3408-E4D9-4168-8DB8-BEB07C426E96}"/>
    <cellStyle name="Normal 4 4 2 2 2 2 2 2 3" xfId="11546" xr:uid="{E607B3C3-678D-4BA4-9D42-CA3A3118B504}"/>
    <cellStyle name="Normal 4 4 2 2 2 2 2 3" xfId="5169" xr:uid="{00000000-0005-0000-0000-0000CC140000}"/>
    <cellStyle name="Normal 4 4 2 2 2 2 2 3 2" xfId="13619" xr:uid="{EBD1A075-2B47-423A-984D-DDBC5F38FB0E}"/>
    <cellStyle name="Normal 4 4 2 2 2 2 2 4" xfId="9401" xr:uid="{5F11577D-17E5-40DC-8AC0-708D90E9FE7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DAC8CE09-17CC-4623-ABA2-B15DFD66C623}"/>
    <cellStyle name="Normal 4 4 2 2 2 2 3 2 3" xfId="11959" xr:uid="{A27CD71A-7BDD-4481-BF3A-4D8550F7579D}"/>
    <cellStyle name="Normal 4 4 2 2 2 2 3 3" xfId="5582" xr:uid="{00000000-0005-0000-0000-0000D0140000}"/>
    <cellStyle name="Normal 4 4 2 2 2 2 3 3 2" xfId="14032" xr:uid="{4BC52353-1B52-4AC3-9237-1E9A4ED5BDAC}"/>
    <cellStyle name="Normal 4 4 2 2 2 2 3 4" xfId="9814" xr:uid="{973A4F10-6A3D-44EE-B8BC-9D994AD96E84}"/>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8D52922E-7839-40C9-8616-FACD550FF1E6}"/>
    <cellStyle name="Normal 4 4 2 2 2 2 4 2 3" xfId="12372" xr:uid="{E11254BE-2F17-435D-A3B6-33665BF121FD}"/>
    <cellStyle name="Normal 4 4 2 2 2 2 4 3" xfId="5995" xr:uid="{00000000-0005-0000-0000-0000D4140000}"/>
    <cellStyle name="Normal 4 4 2 2 2 2 4 3 2" xfId="14445" xr:uid="{77ACB446-A58A-4039-80AA-9228B8B1C73C}"/>
    <cellStyle name="Normal 4 4 2 2 2 2 4 4" xfId="10227" xr:uid="{83493BC4-FBDC-4D88-98C4-A1C4C127F276}"/>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225E9E9A-5A77-4842-8724-75AF13EE7067}"/>
    <cellStyle name="Normal 4 4 2 2 2 2 5 2 3" xfId="12785" xr:uid="{8DEB8B5B-B872-4147-89C6-9F50754BF09D}"/>
    <cellStyle name="Normal 4 4 2 2 2 2 5 3" xfId="6408" xr:uid="{00000000-0005-0000-0000-0000D8140000}"/>
    <cellStyle name="Normal 4 4 2 2 2 2 5 3 2" xfId="14858" xr:uid="{4D2B103B-864C-4424-8632-82E2F6EEFF8C}"/>
    <cellStyle name="Normal 4 4 2 2 2 2 5 4" xfId="10640" xr:uid="{CDF748BA-8EEF-41F8-8162-36B1477D5816}"/>
    <cellStyle name="Normal 4 4 2 2 2 2 6" xfId="2538" xr:uid="{00000000-0005-0000-0000-0000D9140000}"/>
    <cellStyle name="Normal 4 4 2 2 2 2 6 2" xfId="6821" xr:uid="{00000000-0005-0000-0000-0000DA140000}"/>
    <cellStyle name="Normal 4 4 2 2 2 2 6 2 2" xfId="15271" xr:uid="{0E2DC4AF-9B45-4F27-A9C4-00AE682D19F8}"/>
    <cellStyle name="Normal 4 4 2 2 2 2 6 3" xfId="11053" xr:uid="{5EDE8E8E-726F-44F3-AE85-7E41BC89D1AC}"/>
    <cellStyle name="Normal 4 4 2 2 2 2 7" xfId="4756" xr:uid="{00000000-0005-0000-0000-0000DB140000}"/>
    <cellStyle name="Normal 4 4 2 2 2 2 7 2" xfId="13206" xr:uid="{9479ABB2-F307-4B96-A6C6-76BF32C7A5D3}"/>
    <cellStyle name="Normal 4 4 2 2 2 2 8" xfId="8988" xr:uid="{C4F6BF1D-8803-4B5D-8B39-04F0A8C19E7A}"/>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FE9FFA4E-A123-42DE-A52D-D700FA4E277F}"/>
    <cellStyle name="Normal 4 4 2 2 2 3 2 3" xfId="11545" xr:uid="{E45AF2BF-CE20-4E88-BB38-59C1D2E3E769}"/>
    <cellStyle name="Normal 4 4 2 2 2 3 3" xfId="5168" xr:uid="{00000000-0005-0000-0000-0000DF140000}"/>
    <cellStyle name="Normal 4 4 2 2 2 3 3 2" xfId="13618" xr:uid="{5DD39919-9F6E-4DAA-A9AB-CA04E455076E}"/>
    <cellStyle name="Normal 4 4 2 2 2 3 4" xfId="9400" xr:uid="{7D150240-9507-42B7-9B1A-C2DD533C1209}"/>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FFB74803-3F48-48AF-859F-D0F798F700AB}"/>
    <cellStyle name="Normal 4 4 2 2 2 4 2 3" xfId="11958" xr:uid="{7E8F13BD-4D09-40C1-980B-E34FE9E0DB92}"/>
    <cellStyle name="Normal 4 4 2 2 2 4 3" xfId="5581" xr:uid="{00000000-0005-0000-0000-0000E3140000}"/>
    <cellStyle name="Normal 4 4 2 2 2 4 3 2" xfId="14031" xr:uid="{E4B71320-13A0-4AF9-A1C3-C778210FE096}"/>
    <cellStyle name="Normal 4 4 2 2 2 4 4" xfId="9813" xr:uid="{C6A69DC2-2E93-4B31-B760-B4BF3427980E}"/>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0E3049F8-6057-4578-8B8E-76A75B5DBA87}"/>
    <cellStyle name="Normal 4 4 2 2 2 5 2 3" xfId="12371" xr:uid="{FCDC4DCB-33A6-4A7A-AB66-9E25BF72E14F}"/>
    <cellStyle name="Normal 4 4 2 2 2 5 3" xfId="5994" xr:uid="{00000000-0005-0000-0000-0000E7140000}"/>
    <cellStyle name="Normal 4 4 2 2 2 5 3 2" xfId="14444" xr:uid="{83D4077D-9BDF-43C8-AB08-73C5E9BDC4CB}"/>
    <cellStyle name="Normal 4 4 2 2 2 5 4" xfId="10226" xr:uid="{9304E76F-10C5-4F7A-B555-85A58F25E047}"/>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A608A94D-8952-4753-B3BF-B82FE792A6D5}"/>
    <cellStyle name="Normal 4 4 2 2 2 6 2 3" xfId="12784" xr:uid="{FF35FC77-C169-4A98-8810-E13C97450D99}"/>
    <cellStyle name="Normal 4 4 2 2 2 6 3" xfId="6407" xr:uid="{00000000-0005-0000-0000-0000EB140000}"/>
    <cellStyle name="Normal 4 4 2 2 2 6 3 2" xfId="14857" xr:uid="{77B0A604-5A7A-40DE-A7CD-95B1F048B837}"/>
    <cellStyle name="Normal 4 4 2 2 2 6 4" xfId="10639" xr:uid="{9654039E-9A29-477D-AF16-6C7DD74F4C21}"/>
    <cellStyle name="Normal 4 4 2 2 2 7" xfId="2537" xr:uid="{00000000-0005-0000-0000-0000EC140000}"/>
    <cellStyle name="Normal 4 4 2 2 2 7 2" xfId="6820" xr:uid="{00000000-0005-0000-0000-0000ED140000}"/>
    <cellStyle name="Normal 4 4 2 2 2 7 2 2" xfId="15270" xr:uid="{4E7E00C7-27D3-4F0B-990E-EB32112ADC27}"/>
    <cellStyle name="Normal 4 4 2 2 2 7 3" xfId="11052" xr:uid="{7F284564-0BD7-46E3-99F5-FE6DF9AC1496}"/>
    <cellStyle name="Normal 4 4 2 2 2 8" xfId="4755" xr:uid="{00000000-0005-0000-0000-0000EE140000}"/>
    <cellStyle name="Normal 4 4 2 2 2 8 2" xfId="13205" xr:uid="{966CA076-D9B5-46B8-8894-DEC3DEA02906}"/>
    <cellStyle name="Normal 4 4 2 2 2 9" xfId="8987" xr:uid="{C3AC6C9A-DDE3-486D-9F0D-33676BB5869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CD4B70DE-C6C9-49B9-8BB3-48AFDAD6CAD6}"/>
    <cellStyle name="Normal 4 4 2 2 3 2 2 3" xfId="11547" xr:uid="{2C4185C4-C684-4F4E-AA4F-C95D2AE09654}"/>
    <cellStyle name="Normal 4 4 2 2 3 2 3" xfId="5170" xr:uid="{00000000-0005-0000-0000-0000F3140000}"/>
    <cellStyle name="Normal 4 4 2 2 3 2 3 2" xfId="13620" xr:uid="{9DB87BFF-063C-4229-9F7B-0F8C8264B32F}"/>
    <cellStyle name="Normal 4 4 2 2 3 2 4" xfId="9402" xr:uid="{D52D44E9-2C2D-4A3F-8119-EEF0CC280B45}"/>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CE717504-BD38-4718-8765-46B62908930B}"/>
    <cellStyle name="Normal 4 4 2 2 3 3 2 3" xfId="11960" xr:uid="{82DE282A-117D-43D6-BC47-9AE1F610AF6B}"/>
    <cellStyle name="Normal 4 4 2 2 3 3 3" xfId="5583" xr:uid="{00000000-0005-0000-0000-0000F7140000}"/>
    <cellStyle name="Normal 4 4 2 2 3 3 3 2" xfId="14033" xr:uid="{C250EC35-0780-4C0D-B742-6B4FBABA4C6D}"/>
    <cellStyle name="Normal 4 4 2 2 3 3 4" xfId="9815" xr:uid="{0273BEBC-218D-4CF7-A61D-4B2EC2948403}"/>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18F9438D-9AB2-4D06-BC29-6ACF71CF2FF4}"/>
    <cellStyle name="Normal 4 4 2 2 3 4 2 3" xfId="12373" xr:uid="{3B71ABB0-0F02-4366-9F56-E8CDD638C018}"/>
    <cellStyle name="Normal 4 4 2 2 3 4 3" xfId="5996" xr:uid="{00000000-0005-0000-0000-0000FB140000}"/>
    <cellStyle name="Normal 4 4 2 2 3 4 3 2" xfId="14446" xr:uid="{6F8B72FF-16CB-42F5-A788-A1661362F965}"/>
    <cellStyle name="Normal 4 4 2 2 3 4 4" xfId="10228" xr:uid="{DE589023-0F0F-4637-B75C-5338ACE095E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124728AC-2549-45C6-9665-1EF814FB5F03}"/>
    <cellStyle name="Normal 4 4 2 2 3 5 2 3" xfId="12786" xr:uid="{954B91F9-786E-434D-A412-724720280C9F}"/>
    <cellStyle name="Normal 4 4 2 2 3 5 3" xfId="6409" xr:uid="{00000000-0005-0000-0000-0000FF140000}"/>
    <cellStyle name="Normal 4 4 2 2 3 5 3 2" xfId="14859" xr:uid="{E6760F30-F5D8-4D70-8186-1EC0FBBC3D74}"/>
    <cellStyle name="Normal 4 4 2 2 3 5 4" xfId="10641" xr:uid="{82189314-A1F3-42B8-ACF3-3E45A9DE0138}"/>
    <cellStyle name="Normal 4 4 2 2 3 6" xfId="2539" xr:uid="{00000000-0005-0000-0000-000000150000}"/>
    <cellStyle name="Normal 4 4 2 2 3 6 2" xfId="6822" xr:uid="{00000000-0005-0000-0000-000001150000}"/>
    <cellStyle name="Normal 4 4 2 2 3 6 2 2" xfId="15272" xr:uid="{7CCE3E69-FB7C-479A-BCBC-FDD4EEA8882B}"/>
    <cellStyle name="Normal 4 4 2 2 3 6 3" xfId="11054" xr:uid="{43FE6A93-151D-465D-A1EB-65EBC094AAA0}"/>
    <cellStyle name="Normal 4 4 2 2 3 7" xfId="4757" xr:uid="{00000000-0005-0000-0000-000002150000}"/>
    <cellStyle name="Normal 4 4 2 2 3 7 2" xfId="13207" xr:uid="{7B40728C-2B01-4521-9C94-F60B2E7EC2C4}"/>
    <cellStyle name="Normal 4 4 2 2 3 8" xfId="8989" xr:uid="{00BBA77A-3954-4A75-A334-9D75A4F7BE5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259C9A4D-297B-4DA3-96B7-F68B5E76C0A5}"/>
    <cellStyle name="Normal 4 4 2 2 4 2 3" xfId="11544" xr:uid="{205F6672-D65D-4B7E-9C41-EBECBA07B4FC}"/>
    <cellStyle name="Normal 4 4 2 2 4 3" xfId="5167" xr:uid="{00000000-0005-0000-0000-000006150000}"/>
    <cellStyle name="Normal 4 4 2 2 4 3 2" xfId="13617" xr:uid="{651AEE8C-FEDA-4695-9F86-0CBDF7EF0DE2}"/>
    <cellStyle name="Normal 4 4 2 2 4 4" xfId="9399" xr:uid="{BFD6EEA5-622F-46A2-BB81-58A45BC6602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EB7792B9-083F-4682-AD18-8B7A0DA45DDB}"/>
    <cellStyle name="Normal 4 4 2 2 5 2 3" xfId="11957" xr:uid="{923D380D-D1B4-4C43-B1F1-ED6AFD5089D4}"/>
    <cellStyle name="Normal 4 4 2 2 5 3" xfId="5580" xr:uid="{00000000-0005-0000-0000-00000A150000}"/>
    <cellStyle name="Normal 4 4 2 2 5 3 2" xfId="14030" xr:uid="{4025F4A5-C139-4A9B-8E2F-A97E9507C4E8}"/>
    <cellStyle name="Normal 4 4 2 2 5 4" xfId="9812" xr:uid="{D9C0B44B-F632-4870-AF69-91199E7C576D}"/>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048558D4-82AB-4311-BE83-F72A220AFAF2}"/>
    <cellStyle name="Normal 4 4 2 2 6 2 3" xfId="12370" xr:uid="{3F0695C6-36F0-4FC8-8488-AEFB634F30C6}"/>
    <cellStyle name="Normal 4 4 2 2 6 3" xfId="5993" xr:uid="{00000000-0005-0000-0000-00000E150000}"/>
    <cellStyle name="Normal 4 4 2 2 6 3 2" xfId="14443" xr:uid="{DCC4ACE0-8B25-47E2-9FA9-5128214C496F}"/>
    <cellStyle name="Normal 4 4 2 2 6 4" xfId="10225" xr:uid="{038EB838-CCAB-4104-8229-08B148004C9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E91534D4-FA0B-40F5-A441-7F6BF6294010}"/>
    <cellStyle name="Normal 4 4 2 2 7 2 3" xfId="12783" xr:uid="{AB11E888-B9A8-4061-B7FE-3B78D121B11E}"/>
    <cellStyle name="Normal 4 4 2 2 7 3" xfId="6406" xr:uid="{00000000-0005-0000-0000-000012150000}"/>
    <cellStyle name="Normal 4 4 2 2 7 3 2" xfId="14856" xr:uid="{4B1D1690-A0AC-4BA8-B040-7E02AECDABC9}"/>
    <cellStyle name="Normal 4 4 2 2 7 4" xfId="10638" xr:uid="{A9EDAEFD-2741-4683-80CB-B2CD89E9D557}"/>
    <cellStyle name="Normal 4 4 2 2 8" xfId="2536" xr:uid="{00000000-0005-0000-0000-000013150000}"/>
    <cellStyle name="Normal 4 4 2 2 8 2" xfId="6819" xr:uid="{00000000-0005-0000-0000-000014150000}"/>
    <cellStyle name="Normal 4 4 2 2 8 2 2" xfId="15269" xr:uid="{8FA5D6EE-0102-4F63-B9BA-9F2BD11C2466}"/>
    <cellStyle name="Normal 4 4 2 2 8 3" xfId="11051" xr:uid="{E3BE6CEC-ADB8-464A-91E8-B9DB83E96CCE}"/>
    <cellStyle name="Normal 4 4 2 2 9" xfId="4754" xr:uid="{00000000-0005-0000-0000-000015150000}"/>
    <cellStyle name="Normal 4 4 2 2 9 2" xfId="13204" xr:uid="{799F8FFE-7A03-4B18-830D-D6EFDEDEC3FB}"/>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65529507-421A-4974-AACC-809D6DAF164D}"/>
    <cellStyle name="Normal 4 4 2 3 2 2 2 3" xfId="11549" xr:uid="{2DCB777E-B169-4141-9204-9112D66D836E}"/>
    <cellStyle name="Normal 4 4 2 3 2 2 3" xfId="5172" xr:uid="{00000000-0005-0000-0000-00001B150000}"/>
    <cellStyle name="Normal 4 4 2 3 2 2 3 2" xfId="13622" xr:uid="{6A47ACB2-89C1-4BD9-A0B7-54D41FB029C6}"/>
    <cellStyle name="Normal 4 4 2 3 2 2 4" xfId="9404" xr:uid="{2D3FAE1E-DF42-4261-BA5E-F931E530EF9C}"/>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08039CBA-06D8-4EF7-9244-EEB95FB1B783}"/>
    <cellStyle name="Normal 4 4 2 3 2 3 2 3" xfId="11962" xr:uid="{55DE045E-04F4-4883-B0C1-39C24EB204E0}"/>
    <cellStyle name="Normal 4 4 2 3 2 3 3" xfId="5585" xr:uid="{00000000-0005-0000-0000-00001F150000}"/>
    <cellStyle name="Normal 4 4 2 3 2 3 3 2" xfId="14035" xr:uid="{66AD36CD-AC6E-47BC-ACF3-A0147C22ECF2}"/>
    <cellStyle name="Normal 4 4 2 3 2 3 4" xfId="9817" xr:uid="{A3CF4E18-931A-456D-B9E1-F41DA216646A}"/>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80200927-8021-4578-8533-21BF30049E8A}"/>
    <cellStyle name="Normal 4 4 2 3 2 4 2 3" xfId="12375" xr:uid="{2F14B51A-0DDD-4C6F-8D5E-F6706AEA7051}"/>
    <cellStyle name="Normal 4 4 2 3 2 4 3" xfId="5998" xr:uid="{00000000-0005-0000-0000-000023150000}"/>
    <cellStyle name="Normal 4 4 2 3 2 4 3 2" xfId="14448" xr:uid="{F34FC594-F982-488F-920A-9CFF7BF39F4E}"/>
    <cellStyle name="Normal 4 4 2 3 2 4 4" xfId="10230" xr:uid="{F2EA2DE1-D3FF-4CEC-9AF9-AE862F17676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5B4465F7-2D33-4EFC-82E2-379AFD10FF49}"/>
    <cellStyle name="Normal 4 4 2 3 2 5 2 3" xfId="12788" xr:uid="{2C848C26-1BB3-4EE7-9CD4-E07E00F04FB2}"/>
    <cellStyle name="Normal 4 4 2 3 2 5 3" xfId="6411" xr:uid="{00000000-0005-0000-0000-000027150000}"/>
    <cellStyle name="Normal 4 4 2 3 2 5 3 2" xfId="14861" xr:uid="{083D2D00-30B2-4B4B-9211-9B7C0579B061}"/>
    <cellStyle name="Normal 4 4 2 3 2 5 4" xfId="10643" xr:uid="{39B8A3C4-79E6-495E-BF07-17CE908014E3}"/>
    <cellStyle name="Normal 4 4 2 3 2 6" xfId="2541" xr:uid="{00000000-0005-0000-0000-000028150000}"/>
    <cellStyle name="Normal 4 4 2 3 2 6 2" xfId="6824" xr:uid="{00000000-0005-0000-0000-000029150000}"/>
    <cellStyle name="Normal 4 4 2 3 2 6 2 2" xfId="15274" xr:uid="{8D04082D-C73B-4377-A801-250C3237DBC8}"/>
    <cellStyle name="Normal 4 4 2 3 2 6 3" xfId="11056" xr:uid="{9EA9F489-A172-495D-9F9E-858D2B4F9A47}"/>
    <cellStyle name="Normal 4 4 2 3 2 7" xfId="4759" xr:uid="{00000000-0005-0000-0000-00002A150000}"/>
    <cellStyle name="Normal 4 4 2 3 2 7 2" xfId="13209" xr:uid="{378A8B6B-C98A-4DFF-9C14-30550609EC0B}"/>
    <cellStyle name="Normal 4 4 2 3 2 8" xfId="8991" xr:uid="{7DD5A427-808B-491B-BEE6-372AE70EFF9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EE7FD718-A7E2-4A63-9708-A2375AB23558}"/>
    <cellStyle name="Normal 4 4 2 3 3 2 3" xfId="11548" xr:uid="{A6BFF536-E351-4136-AB18-4623AEBBEDA3}"/>
    <cellStyle name="Normal 4 4 2 3 3 3" xfId="5171" xr:uid="{00000000-0005-0000-0000-00002E150000}"/>
    <cellStyle name="Normal 4 4 2 3 3 3 2" xfId="13621" xr:uid="{C2CEA1B2-8634-4961-ABF4-F95195C93AD7}"/>
    <cellStyle name="Normal 4 4 2 3 3 4" xfId="9403" xr:uid="{F23D1E04-25EC-4873-9108-F599ECAA791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A1708F83-CB1C-43DC-A657-E6A5C03835A4}"/>
    <cellStyle name="Normal 4 4 2 3 4 2 3" xfId="11961" xr:uid="{BA43BFB1-65FA-4BD1-86EE-4714CBBEC4D1}"/>
    <cellStyle name="Normal 4 4 2 3 4 3" xfId="5584" xr:uid="{00000000-0005-0000-0000-000032150000}"/>
    <cellStyle name="Normal 4 4 2 3 4 3 2" xfId="14034" xr:uid="{B25CF84F-8344-40D3-8D14-2EE0C9A8DCA0}"/>
    <cellStyle name="Normal 4 4 2 3 4 4" xfId="9816" xr:uid="{79101499-4922-4FA9-9424-6BE11B51056A}"/>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95377A10-96B1-43E2-8FC5-05AF0EC76C90}"/>
    <cellStyle name="Normal 4 4 2 3 5 2 3" xfId="12374" xr:uid="{D3DBCEED-AB11-4791-9E3E-03F74C30B642}"/>
    <cellStyle name="Normal 4 4 2 3 5 3" xfId="5997" xr:uid="{00000000-0005-0000-0000-000036150000}"/>
    <cellStyle name="Normal 4 4 2 3 5 3 2" xfId="14447" xr:uid="{D125FD1B-E85A-4A17-8270-ED99D6C16A3A}"/>
    <cellStyle name="Normal 4 4 2 3 5 4" xfId="10229" xr:uid="{E44893E1-916F-4232-919B-EE87F2C45C80}"/>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D8C2C445-4F99-41B4-935D-4095C913B99D}"/>
    <cellStyle name="Normal 4 4 2 3 6 2 3" xfId="12787" xr:uid="{3A060FB9-B74F-4825-8820-C70B1A1128EB}"/>
    <cellStyle name="Normal 4 4 2 3 6 3" xfId="6410" xr:uid="{00000000-0005-0000-0000-00003A150000}"/>
    <cellStyle name="Normal 4 4 2 3 6 3 2" xfId="14860" xr:uid="{44C125EC-16EF-4561-9B36-0329D0DAADA6}"/>
    <cellStyle name="Normal 4 4 2 3 6 4" xfId="10642" xr:uid="{57E7CCBE-C9B0-4A87-B866-D339DBF3E9C3}"/>
    <cellStyle name="Normal 4 4 2 3 7" xfId="2540" xr:uid="{00000000-0005-0000-0000-00003B150000}"/>
    <cellStyle name="Normal 4 4 2 3 7 2" xfId="6823" xr:uid="{00000000-0005-0000-0000-00003C150000}"/>
    <cellStyle name="Normal 4 4 2 3 7 2 2" xfId="15273" xr:uid="{5166F8C8-9423-4C2B-9913-8030E53C024C}"/>
    <cellStyle name="Normal 4 4 2 3 7 3" xfId="11055" xr:uid="{B50D136E-EA73-46FE-9CBF-D3168F968E90}"/>
    <cellStyle name="Normal 4 4 2 3 8" xfId="4758" xr:uid="{00000000-0005-0000-0000-00003D150000}"/>
    <cellStyle name="Normal 4 4 2 3 8 2" xfId="13208" xr:uid="{3B313847-076E-48B2-8195-54DCB3AD727C}"/>
    <cellStyle name="Normal 4 4 2 3 9" xfId="8990" xr:uid="{F5D216F2-E9DD-43EB-A350-A589B7A5FB09}"/>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F49B987-D8D0-4708-8BE1-76250223B303}"/>
    <cellStyle name="Normal 4 4 2 4 2 2 3" xfId="11550" xr:uid="{5E3EE898-618F-4E6D-9162-ADA61C629269}"/>
    <cellStyle name="Normal 4 4 2 4 2 3" xfId="5173" xr:uid="{00000000-0005-0000-0000-000042150000}"/>
    <cellStyle name="Normal 4 4 2 4 2 3 2" xfId="13623" xr:uid="{9915305E-DAB2-4A9B-8FAE-F0DA36EC4B38}"/>
    <cellStyle name="Normal 4 4 2 4 2 4" xfId="9405" xr:uid="{5C5A3413-D392-4ACF-A08D-3BE04F58BFD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D42DDB7C-04B0-45D8-BA5E-E7B8438EC5F9}"/>
    <cellStyle name="Normal 4 4 2 4 3 2 3" xfId="11963" xr:uid="{F8F8C36B-D481-4A95-9186-3F8B386C9727}"/>
    <cellStyle name="Normal 4 4 2 4 3 3" xfId="5586" xr:uid="{00000000-0005-0000-0000-000046150000}"/>
    <cellStyle name="Normal 4 4 2 4 3 3 2" xfId="14036" xr:uid="{A049B2E9-D9B5-4E6D-9287-FCD29EDEAD0B}"/>
    <cellStyle name="Normal 4 4 2 4 3 4" xfId="9818" xr:uid="{482BB6FE-0D6B-4C45-9CBE-4C280F06380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8F1341E-4157-45D9-A28D-13179A4F6CDB}"/>
    <cellStyle name="Normal 4 4 2 4 4 2 3" xfId="12376" xr:uid="{0B1AD98A-190D-4C9D-9AF9-8263570FAF13}"/>
    <cellStyle name="Normal 4 4 2 4 4 3" xfId="5999" xr:uid="{00000000-0005-0000-0000-00004A150000}"/>
    <cellStyle name="Normal 4 4 2 4 4 3 2" xfId="14449" xr:uid="{FCC7311B-4CEB-493C-BDA6-A1D527D6A7A1}"/>
    <cellStyle name="Normal 4 4 2 4 4 4" xfId="10231" xr:uid="{499E5E9A-C690-41BC-A39D-8A22098BB244}"/>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DAFB56AB-342C-4E91-BD21-977AC3D53344}"/>
    <cellStyle name="Normal 4 4 2 4 5 2 3" xfId="12789" xr:uid="{BC1CA874-53AD-41A1-BB55-7E5AD5D0F312}"/>
    <cellStyle name="Normal 4 4 2 4 5 3" xfId="6412" xr:uid="{00000000-0005-0000-0000-00004E150000}"/>
    <cellStyle name="Normal 4 4 2 4 5 3 2" xfId="14862" xr:uid="{3E677210-3771-4A8B-B9EC-2110C6AA9233}"/>
    <cellStyle name="Normal 4 4 2 4 5 4" xfId="10644" xr:uid="{FC4C5EE6-C006-411E-B262-8A366AE80C21}"/>
    <cellStyle name="Normal 4 4 2 4 6" xfId="2542" xr:uid="{00000000-0005-0000-0000-00004F150000}"/>
    <cellStyle name="Normal 4 4 2 4 6 2" xfId="6825" xr:uid="{00000000-0005-0000-0000-000050150000}"/>
    <cellStyle name="Normal 4 4 2 4 6 2 2" xfId="15275" xr:uid="{4E15A94F-9EA0-4173-A096-FD709C36929C}"/>
    <cellStyle name="Normal 4 4 2 4 6 3" xfId="11057" xr:uid="{DCF874D4-6AE9-428F-AC07-2A29DC458953}"/>
    <cellStyle name="Normal 4 4 2 4 7" xfId="4760" xr:uid="{00000000-0005-0000-0000-000051150000}"/>
    <cellStyle name="Normal 4 4 2 4 7 2" xfId="13210" xr:uid="{46E7EB76-C875-4B2B-A5F0-0EB2DD2C28DD}"/>
    <cellStyle name="Normal 4 4 2 4 8" xfId="8992" xr:uid="{7E53E3FD-7431-4AB7-8788-E5D148535C99}"/>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40917F5A-5250-444C-A8FA-B0AA0125CBED}"/>
    <cellStyle name="Normal 4 4 2 5 2 3" xfId="11543" xr:uid="{4C86D6A5-B62A-45F3-B84D-AA73CC0C3F08}"/>
    <cellStyle name="Normal 4 4 2 5 3" xfId="5166" xr:uid="{00000000-0005-0000-0000-000055150000}"/>
    <cellStyle name="Normal 4 4 2 5 3 2" xfId="13616" xr:uid="{5CEB57B7-BC6C-4C41-8680-975DF6486845}"/>
    <cellStyle name="Normal 4 4 2 5 4" xfId="9398" xr:uid="{CB36DB49-1D69-42B5-A0A8-509C75570D06}"/>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A1DCC252-FD6B-4621-A0F9-892F94EBEA4B}"/>
    <cellStyle name="Normal 4 4 2 6 2 3" xfId="11956" xr:uid="{001D9A58-F511-4F82-BFAF-349DF6FCCF2E}"/>
    <cellStyle name="Normal 4 4 2 6 3" xfId="5579" xr:uid="{00000000-0005-0000-0000-000059150000}"/>
    <cellStyle name="Normal 4 4 2 6 3 2" xfId="14029" xr:uid="{6F5EB3C2-AD0D-4C1A-BE8E-CC7975B56BA5}"/>
    <cellStyle name="Normal 4 4 2 6 4" xfId="9811" xr:uid="{200D7BD6-A9FE-4923-9B1E-00B6ABB6139B}"/>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FC0D58B3-606F-4406-9A2B-3564D278A6E1}"/>
    <cellStyle name="Normal 4 4 2 7 2 3" xfId="12369" xr:uid="{D543FED4-B4B7-43B7-98C3-0C18AC854DFD}"/>
    <cellStyle name="Normal 4 4 2 7 3" xfId="5992" xr:uid="{00000000-0005-0000-0000-00005D150000}"/>
    <cellStyle name="Normal 4 4 2 7 3 2" xfId="14442" xr:uid="{6B569CB3-037B-40AD-88D0-5A572CF7124C}"/>
    <cellStyle name="Normal 4 4 2 7 4" xfId="10224" xr:uid="{925906E3-DDC2-4B7E-9DC6-767904D2DC22}"/>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231BF0D7-6054-4398-9636-38E7A23BE6AB}"/>
    <cellStyle name="Normal 4 4 2 8 2 3" xfId="12782" xr:uid="{E72144CE-664A-493A-83A6-415E6BE6FE22}"/>
    <cellStyle name="Normal 4 4 2 8 3" xfId="6405" xr:uid="{00000000-0005-0000-0000-000061150000}"/>
    <cellStyle name="Normal 4 4 2 8 3 2" xfId="14855" xr:uid="{8A48425A-15D5-421A-B6B6-1E10DF42A7A1}"/>
    <cellStyle name="Normal 4 4 2 8 4" xfId="10637" xr:uid="{0D9AF2CF-EFB7-4932-996B-D20946B913E4}"/>
    <cellStyle name="Normal 4 4 2 9" xfId="2535" xr:uid="{00000000-0005-0000-0000-000062150000}"/>
    <cellStyle name="Normal 4 4 2 9 2" xfId="6818" xr:uid="{00000000-0005-0000-0000-000063150000}"/>
    <cellStyle name="Normal 4 4 2 9 2 2" xfId="15268" xr:uid="{8F94993C-03C7-45A6-9767-C4ED64C3C0C7}"/>
    <cellStyle name="Normal 4 4 2 9 3" xfId="11050" xr:uid="{FE446997-F7D1-4DDA-9799-04F37F289122}"/>
    <cellStyle name="Normal 4 4 3" xfId="387" xr:uid="{00000000-0005-0000-0000-000064150000}"/>
    <cellStyle name="Normal 4 4 3 10" xfId="8993" xr:uid="{F6EE9C19-E4DA-416E-8778-D9748048C69C}"/>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4699E889-F228-43B6-99EA-7941A7E769E5}"/>
    <cellStyle name="Normal 4 4 3 2 2 2 2 3" xfId="11553" xr:uid="{A4D0218C-5F5D-4243-A2CD-6F97D027C583}"/>
    <cellStyle name="Normal 4 4 3 2 2 2 3" xfId="5176" xr:uid="{00000000-0005-0000-0000-00006A150000}"/>
    <cellStyle name="Normal 4 4 3 2 2 2 3 2" xfId="13626" xr:uid="{7A7EF285-BC90-484A-8767-DDB8104AD39B}"/>
    <cellStyle name="Normal 4 4 3 2 2 2 4" xfId="9408" xr:uid="{77601157-5A69-4BD7-A697-8312FFDEDCB3}"/>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07F245C7-BAAB-401E-95DF-E0CBDC986584}"/>
    <cellStyle name="Normal 4 4 3 2 2 3 2 3" xfId="11966" xr:uid="{164F7A83-C0EA-49FD-B28C-92981AE44536}"/>
    <cellStyle name="Normal 4 4 3 2 2 3 3" xfId="5589" xr:uid="{00000000-0005-0000-0000-00006E150000}"/>
    <cellStyle name="Normal 4 4 3 2 2 3 3 2" xfId="14039" xr:uid="{DA032DDA-C7AD-494C-AA02-CB5219E012AB}"/>
    <cellStyle name="Normal 4 4 3 2 2 3 4" xfId="9821" xr:uid="{7B1988BC-AF15-4759-BDC7-2C51F0A15EB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B0685684-3255-46C4-BD5D-33B82D5096D1}"/>
    <cellStyle name="Normal 4 4 3 2 2 4 2 3" xfId="12379" xr:uid="{8C3DE4A0-F4E7-494E-8C47-BBA15B1F3EAD}"/>
    <cellStyle name="Normal 4 4 3 2 2 4 3" xfId="6002" xr:uid="{00000000-0005-0000-0000-000072150000}"/>
    <cellStyle name="Normal 4 4 3 2 2 4 3 2" xfId="14452" xr:uid="{1D07A7F4-8964-4B77-A878-2B872CD146CE}"/>
    <cellStyle name="Normal 4 4 3 2 2 4 4" xfId="10234" xr:uid="{081842A0-1E24-4001-AF03-D94E5023014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0F8037DB-2BEB-4563-B28D-1FEAF5940C41}"/>
    <cellStyle name="Normal 4 4 3 2 2 5 2 3" xfId="12792" xr:uid="{735A6F65-2338-41CF-95AD-B048BD916A87}"/>
    <cellStyle name="Normal 4 4 3 2 2 5 3" xfId="6415" xr:uid="{00000000-0005-0000-0000-000076150000}"/>
    <cellStyle name="Normal 4 4 3 2 2 5 3 2" xfId="14865" xr:uid="{A58CC2F4-E36E-49D9-94A7-77F4B7EC27BC}"/>
    <cellStyle name="Normal 4 4 3 2 2 5 4" xfId="10647" xr:uid="{444389B5-62B6-4152-A869-FB3C898C1B22}"/>
    <cellStyle name="Normal 4 4 3 2 2 6" xfId="2545" xr:uid="{00000000-0005-0000-0000-000077150000}"/>
    <cellStyle name="Normal 4 4 3 2 2 6 2" xfId="6828" xr:uid="{00000000-0005-0000-0000-000078150000}"/>
    <cellStyle name="Normal 4 4 3 2 2 6 2 2" xfId="15278" xr:uid="{015940FB-51DA-460A-B4AB-A4225F60C05C}"/>
    <cellStyle name="Normal 4 4 3 2 2 6 3" xfId="11060" xr:uid="{AF6EF1A8-C276-4C66-B2E2-EF11AD87748B}"/>
    <cellStyle name="Normal 4 4 3 2 2 7" xfId="4763" xr:uid="{00000000-0005-0000-0000-000079150000}"/>
    <cellStyle name="Normal 4 4 3 2 2 7 2" xfId="13213" xr:uid="{BB6BDEE4-167B-4460-8560-801C19D96977}"/>
    <cellStyle name="Normal 4 4 3 2 2 8" xfId="8995" xr:uid="{8A3B9A02-FFBD-4778-8676-C0ADD67AFB51}"/>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FA50C64C-3E42-45CC-B35F-3B5A6D680E66}"/>
    <cellStyle name="Normal 4 4 3 2 3 2 3" xfId="11552" xr:uid="{015C3A4F-6C2C-4B31-AF52-C9F208933CA4}"/>
    <cellStyle name="Normal 4 4 3 2 3 3" xfId="5175" xr:uid="{00000000-0005-0000-0000-00007D150000}"/>
    <cellStyle name="Normal 4 4 3 2 3 3 2" xfId="13625" xr:uid="{D772E1C7-38B0-460A-B060-C96EF94AE532}"/>
    <cellStyle name="Normal 4 4 3 2 3 4" xfId="9407" xr:uid="{74E070EF-B205-4F20-8E14-5D76E95E2620}"/>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8A5674AB-2A50-4E8C-9AB9-FF33F0B0D979}"/>
    <cellStyle name="Normal 4 4 3 2 4 2 3" xfId="11965" xr:uid="{889B3FA0-326D-4D25-9018-95DAD7A93829}"/>
    <cellStyle name="Normal 4 4 3 2 4 3" xfId="5588" xr:uid="{00000000-0005-0000-0000-000081150000}"/>
    <cellStyle name="Normal 4 4 3 2 4 3 2" xfId="14038" xr:uid="{2E67060E-8B82-4B67-9A22-012E0B31781C}"/>
    <cellStyle name="Normal 4 4 3 2 4 4" xfId="9820" xr:uid="{CA2B2B6D-B9B4-49D2-A275-EEAE2917A4F1}"/>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E660A7A2-2A18-43BA-8678-AA49CE20DAEA}"/>
    <cellStyle name="Normal 4 4 3 2 5 2 3" xfId="12378" xr:uid="{CD6FCD23-2154-497B-ABF7-70F67A71F1F9}"/>
    <cellStyle name="Normal 4 4 3 2 5 3" xfId="6001" xr:uid="{00000000-0005-0000-0000-000085150000}"/>
    <cellStyle name="Normal 4 4 3 2 5 3 2" xfId="14451" xr:uid="{685BA11F-1DB6-4329-A95A-2FDD76072285}"/>
    <cellStyle name="Normal 4 4 3 2 5 4" xfId="10233" xr:uid="{7920F603-AC67-41B8-846D-9C30DF0FDDBC}"/>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4EF3986A-4155-48CE-947B-E518BD021708}"/>
    <cellStyle name="Normal 4 4 3 2 6 2 3" xfId="12791" xr:uid="{05A42FBD-2670-4B7D-A9E5-20765E521D24}"/>
    <cellStyle name="Normal 4 4 3 2 6 3" xfId="6414" xr:uid="{00000000-0005-0000-0000-000089150000}"/>
    <cellStyle name="Normal 4 4 3 2 6 3 2" xfId="14864" xr:uid="{F80CB740-933F-4D35-B3DD-E262C23463B6}"/>
    <cellStyle name="Normal 4 4 3 2 6 4" xfId="10646" xr:uid="{87FADB16-9D71-4FEF-941B-5E51DCE75231}"/>
    <cellStyle name="Normal 4 4 3 2 7" xfId="2544" xr:uid="{00000000-0005-0000-0000-00008A150000}"/>
    <cellStyle name="Normal 4 4 3 2 7 2" xfId="6827" xr:uid="{00000000-0005-0000-0000-00008B150000}"/>
    <cellStyle name="Normal 4 4 3 2 7 2 2" xfId="15277" xr:uid="{6B71CB3B-6D25-4FA1-8CAE-86C39C9A705F}"/>
    <cellStyle name="Normal 4 4 3 2 7 3" xfId="11059" xr:uid="{5668EFAC-BF2A-4F92-9973-266169F13392}"/>
    <cellStyle name="Normal 4 4 3 2 8" xfId="4762" xr:uid="{00000000-0005-0000-0000-00008C150000}"/>
    <cellStyle name="Normal 4 4 3 2 8 2" xfId="13212" xr:uid="{C84FC2D0-34DB-4AA5-B784-B1416DBE26EF}"/>
    <cellStyle name="Normal 4 4 3 2 9" xfId="8994" xr:uid="{39B90121-875B-4D49-BC66-84CFEC687827}"/>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A5E48558-D88A-4207-8741-6B1AF2682DB4}"/>
    <cellStyle name="Normal 4 4 3 3 2 2 3" xfId="11554" xr:uid="{616F8075-830D-43A1-826B-8A4F6E5D97D1}"/>
    <cellStyle name="Normal 4 4 3 3 2 3" xfId="5177" xr:uid="{00000000-0005-0000-0000-000091150000}"/>
    <cellStyle name="Normal 4 4 3 3 2 3 2" xfId="13627" xr:uid="{EC56EEC8-3851-4307-ABE7-130709C8AD61}"/>
    <cellStyle name="Normal 4 4 3 3 2 4" xfId="9409" xr:uid="{E34F1DA6-8BFB-4429-B7EF-28550CDAEAE1}"/>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EEFAAD78-EB1B-4B8A-88DC-B9C72133CB2E}"/>
    <cellStyle name="Normal 4 4 3 3 3 2 3" xfId="11967" xr:uid="{7BC34A1B-6E1C-4EAD-8F80-876296E54DFF}"/>
    <cellStyle name="Normal 4 4 3 3 3 3" xfId="5590" xr:uid="{00000000-0005-0000-0000-000095150000}"/>
    <cellStyle name="Normal 4 4 3 3 3 3 2" xfId="14040" xr:uid="{94E24129-AEF7-4595-BC88-B590F89F786D}"/>
    <cellStyle name="Normal 4 4 3 3 3 4" xfId="9822" xr:uid="{511C76E8-EEEF-423E-9998-E9BBBCB3B7E2}"/>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FD14E3F4-8440-4B7D-A1DC-4405BB218DDD}"/>
    <cellStyle name="Normal 4 4 3 3 4 2 3" xfId="12380" xr:uid="{CB04A417-5ABC-489B-9F57-8B43A171E169}"/>
    <cellStyle name="Normal 4 4 3 3 4 3" xfId="6003" xr:uid="{00000000-0005-0000-0000-000099150000}"/>
    <cellStyle name="Normal 4 4 3 3 4 3 2" xfId="14453" xr:uid="{FE11894E-6172-4747-AE64-52EA025341CD}"/>
    <cellStyle name="Normal 4 4 3 3 4 4" xfId="10235" xr:uid="{3D9C2150-9769-4BDF-B736-16960857988C}"/>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E22D95FD-9BE6-4A0B-8553-F2D147B67462}"/>
    <cellStyle name="Normal 4 4 3 3 5 2 3" xfId="12793" xr:uid="{44B802F0-585F-4A0B-8C7C-DA998BC2187B}"/>
    <cellStyle name="Normal 4 4 3 3 5 3" xfId="6416" xr:uid="{00000000-0005-0000-0000-00009D150000}"/>
    <cellStyle name="Normal 4 4 3 3 5 3 2" xfId="14866" xr:uid="{A65BD3E7-0B1E-4119-AA9F-49DC48CEFF7C}"/>
    <cellStyle name="Normal 4 4 3 3 5 4" xfId="10648" xr:uid="{565DED1C-00AC-4F96-80CA-F4403B9A450B}"/>
    <cellStyle name="Normal 4 4 3 3 6" xfId="2546" xr:uid="{00000000-0005-0000-0000-00009E150000}"/>
    <cellStyle name="Normal 4 4 3 3 6 2" xfId="6829" xr:uid="{00000000-0005-0000-0000-00009F150000}"/>
    <cellStyle name="Normal 4 4 3 3 6 2 2" xfId="15279" xr:uid="{2E5F2F9C-73AA-4096-BEA7-C6C5CF6FC78F}"/>
    <cellStyle name="Normal 4 4 3 3 6 3" xfId="11061" xr:uid="{32C2FC04-BBDB-4EE9-9998-D7DD38CA3680}"/>
    <cellStyle name="Normal 4 4 3 3 7" xfId="4764" xr:uid="{00000000-0005-0000-0000-0000A0150000}"/>
    <cellStyle name="Normal 4 4 3 3 7 2" xfId="13214" xr:uid="{C8034B02-A12E-4A8E-80EA-58BC6E2622F1}"/>
    <cellStyle name="Normal 4 4 3 3 8" xfId="8996" xr:uid="{4F3B1A3B-D6C5-4735-9E28-70467D573CA3}"/>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1477750A-CAFE-4A7C-B638-9049C4BB8467}"/>
    <cellStyle name="Normal 4 4 3 4 2 3" xfId="11551" xr:uid="{B8E0B04D-70D8-40D6-9360-F4DC7AA93D18}"/>
    <cellStyle name="Normal 4 4 3 4 3" xfId="5174" xr:uid="{00000000-0005-0000-0000-0000A4150000}"/>
    <cellStyle name="Normal 4 4 3 4 3 2" xfId="13624" xr:uid="{4C00FE4D-E003-4D52-A476-3BE028D9F693}"/>
    <cellStyle name="Normal 4 4 3 4 4" xfId="9406" xr:uid="{0D5C0759-4CDE-4F46-873D-9F6286C1A0D8}"/>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F2E32654-7F2C-4E67-91F2-5B8B9D78DE2E}"/>
    <cellStyle name="Normal 4 4 3 5 2 3" xfId="11964" xr:uid="{D2931F8E-CBDC-430F-B14B-68A0ADE1643B}"/>
    <cellStyle name="Normal 4 4 3 5 3" xfId="5587" xr:uid="{00000000-0005-0000-0000-0000A8150000}"/>
    <cellStyle name="Normal 4 4 3 5 3 2" xfId="14037" xr:uid="{4BE948A1-3DC5-41F3-B18E-008A26315C39}"/>
    <cellStyle name="Normal 4 4 3 5 4" xfId="9819" xr:uid="{15DA3A60-878D-4DEF-B8EE-E24C7A989599}"/>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0B984CB9-9940-4F60-A255-F3C2E51AD3D1}"/>
    <cellStyle name="Normal 4 4 3 6 2 3" xfId="12377" xr:uid="{474B08E1-C002-4337-BE90-2377BEB870F1}"/>
    <cellStyle name="Normal 4 4 3 6 3" xfId="6000" xr:uid="{00000000-0005-0000-0000-0000AC150000}"/>
    <cellStyle name="Normal 4 4 3 6 3 2" xfId="14450" xr:uid="{081B7C8C-5534-48FD-83DD-E63DD608CB89}"/>
    <cellStyle name="Normal 4 4 3 6 4" xfId="10232" xr:uid="{921802CE-F273-42F8-8155-68895706C785}"/>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83C018A8-7187-4EE8-8FCB-2A29A7A934A2}"/>
    <cellStyle name="Normal 4 4 3 7 2 3" xfId="12790" xr:uid="{C957F22C-4485-4051-903C-A7F6448D84B0}"/>
    <cellStyle name="Normal 4 4 3 7 3" xfId="6413" xr:uid="{00000000-0005-0000-0000-0000B0150000}"/>
    <cellStyle name="Normal 4 4 3 7 3 2" xfId="14863" xr:uid="{D2A6FCAF-9AB5-4465-9E0E-D36C66A4AB62}"/>
    <cellStyle name="Normal 4 4 3 7 4" xfId="10645" xr:uid="{C5237FB8-397B-4AD0-85BC-FE554C17C586}"/>
    <cellStyle name="Normal 4 4 3 8" xfId="2543" xr:uid="{00000000-0005-0000-0000-0000B1150000}"/>
    <cellStyle name="Normal 4 4 3 8 2" xfId="6826" xr:uid="{00000000-0005-0000-0000-0000B2150000}"/>
    <cellStyle name="Normal 4 4 3 8 2 2" xfId="15276" xr:uid="{DE052ED1-9878-4100-9A19-3B546BE49AB5}"/>
    <cellStyle name="Normal 4 4 3 8 3" xfId="11058" xr:uid="{304EB2F7-F2B1-4FE9-B79D-5EE7CE878F8F}"/>
    <cellStyle name="Normal 4 4 3 9" xfId="4761" xr:uid="{00000000-0005-0000-0000-0000B3150000}"/>
    <cellStyle name="Normal 4 4 3 9 2" xfId="13211" xr:uid="{9FEF596C-CCFF-402A-909F-4B2224696DAA}"/>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C585B3A9-DA60-44B2-95CF-2C130E6480B9}"/>
    <cellStyle name="Normal 4 4 4 2 2 2 3" xfId="11556" xr:uid="{58FC6125-40F7-46CD-BC59-124B9FFFA3CC}"/>
    <cellStyle name="Normal 4 4 4 2 2 3" xfId="5179" xr:uid="{00000000-0005-0000-0000-0000B9150000}"/>
    <cellStyle name="Normal 4 4 4 2 2 3 2" xfId="13629" xr:uid="{7781CE78-0785-411D-A74D-3EC5ED6EC3D6}"/>
    <cellStyle name="Normal 4 4 4 2 2 4" xfId="9411" xr:uid="{B796C62D-2929-482D-9095-5B65888440A0}"/>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429B7BEC-DD99-4D33-BA02-DEC1558800C1}"/>
    <cellStyle name="Normal 4 4 4 2 3 2 3" xfId="11969" xr:uid="{962B3236-8A54-4F81-93D3-16FFD54940CD}"/>
    <cellStyle name="Normal 4 4 4 2 3 3" xfId="5592" xr:uid="{00000000-0005-0000-0000-0000BD150000}"/>
    <cellStyle name="Normal 4 4 4 2 3 3 2" xfId="14042" xr:uid="{7C68BDA1-9932-4058-980B-AB7A00AE6CD8}"/>
    <cellStyle name="Normal 4 4 4 2 3 4" xfId="9824" xr:uid="{4018F35F-4FE2-453B-ADC8-DB72EE44D493}"/>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11264D70-A228-40C6-8CF3-00F17D50A9AB}"/>
    <cellStyle name="Normal 4 4 4 2 4 2 3" xfId="12382" xr:uid="{21B19402-5EC4-42F2-92F4-7D7B57729C26}"/>
    <cellStyle name="Normal 4 4 4 2 4 3" xfId="6005" xr:uid="{00000000-0005-0000-0000-0000C1150000}"/>
    <cellStyle name="Normal 4 4 4 2 4 3 2" xfId="14455" xr:uid="{50513E28-ADC6-4609-BF14-19A41515D5F8}"/>
    <cellStyle name="Normal 4 4 4 2 4 4" xfId="10237" xr:uid="{0B42E7F7-A11D-42A8-8451-4426516D8BB7}"/>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95469484-2988-4F76-BC50-44EFAFBC19DB}"/>
    <cellStyle name="Normal 4 4 4 2 5 2 3" xfId="12795" xr:uid="{2BC16B8C-264A-4372-ACD7-3DFA7245F1B1}"/>
    <cellStyle name="Normal 4 4 4 2 5 3" xfId="6418" xr:uid="{00000000-0005-0000-0000-0000C5150000}"/>
    <cellStyle name="Normal 4 4 4 2 5 3 2" xfId="14868" xr:uid="{DAA408A1-730B-4AB9-AFD7-51E40175A433}"/>
    <cellStyle name="Normal 4 4 4 2 5 4" xfId="10650" xr:uid="{FE03B9CA-7910-4569-A74F-1CAD038073FE}"/>
    <cellStyle name="Normal 4 4 4 2 6" xfId="2548" xr:uid="{00000000-0005-0000-0000-0000C6150000}"/>
    <cellStyle name="Normal 4 4 4 2 6 2" xfId="6831" xr:uid="{00000000-0005-0000-0000-0000C7150000}"/>
    <cellStyle name="Normal 4 4 4 2 6 2 2" xfId="15281" xr:uid="{038C1F62-FC05-4DE0-BCCE-40BD423D1540}"/>
    <cellStyle name="Normal 4 4 4 2 6 3" xfId="11063" xr:uid="{BA811D44-3630-4909-B28D-A424D4ED13DD}"/>
    <cellStyle name="Normal 4 4 4 2 7" xfId="4766" xr:uid="{00000000-0005-0000-0000-0000C8150000}"/>
    <cellStyle name="Normal 4 4 4 2 7 2" xfId="13216" xr:uid="{B3FBA9A6-C12E-4FA5-A8FF-61D532B15CAE}"/>
    <cellStyle name="Normal 4 4 4 2 8" xfId="8998" xr:uid="{520BEFC1-6F0C-4A52-BA3F-23CB329598C1}"/>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DF367D3C-B06D-4485-8FCC-8A3699897A7E}"/>
    <cellStyle name="Normal 4 4 4 3 2 3" xfId="11555" xr:uid="{3B24F25A-3A8C-43FD-A62F-23BBD33A4F0D}"/>
    <cellStyle name="Normal 4 4 4 3 3" xfId="5178" xr:uid="{00000000-0005-0000-0000-0000CC150000}"/>
    <cellStyle name="Normal 4 4 4 3 3 2" xfId="13628" xr:uid="{F6D1476D-A48F-4CBF-9068-AE438585A59C}"/>
    <cellStyle name="Normal 4 4 4 3 4" xfId="9410" xr:uid="{89C2C71D-E71E-41A0-B577-EBA818E6C342}"/>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E19EE12F-6AFE-4AAF-B998-920F7DEF1C8F}"/>
    <cellStyle name="Normal 4 4 4 4 2 3" xfId="11968" xr:uid="{2168B629-9023-47CC-A597-D635C0424424}"/>
    <cellStyle name="Normal 4 4 4 4 3" xfId="5591" xr:uid="{00000000-0005-0000-0000-0000D0150000}"/>
    <cellStyle name="Normal 4 4 4 4 3 2" xfId="14041" xr:uid="{6B4FAC68-DCF8-401F-9CE4-E56A15BC915D}"/>
    <cellStyle name="Normal 4 4 4 4 4" xfId="9823" xr:uid="{8BB4F2E2-D3F2-4366-904B-7480794D0C55}"/>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916CF0EC-E1BD-40D1-8685-93745FE47336}"/>
    <cellStyle name="Normal 4 4 4 5 2 3" xfId="12381" xr:uid="{ABC0BE64-6E96-448C-B455-9E5BE7726E26}"/>
    <cellStyle name="Normal 4 4 4 5 3" xfId="6004" xr:uid="{00000000-0005-0000-0000-0000D4150000}"/>
    <cellStyle name="Normal 4 4 4 5 3 2" xfId="14454" xr:uid="{1B116B3C-3D4F-4C1E-9D67-533C0CDD1EE9}"/>
    <cellStyle name="Normal 4 4 4 5 4" xfId="10236" xr:uid="{C78B2F86-D94A-4CAE-B46A-73C33D8407DC}"/>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7FB36A32-A51C-436F-A53A-E58A31ED8F6A}"/>
    <cellStyle name="Normal 4 4 4 6 2 3" xfId="12794" xr:uid="{141D5AD2-B2B6-456B-A571-7FD36861ED54}"/>
    <cellStyle name="Normal 4 4 4 6 3" xfId="6417" xr:uid="{00000000-0005-0000-0000-0000D8150000}"/>
    <cellStyle name="Normal 4 4 4 6 3 2" xfId="14867" xr:uid="{60AB1488-70E7-4A17-B8BB-5F1208D3CA67}"/>
    <cellStyle name="Normal 4 4 4 6 4" xfId="10649" xr:uid="{2FC114CA-EE2C-46F1-B216-6B8E797B00FF}"/>
    <cellStyle name="Normal 4 4 4 7" xfId="2547" xr:uid="{00000000-0005-0000-0000-0000D9150000}"/>
    <cellStyle name="Normal 4 4 4 7 2" xfId="6830" xr:uid="{00000000-0005-0000-0000-0000DA150000}"/>
    <cellStyle name="Normal 4 4 4 7 2 2" xfId="15280" xr:uid="{275BB493-335B-4896-98CC-B15A23A749EF}"/>
    <cellStyle name="Normal 4 4 4 7 3" xfId="11062" xr:uid="{47D09097-F155-47AC-AD75-6828D3A51A4E}"/>
    <cellStyle name="Normal 4 4 4 8" xfId="4765" xr:uid="{00000000-0005-0000-0000-0000DB150000}"/>
    <cellStyle name="Normal 4 4 4 8 2" xfId="13215" xr:uid="{082E3533-168B-4E13-B6F8-DE4CAC15C6BB}"/>
    <cellStyle name="Normal 4 4 4 9" xfId="8997" xr:uid="{26C0F163-EF73-4A99-AF69-324A218D909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1F6F4A78-CED7-4D57-B7E0-F51D6AFF2CD2}"/>
    <cellStyle name="Normal 4 4 5 2 2 3" xfId="11557" xr:uid="{855CE65D-CC00-4C78-B1C5-3E0B879EF004}"/>
    <cellStyle name="Normal 4 4 5 2 3" xfId="5180" xr:uid="{00000000-0005-0000-0000-0000E0150000}"/>
    <cellStyle name="Normal 4 4 5 2 3 2" xfId="13630" xr:uid="{3C6D2048-2051-41EC-B574-27344C5C54C2}"/>
    <cellStyle name="Normal 4 4 5 2 4" xfId="9412" xr:uid="{BD3564C2-661F-4124-A2EE-4A27EBCECAB2}"/>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8B4DD9A1-DE34-4D16-A436-D3ADBF8BECF0}"/>
    <cellStyle name="Normal 4 4 5 3 2 3" xfId="11970" xr:uid="{792A6965-2578-45FE-9DBF-0CEBE445F4FB}"/>
    <cellStyle name="Normal 4 4 5 3 3" xfId="5593" xr:uid="{00000000-0005-0000-0000-0000E4150000}"/>
    <cellStyle name="Normal 4 4 5 3 3 2" xfId="14043" xr:uid="{FD7014D7-A668-434B-B0DD-2927152EE736}"/>
    <cellStyle name="Normal 4 4 5 3 4" xfId="9825" xr:uid="{239BF33C-1ED1-42AB-B545-65719A152BDA}"/>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D7F6876A-DF3A-4406-B499-9DC62EE3095F}"/>
    <cellStyle name="Normal 4 4 5 4 2 3" xfId="12383" xr:uid="{0A9950B6-E886-43A2-AC98-8BEA6212E6A9}"/>
    <cellStyle name="Normal 4 4 5 4 3" xfId="6006" xr:uid="{00000000-0005-0000-0000-0000E8150000}"/>
    <cellStyle name="Normal 4 4 5 4 3 2" xfId="14456" xr:uid="{BFBAEBA0-13B6-4C12-A801-2978E819E3B0}"/>
    <cellStyle name="Normal 4 4 5 4 4" xfId="10238" xr:uid="{EABB5511-FE00-43E2-BE43-9A6CCD4CF797}"/>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DEFFD5AC-7146-40A6-AC9A-7B9FD4AFB886}"/>
    <cellStyle name="Normal 4 4 5 5 2 3" xfId="12796" xr:uid="{29CC3F02-BF7E-4E54-9CFD-39FF8FDDC025}"/>
    <cellStyle name="Normal 4 4 5 5 3" xfId="6419" xr:uid="{00000000-0005-0000-0000-0000EC150000}"/>
    <cellStyle name="Normal 4 4 5 5 3 2" xfId="14869" xr:uid="{AE689EA1-16E1-432A-A775-DA77B5F086FA}"/>
    <cellStyle name="Normal 4 4 5 5 4" xfId="10651" xr:uid="{90EBB1CC-7C10-49FE-819C-B303789E4F65}"/>
    <cellStyle name="Normal 4 4 5 6" xfId="2549" xr:uid="{00000000-0005-0000-0000-0000ED150000}"/>
    <cellStyle name="Normal 4 4 5 6 2" xfId="6832" xr:uid="{00000000-0005-0000-0000-0000EE150000}"/>
    <cellStyle name="Normal 4 4 5 6 2 2" xfId="15282" xr:uid="{3234E5F1-44E1-4BDD-B101-BA3AC9A88997}"/>
    <cellStyle name="Normal 4 4 5 6 3" xfId="11064" xr:uid="{F8147826-0003-411E-9710-85D13CBC8C52}"/>
    <cellStyle name="Normal 4 4 5 7" xfId="4767" xr:uid="{00000000-0005-0000-0000-0000EF150000}"/>
    <cellStyle name="Normal 4 4 5 7 2" xfId="13217" xr:uid="{9502DC0A-602F-4B6C-AA7D-3ED9CB9F0BF6}"/>
    <cellStyle name="Normal 4 4 5 8" xfId="8999" xr:uid="{29B9E8D0-9580-43BE-9CAA-A899DC0DEBDC}"/>
    <cellStyle name="Normal 4 4 6" xfId="853" xr:uid="{00000000-0005-0000-0000-0000F0150000}"/>
    <cellStyle name="Normal 4 4 6 2" xfId="3088" xr:uid="{00000000-0005-0000-0000-0000F1150000}"/>
    <cellStyle name="Normal 4 4 6 2 2" xfId="7310" xr:uid="{00000000-0005-0000-0000-0000F2150000}"/>
    <cellStyle name="Normal 4 4 6 2 2 2" xfId="15760" xr:uid="{24B09CD7-6826-4EC7-98A1-E7A9EBD1C289}"/>
    <cellStyle name="Normal 4 4 6 2 3" xfId="11542" xr:uid="{7B9E27A5-1356-49A4-8A42-DB60CFE5827D}"/>
    <cellStyle name="Normal 4 4 6 3" xfId="5165" xr:uid="{00000000-0005-0000-0000-0000F3150000}"/>
    <cellStyle name="Normal 4 4 6 3 2" xfId="13615" xr:uid="{4574B38B-0467-466E-A032-D3D5D2CEF2ED}"/>
    <cellStyle name="Normal 4 4 6 4" xfId="9397" xr:uid="{475A4500-CD74-49E4-8224-FBD9CE55C71F}"/>
    <cellStyle name="Normal 4 4 7" xfId="1271" xr:uid="{00000000-0005-0000-0000-0000F4150000}"/>
    <cellStyle name="Normal 4 4 7 2" xfId="3501" xr:uid="{00000000-0005-0000-0000-0000F5150000}"/>
    <cellStyle name="Normal 4 4 7 2 2" xfId="7723" xr:uid="{00000000-0005-0000-0000-0000F6150000}"/>
    <cellStyle name="Normal 4 4 7 2 2 2" xfId="16173" xr:uid="{9BC64243-58D1-4B0A-9848-5E7F8E95AA70}"/>
    <cellStyle name="Normal 4 4 7 2 3" xfId="11955" xr:uid="{F5ED6FFE-4EE1-41CC-81C7-36F2530F3B43}"/>
    <cellStyle name="Normal 4 4 7 3" xfId="5578" xr:uid="{00000000-0005-0000-0000-0000F7150000}"/>
    <cellStyle name="Normal 4 4 7 3 2" xfId="14028" xr:uid="{362A5D1F-5F47-4027-A70A-E2A687027DCC}"/>
    <cellStyle name="Normal 4 4 7 4" xfId="9810" xr:uid="{F0133A8D-82E4-46DF-8EBE-AFC87E0A4647}"/>
    <cellStyle name="Normal 4 4 8" xfId="1684" xr:uid="{00000000-0005-0000-0000-0000F8150000}"/>
    <cellStyle name="Normal 4 4 8 2" xfId="3914" xr:uid="{00000000-0005-0000-0000-0000F9150000}"/>
    <cellStyle name="Normal 4 4 8 2 2" xfId="8136" xr:uid="{00000000-0005-0000-0000-0000FA150000}"/>
    <cellStyle name="Normal 4 4 8 2 2 2" xfId="16586" xr:uid="{3D6A2A67-1784-43D0-9F44-DE739E2DB0B0}"/>
    <cellStyle name="Normal 4 4 8 2 3" xfId="12368" xr:uid="{EBE8E0CC-6CC6-42C9-B325-B31BEAA6153A}"/>
    <cellStyle name="Normal 4 4 8 3" xfId="5991" xr:uid="{00000000-0005-0000-0000-0000FB150000}"/>
    <cellStyle name="Normal 4 4 8 3 2" xfId="14441" xr:uid="{5402E24C-C7F5-41C0-93DD-2DD0F7F2734E}"/>
    <cellStyle name="Normal 4 4 8 4" xfId="10223" xr:uid="{B6702991-5E64-4AE7-A810-A0F57D177AFC}"/>
    <cellStyle name="Normal 4 4 9" xfId="2098" xr:uid="{00000000-0005-0000-0000-0000FC150000}"/>
    <cellStyle name="Normal 4 4 9 2" xfId="4327" xr:uid="{00000000-0005-0000-0000-0000FD150000}"/>
    <cellStyle name="Normal 4 4 9 2 2" xfId="8549" xr:uid="{00000000-0005-0000-0000-0000FE150000}"/>
    <cellStyle name="Normal 4 4 9 2 2 2" xfId="16999" xr:uid="{F4B1E183-7896-4320-98B4-4C84938AF4C3}"/>
    <cellStyle name="Normal 4 4 9 2 3" xfId="12781" xr:uid="{7F4E9214-70FE-45DE-80C1-1CD5BD1A637D}"/>
    <cellStyle name="Normal 4 4 9 3" xfId="6404" xr:uid="{00000000-0005-0000-0000-0000FF150000}"/>
    <cellStyle name="Normal 4 4 9 3 2" xfId="14854" xr:uid="{1B258711-21AD-4851-8AC2-BB230E080342}"/>
    <cellStyle name="Normal 4 4 9 4" xfId="10636" xr:uid="{12A1B09F-056E-4B56-887D-220F12A2A822}"/>
    <cellStyle name="Normal 4 5" xfId="394" xr:uid="{00000000-0005-0000-0000-000000160000}"/>
    <cellStyle name="Normal 4 6" xfId="395" xr:uid="{00000000-0005-0000-0000-000001160000}"/>
    <cellStyle name="Normal 4 6 10" xfId="4768" xr:uid="{00000000-0005-0000-0000-000002160000}"/>
    <cellStyle name="Normal 4 6 10 2" xfId="13218" xr:uid="{94FA4420-2DD8-4A3B-B369-2650F845961C}"/>
    <cellStyle name="Normal 4 6 11" xfId="9000" xr:uid="{FFEAFD08-4A4C-4983-BFD1-F50CC385CA6A}"/>
    <cellStyle name="Normal 4 6 2" xfId="396" xr:uid="{00000000-0005-0000-0000-000003160000}"/>
    <cellStyle name="Normal 4 6 2 10" xfId="9001" xr:uid="{829907A0-D658-4CE9-B6A1-FCB2A06FEF7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AE084532-721A-4A4C-AC62-2A713FCEDC1D}"/>
    <cellStyle name="Normal 4 6 2 2 2 2 2 3" xfId="11561" xr:uid="{6511380C-3D86-4164-B5C0-295F75ED1380}"/>
    <cellStyle name="Normal 4 6 2 2 2 2 3" xfId="5184" xr:uid="{00000000-0005-0000-0000-000009160000}"/>
    <cellStyle name="Normal 4 6 2 2 2 2 3 2" xfId="13634" xr:uid="{74854A05-B9E9-4CD1-BDE0-2C6DFB568843}"/>
    <cellStyle name="Normal 4 6 2 2 2 2 4" xfId="9416" xr:uid="{A5F25286-074C-4470-A57F-2EFCAAD1BBFD}"/>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D35C3CD5-390F-4847-A6D2-A7910433DD43}"/>
    <cellStyle name="Normal 4 6 2 2 2 3 2 3" xfId="11974" xr:uid="{B70F1915-A525-46C6-8732-5A2B7EBC6D79}"/>
    <cellStyle name="Normal 4 6 2 2 2 3 3" xfId="5597" xr:uid="{00000000-0005-0000-0000-00000D160000}"/>
    <cellStyle name="Normal 4 6 2 2 2 3 3 2" xfId="14047" xr:uid="{949A2B3C-3926-4E13-9FB4-5F5763E44D48}"/>
    <cellStyle name="Normal 4 6 2 2 2 3 4" xfId="9829" xr:uid="{D791C701-72F7-434F-B8AA-E56E8C9EF60A}"/>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E9810AD3-028E-4DB5-B2F1-08892A47ED60}"/>
    <cellStyle name="Normal 4 6 2 2 2 4 2 3" xfId="12387" xr:uid="{0711A5C6-D2F9-4305-94EF-CA9C33E6CE0C}"/>
    <cellStyle name="Normal 4 6 2 2 2 4 3" xfId="6010" xr:uid="{00000000-0005-0000-0000-000011160000}"/>
    <cellStyle name="Normal 4 6 2 2 2 4 3 2" xfId="14460" xr:uid="{FC6D77F4-F434-4B6C-A29D-25304066A11C}"/>
    <cellStyle name="Normal 4 6 2 2 2 4 4" xfId="10242" xr:uid="{C57E1232-1D93-4C7B-9397-9B43940FC729}"/>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7154DA7E-DEFB-4891-A87F-26AEB5B94531}"/>
    <cellStyle name="Normal 4 6 2 2 2 5 2 3" xfId="12800" xr:uid="{BC58BB2A-75A4-4814-BD91-D3B6EDE5F41F}"/>
    <cellStyle name="Normal 4 6 2 2 2 5 3" xfId="6423" xr:uid="{00000000-0005-0000-0000-000015160000}"/>
    <cellStyle name="Normal 4 6 2 2 2 5 3 2" xfId="14873" xr:uid="{A9D0216B-037D-4F1E-BB26-891F16A8CF2D}"/>
    <cellStyle name="Normal 4 6 2 2 2 5 4" xfId="10655" xr:uid="{6B6849AE-A4A1-483D-8D17-EA8139BEBF1C}"/>
    <cellStyle name="Normal 4 6 2 2 2 6" xfId="2553" xr:uid="{00000000-0005-0000-0000-000016160000}"/>
    <cellStyle name="Normal 4 6 2 2 2 6 2" xfId="6836" xr:uid="{00000000-0005-0000-0000-000017160000}"/>
    <cellStyle name="Normal 4 6 2 2 2 6 2 2" xfId="15286" xr:uid="{0421E6E0-2618-4EDB-9C4F-8B289F5EDDF4}"/>
    <cellStyle name="Normal 4 6 2 2 2 6 3" xfId="11068" xr:uid="{378BA407-8651-435E-A17D-C5AEE9DA4D61}"/>
    <cellStyle name="Normal 4 6 2 2 2 7" xfId="4771" xr:uid="{00000000-0005-0000-0000-000018160000}"/>
    <cellStyle name="Normal 4 6 2 2 2 7 2" xfId="13221" xr:uid="{41B09B05-269D-4C0D-AB64-79A83ED2E56F}"/>
    <cellStyle name="Normal 4 6 2 2 2 8" xfId="9003" xr:uid="{E039C480-5E50-4532-8BBE-B7FB47DF0B81}"/>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BD7B5692-C785-47BD-A3DE-2B263824D697}"/>
    <cellStyle name="Normal 4 6 2 2 3 2 3" xfId="11560" xr:uid="{A63EC96D-A035-4BEB-97E4-D898D7F8381C}"/>
    <cellStyle name="Normal 4 6 2 2 3 3" xfId="5183" xr:uid="{00000000-0005-0000-0000-00001C160000}"/>
    <cellStyle name="Normal 4 6 2 2 3 3 2" xfId="13633" xr:uid="{532AE5BC-C207-494B-8411-DF7428D3BD28}"/>
    <cellStyle name="Normal 4 6 2 2 3 4" xfId="9415" xr:uid="{1B09D987-8C89-48F5-8935-72BA1648BB2C}"/>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D7B8164C-EF4F-4920-BD7D-4107535D6FB9}"/>
    <cellStyle name="Normal 4 6 2 2 4 2 3" xfId="11973" xr:uid="{5671BFA1-CCF1-4879-82AE-B1D5BE1DD1E6}"/>
    <cellStyle name="Normal 4 6 2 2 4 3" xfId="5596" xr:uid="{00000000-0005-0000-0000-000020160000}"/>
    <cellStyle name="Normal 4 6 2 2 4 3 2" xfId="14046" xr:uid="{76BE1C13-9C78-4CFF-B154-CDA284FF5595}"/>
    <cellStyle name="Normal 4 6 2 2 4 4" xfId="9828" xr:uid="{A0961875-2058-47D4-984D-B35D0D499ED9}"/>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AA214588-B221-42CB-AC33-234EBD479F52}"/>
    <cellStyle name="Normal 4 6 2 2 5 2 3" xfId="12386" xr:uid="{38D01B22-A9FA-4708-9F79-D912D6FC078E}"/>
    <cellStyle name="Normal 4 6 2 2 5 3" xfId="6009" xr:uid="{00000000-0005-0000-0000-000024160000}"/>
    <cellStyle name="Normal 4 6 2 2 5 3 2" xfId="14459" xr:uid="{8366A7BF-C5CE-4D90-A19E-3364EE6FD83D}"/>
    <cellStyle name="Normal 4 6 2 2 5 4" xfId="10241" xr:uid="{F944B4FF-FA6C-473B-8A0D-A20A441C66AE}"/>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65085EA5-9149-4E33-9CBB-B01263E82D3E}"/>
    <cellStyle name="Normal 4 6 2 2 6 2 3" xfId="12799" xr:uid="{09F4EC25-5DA3-40AD-9040-993EF9A52730}"/>
    <cellStyle name="Normal 4 6 2 2 6 3" xfId="6422" xr:uid="{00000000-0005-0000-0000-000028160000}"/>
    <cellStyle name="Normal 4 6 2 2 6 3 2" xfId="14872" xr:uid="{4A2AFE21-F489-41AE-BC20-78F06C47F44F}"/>
    <cellStyle name="Normal 4 6 2 2 6 4" xfId="10654" xr:uid="{B9284397-CF6F-44ED-BCEE-A4C852FE27A9}"/>
    <cellStyle name="Normal 4 6 2 2 7" xfId="2552" xr:uid="{00000000-0005-0000-0000-000029160000}"/>
    <cellStyle name="Normal 4 6 2 2 7 2" xfId="6835" xr:uid="{00000000-0005-0000-0000-00002A160000}"/>
    <cellStyle name="Normal 4 6 2 2 7 2 2" xfId="15285" xr:uid="{C81EEB30-5AC3-4122-BA82-15C4EACD6355}"/>
    <cellStyle name="Normal 4 6 2 2 7 3" xfId="11067" xr:uid="{86BD3451-88D8-4074-BAFB-AD8B0D6AC1EA}"/>
    <cellStyle name="Normal 4 6 2 2 8" xfId="4770" xr:uid="{00000000-0005-0000-0000-00002B160000}"/>
    <cellStyle name="Normal 4 6 2 2 8 2" xfId="13220" xr:uid="{7D83C169-2E56-47AC-ADDE-8F357827A2FF}"/>
    <cellStyle name="Normal 4 6 2 2 9" xfId="9002" xr:uid="{F30C64E0-02C7-41B4-A1FB-089F6E10F499}"/>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A6AB6CDC-C6BD-4663-9EDE-CF40DA875F97}"/>
    <cellStyle name="Normal 4 6 2 3 2 2 3" xfId="11562" xr:uid="{D19A3E89-7E69-467B-BA7D-E56280995E47}"/>
    <cellStyle name="Normal 4 6 2 3 2 3" xfId="5185" xr:uid="{00000000-0005-0000-0000-000030160000}"/>
    <cellStyle name="Normal 4 6 2 3 2 3 2" xfId="13635" xr:uid="{117AA1B5-6738-46D5-AE3B-964049025E9A}"/>
    <cellStyle name="Normal 4 6 2 3 2 4" xfId="9417" xr:uid="{AB99784D-C223-4CC0-BDBB-07C70ECC4754}"/>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D8F917DB-DF19-4745-A2D5-1220502DBCF9}"/>
    <cellStyle name="Normal 4 6 2 3 3 2 3" xfId="11975" xr:uid="{0A0DB230-C234-42C4-AE5A-AA98212DE4B5}"/>
    <cellStyle name="Normal 4 6 2 3 3 3" xfId="5598" xr:uid="{00000000-0005-0000-0000-000034160000}"/>
    <cellStyle name="Normal 4 6 2 3 3 3 2" xfId="14048" xr:uid="{A60C8656-018E-4B28-832C-9CF5F923150D}"/>
    <cellStyle name="Normal 4 6 2 3 3 4" xfId="9830" xr:uid="{D70AC037-56CF-40D2-A9C8-4242068D55F8}"/>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63486833-9E81-45D2-8DF1-BCE98F72E05A}"/>
    <cellStyle name="Normal 4 6 2 3 4 2 3" xfId="12388" xr:uid="{71CCFB79-E6E0-4826-A6A0-F37396ADF2A5}"/>
    <cellStyle name="Normal 4 6 2 3 4 3" xfId="6011" xr:uid="{00000000-0005-0000-0000-000038160000}"/>
    <cellStyle name="Normal 4 6 2 3 4 3 2" xfId="14461" xr:uid="{6C01CF06-0D5A-4E0B-B29F-2044186ABB6B}"/>
    <cellStyle name="Normal 4 6 2 3 4 4" xfId="10243" xr:uid="{E1D69C69-A522-4EAC-866E-AED079C7D5CF}"/>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935FFBA6-4723-4E74-A2A4-68632C7CDC76}"/>
    <cellStyle name="Normal 4 6 2 3 5 2 3" xfId="12801" xr:uid="{490BE3C1-B719-405C-AFF3-B6662C53AD16}"/>
    <cellStyle name="Normal 4 6 2 3 5 3" xfId="6424" xr:uid="{00000000-0005-0000-0000-00003C160000}"/>
    <cellStyle name="Normal 4 6 2 3 5 3 2" xfId="14874" xr:uid="{B0C41DAA-2861-4A08-BF94-590F4D77127A}"/>
    <cellStyle name="Normal 4 6 2 3 5 4" xfId="10656" xr:uid="{C3B2B6DD-ACE6-41D8-AE66-2A484582F0DA}"/>
    <cellStyle name="Normal 4 6 2 3 6" xfId="2554" xr:uid="{00000000-0005-0000-0000-00003D160000}"/>
    <cellStyle name="Normal 4 6 2 3 6 2" xfId="6837" xr:uid="{00000000-0005-0000-0000-00003E160000}"/>
    <cellStyle name="Normal 4 6 2 3 6 2 2" xfId="15287" xr:uid="{759182EB-CE2B-4680-9218-354A2C51AE4A}"/>
    <cellStyle name="Normal 4 6 2 3 6 3" xfId="11069" xr:uid="{D56E5CAD-D3B3-4B59-850C-19C4A308ED38}"/>
    <cellStyle name="Normal 4 6 2 3 7" xfId="4772" xr:uid="{00000000-0005-0000-0000-00003F160000}"/>
    <cellStyle name="Normal 4 6 2 3 7 2" xfId="13222" xr:uid="{E1F9883F-3D7B-486E-8C76-6A626272869E}"/>
    <cellStyle name="Normal 4 6 2 3 8" xfId="9004" xr:uid="{F228B03A-94D1-4BBB-A4E7-DA306D40E190}"/>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4F8A01A4-3FDA-4A51-B9B0-7EA94DEF86E9}"/>
    <cellStyle name="Normal 4 6 2 4 2 3" xfId="11559" xr:uid="{31D0B462-6570-4C17-AE85-5996B8C4E12F}"/>
    <cellStyle name="Normal 4 6 2 4 3" xfId="5182" xr:uid="{00000000-0005-0000-0000-000043160000}"/>
    <cellStyle name="Normal 4 6 2 4 3 2" xfId="13632" xr:uid="{79080588-5C81-4BD9-8D7C-87F166D51B9D}"/>
    <cellStyle name="Normal 4 6 2 4 4" xfId="9414" xr:uid="{720450B1-FC58-4890-AB37-B7A1EF12A428}"/>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615AF15B-EF4A-4513-8875-26E3280F6F47}"/>
    <cellStyle name="Normal 4 6 2 5 2 3" xfId="11972" xr:uid="{7FC2AEB2-AF1A-45E7-A4BC-C2F324235CC5}"/>
    <cellStyle name="Normal 4 6 2 5 3" xfId="5595" xr:uid="{00000000-0005-0000-0000-000047160000}"/>
    <cellStyle name="Normal 4 6 2 5 3 2" xfId="14045" xr:uid="{FC82D8D1-E2D3-4703-AEE6-6B0DF5849D0A}"/>
    <cellStyle name="Normal 4 6 2 5 4" xfId="9827" xr:uid="{5BC58E77-5ADF-4B87-9CE9-3751385B902F}"/>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7E795CF0-4A5B-494A-9352-6F6DF33CBBFF}"/>
    <cellStyle name="Normal 4 6 2 6 2 3" xfId="12385" xr:uid="{11C7CABA-5621-4A93-8740-3C05E4BD10B6}"/>
    <cellStyle name="Normal 4 6 2 6 3" xfId="6008" xr:uid="{00000000-0005-0000-0000-00004B160000}"/>
    <cellStyle name="Normal 4 6 2 6 3 2" xfId="14458" xr:uid="{621AE8B9-CDEF-4733-8B0E-3EC6B69693CA}"/>
    <cellStyle name="Normal 4 6 2 6 4" xfId="10240" xr:uid="{1BD65DF5-E50E-43F3-B28C-A50F4F569B99}"/>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3C9B4298-0110-495B-811D-8CDED20AE2BF}"/>
    <cellStyle name="Normal 4 6 2 7 2 3" xfId="12798" xr:uid="{017477BD-77BD-4A80-A7B6-05BCCC00C91A}"/>
    <cellStyle name="Normal 4 6 2 7 3" xfId="6421" xr:uid="{00000000-0005-0000-0000-00004F160000}"/>
    <cellStyle name="Normal 4 6 2 7 3 2" xfId="14871" xr:uid="{3CE67F99-EECA-4FA1-9B01-D21D018FAC51}"/>
    <cellStyle name="Normal 4 6 2 7 4" xfId="10653" xr:uid="{7BFA1392-0E45-4D24-9DD9-DF7B311448F1}"/>
    <cellStyle name="Normal 4 6 2 8" xfId="2551" xr:uid="{00000000-0005-0000-0000-000050160000}"/>
    <cellStyle name="Normal 4 6 2 8 2" xfId="6834" xr:uid="{00000000-0005-0000-0000-000051160000}"/>
    <cellStyle name="Normal 4 6 2 8 2 2" xfId="15284" xr:uid="{8775E660-EC6C-440A-8102-1CBE04CC1657}"/>
    <cellStyle name="Normal 4 6 2 8 3" xfId="11066" xr:uid="{BEA38E33-D58F-447C-8C6C-DBC2AC1C8A99}"/>
    <cellStyle name="Normal 4 6 2 9" xfId="4769" xr:uid="{00000000-0005-0000-0000-000052160000}"/>
    <cellStyle name="Normal 4 6 2 9 2" xfId="13219" xr:uid="{08798E7F-A114-4D21-A4D9-39A547EA135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EDE7C830-EC07-4A9B-8FED-203EBA4AE1EF}"/>
    <cellStyle name="Normal 4 6 3 2 2 2 3" xfId="11564" xr:uid="{A4E1817B-77CA-45C2-B407-69BB1B7AA993}"/>
    <cellStyle name="Normal 4 6 3 2 2 3" xfId="5187" xr:uid="{00000000-0005-0000-0000-000058160000}"/>
    <cellStyle name="Normal 4 6 3 2 2 3 2" xfId="13637" xr:uid="{C70BBF25-9C91-4C3B-B4D3-3F348CB166FE}"/>
    <cellStyle name="Normal 4 6 3 2 2 4" xfId="9419" xr:uid="{1C1234BF-ADF2-451A-88D1-27C78CFF65B8}"/>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EE72B965-2404-4A5F-BE37-E896613C4106}"/>
    <cellStyle name="Normal 4 6 3 2 3 2 3" xfId="11977" xr:uid="{E02D1E69-E779-44D3-8F77-74ADC2A6AFA7}"/>
    <cellStyle name="Normal 4 6 3 2 3 3" xfId="5600" xr:uid="{00000000-0005-0000-0000-00005C160000}"/>
    <cellStyle name="Normal 4 6 3 2 3 3 2" xfId="14050" xr:uid="{D5797D63-6B19-4AF8-9985-6D56FBDE211A}"/>
    <cellStyle name="Normal 4 6 3 2 3 4" xfId="9832" xr:uid="{B2C311B9-B0E3-42D1-854C-419928ACE1C4}"/>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E697A412-0066-4897-986A-FFF46C1D9074}"/>
    <cellStyle name="Normal 4 6 3 2 4 2 3" xfId="12390" xr:uid="{0E638C91-6A28-4515-A168-39145B70D6DC}"/>
    <cellStyle name="Normal 4 6 3 2 4 3" xfId="6013" xr:uid="{00000000-0005-0000-0000-000060160000}"/>
    <cellStyle name="Normal 4 6 3 2 4 3 2" xfId="14463" xr:uid="{68C77389-7904-4D0A-A806-0A0F00E258E7}"/>
    <cellStyle name="Normal 4 6 3 2 4 4" xfId="10245" xr:uid="{3F7653DF-B01E-421C-A4B2-21B9B7FC63F3}"/>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FB603B87-5532-498C-A8A0-F41901B7E328}"/>
    <cellStyle name="Normal 4 6 3 2 5 2 3" xfId="12803" xr:uid="{E41ABFBE-11C5-421D-AA0B-6D31169DA8BE}"/>
    <cellStyle name="Normal 4 6 3 2 5 3" xfId="6426" xr:uid="{00000000-0005-0000-0000-000064160000}"/>
    <cellStyle name="Normal 4 6 3 2 5 3 2" xfId="14876" xr:uid="{B13D734E-BE70-40F2-A032-853B5C9CE2B5}"/>
    <cellStyle name="Normal 4 6 3 2 5 4" xfId="10658" xr:uid="{90898CF6-0EA2-41FE-95D0-E0D628A3A32C}"/>
    <cellStyle name="Normal 4 6 3 2 6" xfId="2556" xr:uid="{00000000-0005-0000-0000-000065160000}"/>
    <cellStyle name="Normal 4 6 3 2 6 2" xfId="6839" xr:uid="{00000000-0005-0000-0000-000066160000}"/>
    <cellStyle name="Normal 4 6 3 2 6 2 2" xfId="15289" xr:uid="{D6E5B41A-9D79-45DD-9623-82F5A423EB5E}"/>
    <cellStyle name="Normal 4 6 3 2 6 3" xfId="11071" xr:uid="{53767346-129A-48EE-9D3B-4B3CEA6EA5E1}"/>
    <cellStyle name="Normal 4 6 3 2 7" xfId="4774" xr:uid="{00000000-0005-0000-0000-000067160000}"/>
    <cellStyle name="Normal 4 6 3 2 7 2" xfId="13224" xr:uid="{2D7F5FD0-F5F0-4C63-A8D7-81077A096BCF}"/>
    <cellStyle name="Normal 4 6 3 2 8" xfId="9006" xr:uid="{B7207DD1-32E8-47F3-997E-40E91A472BD2}"/>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3EE98610-4784-48FE-A974-D29D493C73F7}"/>
    <cellStyle name="Normal 4 6 3 3 2 3" xfId="11563" xr:uid="{30BA2490-D9C2-4FD6-B5BB-481B98DA358B}"/>
    <cellStyle name="Normal 4 6 3 3 3" xfId="5186" xr:uid="{00000000-0005-0000-0000-00006B160000}"/>
    <cellStyle name="Normal 4 6 3 3 3 2" xfId="13636" xr:uid="{13C6D3EC-B6F7-4CFE-8F83-D70A49E4AC1D}"/>
    <cellStyle name="Normal 4 6 3 3 4" xfId="9418" xr:uid="{5BD04DB5-6914-4815-9F44-9DEEB16FE4CF}"/>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3EE5A8FF-0F58-4136-8B09-756B9E8B1A8B}"/>
    <cellStyle name="Normal 4 6 3 4 2 3" xfId="11976" xr:uid="{4B0ECE3B-2DC5-43A1-9F99-139CCDE5466B}"/>
    <cellStyle name="Normal 4 6 3 4 3" xfId="5599" xr:uid="{00000000-0005-0000-0000-00006F160000}"/>
    <cellStyle name="Normal 4 6 3 4 3 2" xfId="14049" xr:uid="{F5780C33-039D-45FB-89E8-2FD47D03EFF3}"/>
    <cellStyle name="Normal 4 6 3 4 4" xfId="9831" xr:uid="{FA6FC80C-6A6D-4434-B372-BCA9ED7AD7F9}"/>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070992D5-4158-4C06-B31B-75108C3AE5B4}"/>
    <cellStyle name="Normal 4 6 3 5 2 3" xfId="12389" xr:uid="{B62DF712-FF83-48ED-BC4E-EF092A4841E0}"/>
    <cellStyle name="Normal 4 6 3 5 3" xfId="6012" xr:uid="{00000000-0005-0000-0000-000073160000}"/>
    <cellStyle name="Normal 4 6 3 5 3 2" xfId="14462" xr:uid="{4D51F989-3B6B-43B7-96D3-1730C1B29FE4}"/>
    <cellStyle name="Normal 4 6 3 5 4" xfId="10244" xr:uid="{F9C45FB2-650F-496F-9ACA-C4C0C885F71E}"/>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C887B6A2-3163-4094-9929-EAE4A090FA14}"/>
    <cellStyle name="Normal 4 6 3 6 2 3" xfId="12802" xr:uid="{CB609020-A44F-4032-AED6-75AFAED353EC}"/>
    <cellStyle name="Normal 4 6 3 6 3" xfId="6425" xr:uid="{00000000-0005-0000-0000-000077160000}"/>
    <cellStyle name="Normal 4 6 3 6 3 2" xfId="14875" xr:uid="{8BF5BF4B-720E-42E9-AA87-FA33C0A01960}"/>
    <cellStyle name="Normal 4 6 3 6 4" xfId="10657" xr:uid="{8D2708B0-E562-4339-AA2C-901F68826EA4}"/>
    <cellStyle name="Normal 4 6 3 7" xfId="2555" xr:uid="{00000000-0005-0000-0000-000078160000}"/>
    <cellStyle name="Normal 4 6 3 7 2" xfId="6838" xr:uid="{00000000-0005-0000-0000-000079160000}"/>
    <cellStyle name="Normal 4 6 3 7 2 2" xfId="15288" xr:uid="{2CB0A513-F70A-4514-88DA-D09C5BF5746A}"/>
    <cellStyle name="Normal 4 6 3 7 3" xfId="11070" xr:uid="{226B2581-E0A4-45F5-A8F7-75A4EC7BF56D}"/>
    <cellStyle name="Normal 4 6 3 8" xfId="4773" xr:uid="{00000000-0005-0000-0000-00007A160000}"/>
    <cellStyle name="Normal 4 6 3 8 2" xfId="13223" xr:uid="{B0152EF1-5E7E-4443-92AE-C911D1CA3D52}"/>
    <cellStyle name="Normal 4 6 3 9" xfId="9005" xr:uid="{619E1617-85BB-4728-AD9F-1C2382F9622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4231DD69-6D7D-422D-8229-9B43CB6F5355}"/>
    <cellStyle name="Normal 4 6 4 2 2 3" xfId="11565" xr:uid="{6BE21A1D-CF6C-4F79-8488-114779A32000}"/>
    <cellStyle name="Normal 4 6 4 2 3" xfId="5188" xr:uid="{00000000-0005-0000-0000-00007F160000}"/>
    <cellStyle name="Normal 4 6 4 2 3 2" xfId="13638" xr:uid="{6DD87848-0C66-4656-B873-A53862E6CE3B}"/>
    <cellStyle name="Normal 4 6 4 2 4" xfId="9420" xr:uid="{C4B20AAF-DB89-4087-B87F-3151DAD93AB9}"/>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D520CE93-AEA3-4B23-9A58-7A6E8569FFA2}"/>
    <cellStyle name="Normal 4 6 4 3 2 3" xfId="11978" xr:uid="{F8BC207E-46D7-4520-B97A-7FE7531EC5CA}"/>
    <cellStyle name="Normal 4 6 4 3 3" xfId="5601" xr:uid="{00000000-0005-0000-0000-000083160000}"/>
    <cellStyle name="Normal 4 6 4 3 3 2" xfId="14051" xr:uid="{060B7947-A350-4DAD-9075-BF9DA6550E3A}"/>
    <cellStyle name="Normal 4 6 4 3 4" xfId="9833" xr:uid="{95C72EA3-C608-4780-B238-9815FAB989D7}"/>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539E6790-32C3-4C99-9D18-27C07903323B}"/>
    <cellStyle name="Normal 4 6 4 4 2 3" xfId="12391" xr:uid="{284DC416-7A63-4E81-9C10-8D9CE3655F6A}"/>
    <cellStyle name="Normal 4 6 4 4 3" xfId="6014" xr:uid="{00000000-0005-0000-0000-000087160000}"/>
    <cellStyle name="Normal 4 6 4 4 3 2" xfId="14464" xr:uid="{CCD442FF-2F5D-4A97-AEC8-BFE25FFB9AB6}"/>
    <cellStyle name="Normal 4 6 4 4 4" xfId="10246" xr:uid="{00CE64F2-6DE5-46E1-B460-E59EB78532C7}"/>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8CF58045-8711-4D62-B3F7-85C841E1AD83}"/>
    <cellStyle name="Normal 4 6 4 5 2 3" xfId="12804" xr:uid="{C82675D2-6242-4471-A503-79BE07BB0A18}"/>
    <cellStyle name="Normal 4 6 4 5 3" xfId="6427" xr:uid="{00000000-0005-0000-0000-00008B160000}"/>
    <cellStyle name="Normal 4 6 4 5 3 2" xfId="14877" xr:uid="{A6021966-351F-4E68-9055-9C43D1E7D8EA}"/>
    <cellStyle name="Normal 4 6 4 5 4" xfId="10659" xr:uid="{DAF42709-68D2-4740-8E3F-1B8E483840B8}"/>
    <cellStyle name="Normal 4 6 4 6" xfId="2557" xr:uid="{00000000-0005-0000-0000-00008C160000}"/>
    <cellStyle name="Normal 4 6 4 6 2" xfId="6840" xr:uid="{00000000-0005-0000-0000-00008D160000}"/>
    <cellStyle name="Normal 4 6 4 6 2 2" xfId="15290" xr:uid="{E8C3E665-3FDA-4F54-92D6-73E7BA34186E}"/>
    <cellStyle name="Normal 4 6 4 6 3" xfId="11072" xr:uid="{441DD5DD-2889-4084-9D38-0C5F6D1F9E61}"/>
    <cellStyle name="Normal 4 6 4 7" xfId="4775" xr:uid="{00000000-0005-0000-0000-00008E160000}"/>
    <cellStyle name="Normal 4 6 4 7 2" xfId="13225" xr:uid="{9EDBE64E-C586-437C-9349-1DB234C68719}"/>
    <cellStyle name="Normal 4 6 4 8" xfId="9007" xr:uid="{4ED72EF0-2302-40F8-8E70-2445F148DCB1}"/>
    <cellStyle name="Normal 4 6 5" xfId="869" xr:uid="{00000000-0005-0000-0000-00008F160000}"/>
    <cellStyle name="Normal 4 6 5 2" xfId="3104" xr:uid="{00000000-0005-0000-0000-000090160000}"/>
    <cellStyle name="Normal 4 6 5 2 2" xfId="7326" xr:uid="{00000000-0005-0000-0000-000091160000}"/>
    <cellStyle name="Normal 4 6 5 2 2 2" xfId="15776" xr:uid="{2B501444-2754-4B99-843B-66A50BB98F62}"/>
    <cellStyle name="Normal 4 6 5 2 3" xfId="11558" xr:uid="{52565186-40B7-4904-92BE-F632052ED422}"/>
    <cellStyle name="Normal 4 6 5 3" xfId="5181" xr:uid="{00000000-0005-0000-0000-000092160000}"/>
    <cellStyle name="Normal 4 6 5 3 2" xfId="13631" xr:uid="{48237F4D-D0D2-48C6-BFFA-2889D6C790DD}"/>
    <cellStyle name="Normal 4 6 5 4" xfId="9413" xr:uid="{F80777B5-3726-4AB6-A536-22A6FEC3F855}"/>
    <cellStyle name="Normal 4 6 6" xfId="1287" xr:uid="{00000000-0005-0000-0000-000093160000}"/>
    <cellStyle name="Normal 4 6 6 2" xfId="3517" xr:uid="{00000000-0005-0000-0000-000094160000}"/>
    <cellStyle name="Normal 4 6 6 2 2" xfId="7739" xr:uid="{00000000-0005-0000-0000-000095160000}"/>
    <cellStyle name="Normal 4 6 6 2 2 2" xfId="16189" xr:uid="{B17CDDD9-5634-47FE-918D-D25F0400E8CC}"/>
    <cellStyle name="Normal 4 6 6 2 3" xfId="11971" xr:uid="{FD176FA4-0998-4BD9-ABFA-3127C1C4B354}"/>
    <cellStyle name="Normal 4 6 6 3" xfId="5594" xr:uid="{00000000-0005-0000-0000-000096160000}"/>
    <cellStyle name="Normal 4 6 6 3 2" xfId="14044" xr:uid="{B1731DF8-10E7-44BF-A0F1-203F0BB8A767}"/>
    <cellStyle name="Normal 4 6 6 4" xfId="9826" xr:uid="{5A4496A1-8BD3-4F0A-9FEC-6254F3E3043A}"/>
    <cellStyle name="Normal 4 6 7" xfId="1700" xr:uid="{00000000-0005-0000-0000-000097160000}"/>
    <cellStyle name="Normal 4 6 7 2" xfId="3930" xr:uid="{00000000-0005-0000-0000-000098160000}"/>
    <cellStyle name="Normal 4 6 7 2 2" xfId="8152" xr:uid="{00000000-0005-0000-0000-000099160000}"/>
    <cellStyle name="Normal 4 6 7 2 2 2" xfId="16602" xr:uid="{E3BD7DEB-90C0-45AD-A543-A0380881F561}"/>
    <cellStyle name="Normal 4 6 7 2 3" xfId="12384" xr:uid="{3A324D40-C948-44EF-8E0F-94B04D932F55}"/>
    <cellStyle name="Normal 4 6 7 3" xfId="6007" xr:uid="{00000000-0005-0000-0000-00009A160000}"/>
    <cellStyle name="Normal 4 6 7 3 2" xfId="14457" xr:uid="{38AF9E6B-9CC6-4824-8D2D-2828A3729E06}"/>
    <cellStyle name="Normal 4 6 7 4" xfId="10239" xr:uid="{7E763BFF-01E2-4A2A-B13D-18DAC9EA1463}"/>
    <cellStyle name="Normal 4 6 8" xfId="2114" xr:uid="{00000000-0005-0000-0000-00009B160000}"/>
    <cellStyle name="Normal 4 6 8 2" xfId="4343" xr:uid="{00000000-0005-0000-0000-00009C160000}"/>
    <cellStyle name="Normal 4 6 8 2 2" xfId="8565" xr:uid="{00000000-0005-0000-0000-00009D160000}"/>
    <cellStyle name="Normal 4 6 8 2 2 2" xfId="17015" xr:uid="{15549BD0-E0DB-4F57-B083-D020AA064201}"/>
    <cellStyle name="Normal 4 6 8 2 3" xfId="12797" xr:uid="{68F696FD-AFE1-46D2-BD38-7ABE3B458DD7}"/>
    <cellStyle name="Normal 4 6 8 3" xfId="6420" xr:uid="{00000000-0005-0000-0000-00009E160000}"/>
    <cellStyle name="Normal 4 6 8 3 2" xfId="14870" xr:uid="{8FEFE054-B10E-4667-A47F-9F22866F19F1}"/>
    <cellStyle name="Normal 4 6 8 4" xfId="10652" xr:uid="{56EEDCB2-D90C-4C1B-8871-FA5D1DB211A6}"/>
    <cellStyle name="Normal 4 6 9" xfId="2550" xr:uid="{00000000-0005-0000-0000-00009F160000}"/>
    <cellStyle name="Normal 4 6 9 2" xfId="6833" xr:uid="{00000000-0005-0000-0000-0000A0160000}"/>
    <cellStyle name="Normal 4 6 9 2 2" xfId="15283" xr:uid="{34CEA870-627A-4A38-BC94-282C46106761}"/>
    <cellStyle name="Normal 4 6 9 3" xfId="11065" xr:uid="{5FFBAF1A-0D54-4773-B8BE-40AF940F8842}"/>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0F048C4A-CAB8-4137-B8EC-3DC3243FD5FB}"/>
    <cellStyle name="Normal 4 7 2 2 2 3" xfId="11567" xr:uid="{58131EC7-A532-4BF7-8B37-79D91B23FFFC}"/>
    <cellStyle name="Normal 4 7 2 2 3" xfId="5190" xr:uid="{00000000-0005-0000-0000-0000A6160000}"/>
    <cellStyle name="Normal 4 7 2 2 3 2" xfId="13640" xr:uid="{1334024D-65DB-4A27-AEA6-2FFD8F8D9A27}"/>
    <cellStyle name="Normal 4 7 2 2 4" xfId="9422" xr:uid="{7A8E4447-4916-428F-8524-5F85E1515CAA}"/>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7712E77B-44C0-4220-9053-9858EA9C8F55}"/>
    <cellStyle name="Normal 4 7 2 3 2 3" xfId="11980" xr:uid="{C5E86CC1-0A13-448F-B983-92B6F5028745}"/>
    <cellStyle name="Normal 4 7 2 3 3" xfId="5603" xr:uid="{00000000-0005-0000-0000-0000AA160000}"/>
    <cellStyle name="Normal 4 7 2 3 3 2" xfId="14053" xr:uid="{10DFF98D-FA59-4B6F-82E0-A79BBDB93266}"/>
    <cellStyle name="Normal 4 7 2 3 4" xfId="9835" xr:uid="{031BFA52-3CC7-4671-A2B6-4F1377744529}"/>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2F36E6A7-3064-41D6-97DD-9D54CA6DC44F}"/>
    <cellStyle name="Normal 4 7 2 4 2 3" xfId="12393" xr:uid="{20C1706A-5D46-452F-A30D-36D7E1A6DB69}"/>
    <cellStyle name="Normal 4 7 2 4 3" xfId="6016" xr:uid="{00000000-0005-0000-0000-0000AE160000}"/>
    <cellStyle name="Normal 4 7 2 4 3 2" xfId="14466" xr:uid="{3FE37590-214C-4787-869F-DDB6AED04977}"/>
    <cellStyle name="Normal 4 7 2 4 4" xfId="10248" xr:uid="{2E4679F5-AB5A-4B1B-9894-426750592503}"/>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FC3EB2C3-781A-4D0F-A16B-3A396979A657}"/>
    <cellStyle name="Normal 4 7 2 5 2 3" xfId="12806" xr:uid="{BD568A84-C5C7-4317-9CE2-4DA61C773F75}"/>
    <cellStyle name="Normal 4 7 2 5 3" xfId="6429" xr:uid="{00000000-0005-0000-0000-0000B2160000}"/>
    <cellStyle name="Normal 4 7 2 5 3 2" xfId="14879" xr:uid="{1E7A316A-8BEA-4868-B56C-951ACECD6163}"/>
    <cellStyle name="Normal 4 7 2 5 4" xfId="10661" xr:uid="{7B9692A6-E651-4C9F-AB8E-2F51962C521F}"/>
    <cellStyle name="Normal 4 7 2 6" xfId="2559" xr:uid="{00000000-0005-0000-0000-0000B3160000}"/>
    <cellStyle name="Normal 4 7 2 6 2" xfId="6842" xr:uid="{00000000-0005-0000-0000-0000B4160000}"/>
    <cellStyle name="Normal 4 7 2 6 2 2" xfId="15292" xr:uid="{7AD5260C-2E53-4A73-9463-2273ACF7423D}"/>
    <cellStyle name="Normal 4 7 2 6 3" xfId="11074" xr:uid="{9BD76060-9A1D-4F13-B728-37B766D65B6A}"/>
    <cellStyle name="Normal 4 7 2 7" xfId="4777" xr:uid="{00000000-0005-0000-0000-0000B5160000}"/>
    <cellStyle name="Normal 4 7 2 7 2" xfId="13227" xr:uid="{7A8703DA-FCA9-436F-BB56-EB42E045BBA7}"/>
    <cellStyle name="Normal 4 7 2 8" xfId="9009" xr:uid="{0C720B11-12D3-4E6D-8D96-702A09030BDB}"/>
    <cellStyle name="Normal 4 7 3" xfId="877" xr:uid="{00000000-0005-0000-0000-0000B6160000}"/>
    <cellStyle name="Normal 4 7 3 2" xfId="3112" xr:uid="{00000000-0005-0000-0000-0000B7160000}"/>
    <cellStyle name="Normal 4 7 3 2 2" xfId="7334" xr:uid="{00000000-0005-0000-0000-0000B8160000}"/>
    <cellStyle name="Normal 4 7 3 2 2 2" xfId="15784" xr:uid="{2B1BF248-6AEC-4AC1-82A9-0468B9633A7E}"/>
    <cellStyle name="Normal 4 7 3 2 3" xfId="11566" xr:uid="{A4AC52F5-9A61-411F-9A1D-E7620D6A1A02}"/>
    <cellStyle name="Normal 4 7 3 3" xfId="5189" xr:uid="{00000000-0005-0000-0000-0000B9160000}"/>
    <cellStyle name="Normal 4 7 3 3 2" xfId="13639" xr:uid="{BAA731F4-3A60-41B3-A7E2-7C1DE8CD0AEC}"/>
    <cellStyle name="Normal 4 7 3 4" xfId="9421" xr:uid="{20381A00-E1A1-47DF-B742-3FF65FFCEDD1}"/>
    <cellStyle name="Normal 4 7 4" xfId="1295" xr:uid="{00000000-0005-0000-0000-0000BA160000}"/>
    <cellStyle name="Normal 4 7 4 2" xfId="3525" xr:uid="{00000000-0005-0000-0000-0000BB160000}"/>
    <cellStyle name="Normal 4 7 4 2 2" xfId="7747" xr:uid="{00000000-0005-0000-0000-0000BC160000}"/>
    <cellStyle name="Normal 4 7 4 2 2 2" xfId="16197" xr:uid="{E50B11FE-02A7-4BDC-87DB-B3A465599639}"/>
    <cellStyle name="Normal 4 7 4 2 3" xfId="11979" xr:uid="{724A9A7F-7CE5-4857-A730-08E4991A53D3}"/>
    <cellStyle name="Normal 4 7 4 3" xfId="5602" xr:uid="{00000000-0005-0000-0000-0000BD160000}"/>
    <cellStyle name="Normal 4 7 4 3 2" xfId="14052" xr:uid="{EED69EBA-252D-4D24-A829-71008FBCB8AA}"/>
    <cellStyle name="Normal 4 7 4 4" xfId="9834" xr:uid="{015CF070-BD87-4DBF-8314-79F3985B5411}"/>
    <cellStyle name="Normal 4 7 5" xfId="1708" xr:uid="{00000000-0005-0000-0000-0000BE160000}"/>
    <cellStyle name="Normal 4 7 5 2" xfId="3938" xr:uid="{00000000-0005-0000-0000-0000BF160000}"/>
    <cellStyle name="Normal 4 7 5 2 2" xfId="8160" xr:uid="{00000000-0005-0000-0000-0000C0160000}"/>
    <cellStyle name="Normal 4 7 5 2 2 2" xfId="16610" xr:uid="{330CC9F5-1DA6-466B-B2EA-58236EBF9971}"/>
    <cellStyle name="Normal 4 7 5 2 3" xfId="12392" xr:uid="{20F5363F-C643-48DD-80C9-CC13C334867B}"/>
    <cellStyle name="Normal 4 7 5 3" xfId="6015" xr:uid="{00000000-0005-0000-0000-0000C1160000}"/>
    <cellStyle name="Normal 4 7 5 3 2" xfId="14465" xr:uid="{FFC593BF-02B6-42D9-8BC1-2C58E65B602C}"/>
    <cellStyle name="Normal 4 7 5 4" xfId="10247" xr:uid="{FC0E4A2B-D348-494E-BE06-9FE4BD9863DC}"/>
    <cellStyle name="Normal 4 7 6" xfId="2122" xr:uid="{00000000-0005-0000-0000-0000C2160000}"/>
    <cellStyle name="Normal 4 7 6 2" xfId="4351" xr:uid="{00000000-0005-0000-0000-0000C3160000}"/>
    <cellStyle name="Normal 4 7 6 2 2" xfId="8573" xr:uid="{00000000-0005-0000-0000-0000C4160000}"/>
    <cellStyle name="Normal 4 7 6 2 2 2" xfId="17023" xr:uid="{202CB45E-83D5-458A-B6BD-49DAFF59379A}"/>
    <cellStyle name="Normal 4 7 6 2 3" xfId="12805" xr:uid="{25CF144D-4A74-44AB-8C56-DA21A450F27B}"/>
    <cellStyle name="Normal 4 7 6 3" xfId="6428" xr:uid="{00000000-0005-0000-0000-0000C5160000}"/>
    <cellStyle name="Normal 4 7 6 3 2" xfId="14878" xr:uid="{852960EF-476C-47DC-9425-978455B6646D}"/>
    <cellStyle name="Normal 4 7 6 4" xfId="10660" xr:uid="{25FC3569-C616-4ECF-882B-0322C7EE1467}"/>
    <cellStyle name="Normal 4 7 7" xfId="2558" xr:uid="{00000000-0005-0000-0000-0000C6160000}"/>
    <cellStyle name="Normal 4 7 7 2" xfId="6841" xr:uid="{00000000-0005-0000-0000-0000C7160000}"/>
    <cellStyle name="Normal 4 7 7 2 2" xfId="15291" xr:uid="{A4CFCE3A-2D49-4858-B3EE-64CD3E534EF8}"/>
    <cellStyle name="Normal 4 7 7 3" xfId="11073" xr:uid="{111ED513-1510-41F1-AADA-3EF7829E4E75}"/>
    <cellStyle name="Normal 4 7 8" xfId="4776" xr:uid="{00000000-0005-0000-0000-0000C8160000}"/>
    <cellStyle name="Normal 4 7 8 2" xfId="13226" xr:uid="{91503FF7-E168-4A83-9F72-667EAC32985D}"/>
    <cellStyle name="Normal 4 7 9" xfId="9008" xr:uid="{748A434B-164B-4B76-A892-641A17DD60B9}"/>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67120DCA-BDFE-410B-AB52-A3151AF76965}"/>
    <cellStyle name="Normal 4 8 2 2 3" xfId="11568" xr:uid="{DE086494-578C-455A-A0AC-ACBA3B26D49D}"/>
    <cellStyle name="Normal 4 8 2 3" xfId="5191" xr:uid="{00000000-0005-0000-0000-0000CD160000}"/>
    <cellStyle name="Normal 4 8 2 3 2" xfId="13641" xr:uid="{7C715CA8-0919-46DB-B33A-2D5373B38CEE}"/>
    <cellStyle name="Normal 4 8 2 4" xfId="9423" xr:uid="{4E49AE51-7BB5-4A64-9797-6BFB559BE93A}"/>
    <cellStyle name="Normal 4 8 3" xfId="1297" xr:uid="{00000000-0005-0000-0000-0000CE160000}"/>
    <cellStyle name="Normal 4 8 3 2" xfId="3527" xr:uid="{00000000-0005-0000-0000-0000CF160000}"/>
    <cellStyle name="Normal 4 8 3 2 2" xfId="7749" xr:uid="{00000000-0005-0000-0000-0000D0160000}"/>
    <cellStyle name="Normal 4 8 3 2 2 2" xfId="16199" xr:uid="{BFD5F9C6-969F-4E6E-9F78-173E7C888365}"/>
    <cellStyle name="Normal 4 8 3 2 3" xfId="11981" xr:uid="{3CD9A3DA-25E8-4D18-B661-EB19F20D7FF6}"/>
    <cellStyle name="Normal 4 8 3 3" xfId="5604" xr:uid="{00000000-0005-0000-0000-0000D1160000}"/>
    <cellStyle name="Normal 4 8 3 3 2" xfId="14054" xr:uid="{B8B34398-7FDB-4079-BB06-8BABABB8FF5B}"/>
    <cellStyle name="Normal 4 8 3 4" xfId="9836" xr:uid="{29C04BA3-DC6A-40EA-8BE0-2D96732825C2}"/>
    <cellStyle name="Normal 4 8 4" xfId="1710" xr:uid="{00000000-0005-0000-0000-0000D2160000}"/>
    <cellStyle name="Normal 4 8 4 2" xfId="3940" xr:uid="{00000000-0005-0000-0000-0000D3160000}"/>
    <cellStyle name="Normal 4 8 4 2 2" xfId="8162" xr:uid="{00000000-0005-0000-0000-0000D4160000}"/>
    <cellStyle name="Normal 4 8 4 2 2 2" xfId="16612" xr:uid="{B17CC369-7284-45E6-863A-425E97903A18}"/>
    <cellStyle name="Normal 4 8 4 2 3" xfId="12394" xr:uid="{81599FDE-1CFE-416B-87A6-00840ACA90B5}"/>
    <cellStyle name="Normal 4 8 4 3" xfId="6017" xr:uid="{00000000-0005-0000-0000-0000D5160000}"/>
    <cellStyle name="Normal 4 8 4 3 2" xfId="14467" xr:uid="{AD62A416-88E6-4A9A-9602-94B9F17FCA7A}"/>
    <cellStyle name="Normal 4 8 4 4" xfId="10249" xr:uid="{AB796144-465B-4972-9588-2DB6EF8B2BEB}"/>
    <cellStyle name="Normal 4 8 5" xfId="2124" xr:uid="{00000000-0005-0000-0000-0000D6160000}"/>
    <cellStyle name="Normal 4 8 5 2" xfId="4353" xr:uid="{00000000-0005-0000-0000-0000D7160000}"/>
    <cellStyle name="Normal 4 8 5 2 2" xfId="8575" xr:uid="{00000000-0005-0000-0000-0000D8160000}"/>
    <cellStyle name="Normal 4 8 5 2 2 2" xfId="17025" xr:uid="{FABCF2A1-E89C-46E5-927E-04F7E65AA91D}"/>
    <cellStyle name="Normal 4 8 5 2 3" xfId="12807" xr:uid="{06BEAE9C-54A5-4C99-A5B1-494DF0B339B3}"/>
    <cellStyle name="Normal 4 8 5 3" xfId="6430" xr:uid="{00000000-0005-0000-0000-0000D9160000}"/>
    <cellStyle name="Normal 4 8 5 3 2" xfId="14880" xr:uid="{0700C519-2138-4BB5-8728-56D598F188C7}"/>
    <cellStyle name="Normal 4 8 5 4" xfId="10662" xr:uid="{FA938F8F-ABCD-42D3-9812-466B7CB50792}"/>
    <cellStyle name="Normal 4 8 6" xfId="2560" xr:uid="{00000000-0005-0000-0000-0000DA160000}"/>
    <cellStyle name="Normal 4 8 6 2" xfId="6843" xr:uid="{00000000-0005-0000-0000-0000DB160000}"/>
    <cellStyle name="Normal 4 8 6 2 2" xfId="15293" xr:uid="{6BD1CBFC-1D23-46AE-A7AE-0BC277994D29}"/>
    <cellStyle name="Normal 4 8 6 3" xfId="11075" xr:uid="{BEDB635D-B8AB-4D61-A1BB-4CD6233B8AF9}"/>
    <cellStyle name="Normal 4 8 7" xfId="4778" xr:uid="{00000000-0005-0000-0000-0000DC160000}"/>
    <cellStyle name="Normal 4 8 7 2" xfId="13228" xr:uid="{C1A3822E-1631-473D-BEAE-5BF6351C0115}"/>
    <cellStyle name="Normal 4 8 8" xfId="9010" xr:uid="{3763C8F1-52FB-40C3-8C2E-F128AA7CB450}"/>
    <cellStyle name="Normal 4 9" xfId="4715" xr:uid="{00000000-0005-0000-0000-0000DD160000}"/>
    <cellStyle name="Normal 4 9 2" xfId="13165" xr:uid="{53AF728C-93BA-4C5D-99F0-26C0BA9E95FD}"/>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DDE78AC4-E996-44DA-981B-824AAFE82340}"/>
    <cellStyle name="Normal 5 10 2 3" xfId="12395" xr:uid="{BC1DE3AC-36B4-40B0-AEFE-342DCBFECC96}"/>
    <cellStyle name="Normal 5 10 3" xfId="6018" xr:uid="{00000000-0005-0000-0000-0000E2160000}"/>
    <cellStyle name="Normal 5 10 3 2" xfId="14468" xr:uid="{29FC8BC4-2C55-4B14-83B8-843CC1E6C8D9}"/>
    <cellStyle name="Normal 5 10 4" xfId="10250" xr:uid="{488F0D14-E5DC-46D4-B8B6-3687556ACA99}"/>
    <cellStyle name="Normal 5 11" xfId="2125" xr:uid="{00000000-0005-0000-0000-0000E3160000}"/>
    <cellStyle name="Normal 5 11 2" xfId="4354" xr:uid="{00000000-0005-0000-0000-0000E4160000}"/>
    <cellStyle name="Normal 5 11 2 2" xfId="8576" xr:uid="{00000000-0005-0000-0000-0000E5160000}"/>
    <cellStyle name="Normal 5 11 2 2 2" xfId="17026" xr:uid="{41D5184A-E00C-4CD8-A63F-99A55D0D0CDE}"/>
    <cellStyle name="Normal 5 11 2 3" xfId="12808" xr:uid="{56CBEA7F-6BEC-4A4A-A5C9-381C69DEC087}"/>
    <cellStyle name="Normal 5 11 3" xfId="6431" xr:uid="{00000000-0005-0000-0000-0000E6160000}"/>
    <cellStyle name="Normal 5 11 3 2" xfId="14881" xr:uid="{930C38C3-6C94-40D6-807E-CE28ABA4F121}"/>
    <cellStyle name="Normal 5 11 4" xfId="10663" xr:uid="{20B21F06-3E56-472C-BC40-D606F03B2335}"/>
    <cellStyle name="Normal 5 12" xfId="2561" xr:uid="{00000000-0005-0000-0000-0000E7160000}"/>
    <cellStyle name="Normal 5 12 2" xfId="6844" xr:uid="{00000000-0005-0000-0000-0000E8160000}"/>
    <cellStyle name="Normal 5 12 2 2" xfId="15294" xr:uid="{A93E326C-2B91-42B4-841A-4153FDF2E4B5}"/>
    <cellStyle name="Normal 5 12 3" xfId="11076" xr:uid="{E674D7A8-800A-4B93-91A6-96F9D9CBA36D}"/>
    <cellStyle name="Normal 5 13" xfId="4779" xr:uid="{00000000-0005-0000-0000-0000E9160000}"/>
    <cellStyle name="Normal 5 13 2" xfId="13229" xr:uid="{38F9F229-B048-4637-BE34-930D78C1145D}"/>
    <cellStyle name="Normal 5 14" xfId="9011" xr:uid="{78268CA7-0BE9-4CDC-B06B-C812F779D7A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466346D-DF58-4857-8ECD-152301DB0F13}"/>
    <cellStyle name="Normal 5 2 10 2 3" xfId="12809" xr:uid="{8871768B-F7A6-48A1-AD13-ECFD30AF4A0B}"/>
    <cellStyle name="Normal 5 2 10 3" xfId="6432" xr:uid="{00000000-0005-0000-0000-0000EE160000}"/>
    <cellStyle name="Normal 5 2 10 3 2" xfId="14882" xr:uid="{E26E0E97-BFC7-439C-8CE5-1DAEAA481E66}"/>
    <cellStyle name="Normal 5 2 10 4" xfId="10664" xr:uid="{AA42F2E6-9979-4C05-A0B8-825686FAD3DB}"/>
    <cellStyle name="Normal 5 2 11" xfId="2562" xr:uid="{00000000-0005-0000-0000-0000EF160000}"/>
    <cellStyle name="Normal 5 2 11 2" xfId="6845" xr:uid="{00000000-0005-0000-0000-0000F0160000}"/>
    <cellStyle name="Normal 5 2 11 2 2" xfId="15295" xr:uid="{F81BCA60-E957-4FE8-85F7-685E340533B4}"/>
    <cellStyle name="Normal 5 2 11 3" xfId="11077" xr:uid="{3F471F45-823D-4688-AEAB-89D268E28404}"/>
    <cellStyle name="Normal 5 2 12" xfId="4780" xr:uid="{00000000-0005-0000-0000-0000F1160000}"/>
    <cellStyle name="Normal 5 2 12 2" xfId="13230" xr:uid="{EEBC7EC7-DEC1-454A-ACCB-E9AD4F2F23BE}"/>
    <cellStyle name="Normal 5 2 13" xfId="9012" xr:uid="{5BD6D536-3AA4-4250-925C-70D145341B98}"/>
    <cellStyle name="Normal 5 2 2" xfId="408" xr:uid="{00000000-0005-0000-0000-0000F2160000}"/>
    <cellStyle name="Normal 5 2 2 10" xfId="2563" xr:uid="{00000000-0005-0000-0000-0000F3160000}"/>
    <cellStyle name="Normal 5 2 2 10 2" xfId="6846" xr:uid="{00000000-0005-0000-0000-0000F4160000}"/>
    <cellStyle name="Normal 5 2 2 10 2 2" xfId="15296" xr:uid="{968D9F0F-E2A1-4C64-8ABC-C2F91DB46177}"/>
    <cellStyle name="Normal 5 2 2 10 3" xfId="11078" xr:uid="{315A9C5A-3AE5-47C4-B50D-700184F82840}"/>
    <cellStyle name="Normal 5 2 2 11" xfId="4781" xr:uid="{00000000-0005-0000-0000-0000F5160000}"/>
    <cellStyle name="Normal 5 2 2 11 2" xfId="13231" xr:uid="{003DD0BE-3148-496D-BCCE-EF4BF140F49A}"/>
    <cellStyle name="Normal 5 2 2 12" xfId="9013" xr:uid="{EDC41322-5F3F-445C-8338-C98EF145E797}"/>
    <cellStyle name="Normal 5 2 2 2" xfId="409" xr:uid="{00000000-0005-0000-0000-0000F6160000}"/>
    <cellStyle name="Normal 5 2 2 2 10" xfId="4782" xr:uid="{00000000-0005-0000-0000-0000F7160000}"/>
    <cellStyle name="Normal 5 2 2 2 10 2" xfId="13232" xr:uid="{20FC3008-F387-49F6-A35E-CB70B6CED39F}"/>
    <cellStyle name="Normal 5 2 2 2 11" xfId="9014" xr:uid="{9F1F4EC0-A4DD-4F80-BBEC-8F31133DF6C2}"/>
    <cellStyle name="Normal 5 2 2 2 2" xfId="410" xr:uid="{00000000-0005-0000-0000-0000F8160000}"/>
    <cellStyle name="Normal 5 2 2 2 2 10" xfId="9015" xr:uid="{F16B8990-E063-490B-A99C-A018A0DEC727}"/>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60D8B767-577D-4D75-A549-8364FF003BF3}"/>
    <cellStyle name="Normal 5 2 2 2 2 2 2 2 2 3" xfId="11575" xr:uid="{A4FB0493-B615-4297-B745-75A5C43F6F1F}"/>
    <cellStyle name="Normal 5 2 2 2 2 2 2 2 3" xfId="5198" xr:uid="{00000000-0005-0000-0000-0000FE160000}"/>
    <cellStyle name="Normal 5 2 2 2 2 2 2 2 3 2" xfId="13648" xr:uid="{EB772057-726B-4740-97B6-9768AA775100}"/>
    <cellStyle name="Normal 5 2 2 2 2 2 2 2 4" xfId="9430" xr:uid="{DE81ED31-43B8-4DD7-B9B8-09364A4C97FD}"/>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B7CF00B2-EC0A-4AFD-A487-4EEB47612C07}"/>
    <cellStyle name="Normal 5 2 2 2 2 2 2 3 2 3" xfId="11988" xr:uid="{04B7BC3B-0ECB-4494-B590-4BFF41D886B5}"/>
    <cellStyle name="Normal 5 2 2 2 2 2 2 3 3" xfId="5611" xr:uid="{00000000-0005-0000-0000-000002170000}"/>
    <cellStyle name="Normal 5 2 2 2 2 2 2 3 3 2" xfId="14061" xr:uid="{B96D278D-25BB-413B-9C8D-261B7BD088EA}"/>
    <cellStyle name="Normal 5 2 2 2 2 2 2 3 4" xfId="9843" xr:uid="{5D29195D-039E-491F-BFE0-ADDBD225F583}"/>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8642A46C-0129-4849-AF9D-58E2D22F3B91}"/>
    <cellStyle name="Normal 5 2 2 2 2 2 2 4 2 3" xfId="12401" xr:uid="{A17A015A-F4D0-463B-B022-90976C3698F4}"/>
    <cellStyle name="Normal 5 2 2 2 2 2 2 4 3" xfId="6024" xr:uid="{00000000-0005-0000-0000-000006170000}"/>
    <cellStyle name="Normal 5 2 2 2 2 2 2 4 3 2" xfId="14474" xr:uid="{E5E777B9-1EE8-46D7-906E-24BEA0E7C49B}"/>
    <cellStyle name="Normal 5 2 2 2 2 2 2 4 4" xfId="10256" xr:uid="{437FCB15-C99C-4816-88E0-45BDE057F81B}"/>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8811D6AB-790E-491D-941D-164421BE9642}"/>
    <cellStyle name="Normal 5 2 2 2 2 2 2 5 2 3" xfId="12814" xr:uid="{41ADCC63-F119-40E2-83D8-1217FDAC04AD}"/>
    <cellStyle name="Normal 5 2 2 2 2 2 2 5 3" xfId="6437" xr:uid="{00000000-0005-0000-0000-00000A170000}"/>
    <cellStyle name="Normal 5 2 2 2 2 2 2 5 3 2" xfId="14887" xr:uid="{00D10D3A-28E5-42E8-B235-E93D2AC917FC}"/>
    <cellStyle name="Normal 5 2 2 2 2 2 2 5 4" xfId="10669" xr:uid="{0860B773-02F7-4279-8DF8-D25DC181274D}"/>
    <cellStyle name="Normal 5 2 2 2 2 2 2 6" xfId="2567" xr:uid="{00000000-0005-0000-0000-00000B170000}"/>
    <cellStyle name="Normal 5 2 2 2 2 2 2 6 2" xfId="6850" xr:uid="{00000000-0005-0000-0000-00000C170000}"/>
    <cellStyle name="Normal 5 2 2 2 2 2 2 6 2 2" xfId="15300" xr:uid="{21EFB3F4-C575-4794-AB1B-56EE9DD11F3E}"/>
    <cellStyle name="Normal 5 2 2 2 2 2 2 6 3" xfId="11082" xr:uid="{AE22DF7B-2A3A-4EF8-80C1-9C9B4FAA34E5}"/>
    <cellStyle name="Normal 5 2 2 2 2 2 2 7" xfId="4785" xr:uid="{00000000-0005-0000-0000-00000D170000}"/>
    <cellStyle name="Normal 5 2 2 2 2 2 2 7 2" xfId="13235" xr:uid="{DC9903F1-FF51-48D9-B170-47E095B64844}"/>
    <cellStyle name="Normal 5 2 2 2 2 2 2 8" xfId="9017" xr:uid="{E39A4CAC-A92A-48C9-945B-8AA42119D576}"/>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6BE359A0-8FFB-4352-B7B5-3FBA97453933}"/>
    <cellStyle name="Normal 5 2 2 2 2 2 3 2 3" xfId="11574" xr:uid="{626F5AC9-297C-45EE-941E-9EB9468121ED}"/>
    <cellStyle name="Normal 5 2 2 2 2 2 3 3" xfId="5197" xr:uid="{00000000-0005-0000-0000-000011170000}"/>
    <cellStyle name="Normal 5 2 2 2 2 2 3 3 2" xfId="13647" xr:uid="{0B3BC2A3-44A1-4968-BCD5-AA93C4046DB6}"/>
    <cellStyle name="Normal 5 2 2 2 2 2 3 4" xfId="9429" xr:uid="{9F58DCC8-61F9-44B2-AE19-53B3E615D66E}"/>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6218CF7F-678D-4C04-985A-35F74465F310}"/>
    <cellStyle name="Normal 5 2 2 2 2 2 4 2 3" xfId="11987" xr:uid="{18832BF0-63F0-4E0C-8E56-830E434B26FA}"/>
    <cellStyle name="Normal 5 2 2 2 2 2 4 3" xfId="5610" xr:uid="{00000000-0005-0000-0000-000015170000}"/>
    <cellStyle name="Normal 5 2 2 2 2 2 4 3 2" xfId="14060" xr:uid="{B3ADEA13-439F-40AB-8214-D11170245B88}"/>
    <cellStyle name="Normal 5 2 2 2 2 2 4 4" xfId="9842" xr:uid="{83D3EDFE-040E-41C9-8292-0ED7C2F85922}"/>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9AA8C0EA-BD36-46B3-9074-07716C386AFB}"/>
    <cellStyle name="Normal 5 2 2 2 2 2 5 2 3" xfId="12400" xr:uid="{A86A3171-DE43-4FC6-A860-B35320F08AB1}"/>
    <cellStyle name="Normal 5 2 2 2 2 2 5 3" xfId="6023" xr:uid="{00000000-0005-0000-0000-000019170000}"/>
    <cellStyle name="Normal 5 2 2 2 2 2 5 3 2" xfId="14473" xr:uid="{8E4F7B84-01A0-45FA-9675-B3BC18D16191}"/>
    <cellStyle name="Normal 5 2 2 2 2 2 5 4" xfId="10255" xr:uid="{956D3B90-B14B-458D-8D91-A7494278AA57}"/>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85895106-F08F-48AC-8810-CDADB6D35A31}"/>
    <cellStyle name="Normal 5 2 2 2 2 2 6 2 3" xfId="12813" xr:uid="{3AE4F0F7-76D7-422F-8CC5-42CBAF33FE69}"/>
    <cellStyle name="Normal 5 2 2 2 2 2 6 3" xfId="6436" xr:uid="{00000000-0005-0000-0000-00001D170000}"/>
    <cellStyle name="Normal 5 2 2 2 2 2 6 3 2" xfId="14886" xr:uid="{464106FF-348F-42D8-82FB-B26188CF0221}"/>
    <cellStyle name="Normal 5 2 2 2 2 2 6 4" xfId="10668" xr:uid="{9EA90114-48A8-4F82-9D02-A42ED1122A17}"/>
    <cellStyle name="Normal 5 2 2 2 2 2 7" xfId="2566" xr:uid="{00000000-0005-0000-0000-00001E170000}"/>
    <cellStyle name="Normal 5 2 2 2 2 2 7 2" xfId="6849" xr:uid="{00000000-0005-0000-0000-00001F170000}"/>
    <cellStyle name="Normal 5 2 2 2 2 2 7 2 2" xfId="15299" xr:uid="{722D2072-88C1-41A7-B2B8-4757BA561B77}"/>
    <cellStyle name="Normal 5 2 2 2 2 2 7 3" xfId="11081" xr:uid="{E421D52B-B26E-45C5-956B-A9DD9D22E01E}"/>
    <cellStyle name="Normal 5 2 2 2 2 2 8" xfId="4784" xr:uid="{00000000-0005-0000-0000-000020170000}"/>
    <cellStyle name="Normal 5 2 2 2 2 2 8 2" xfId="13234" xr:uid="{E2F0C541-D268-4020-BE8C-286AB221E1C2}"/>
    <cellStyle name="Normal 5 2 2 2 2 2 9" xfId="9016" xr:uid="{F7F52C27-5B36-4A6C-8F88-21A463D9FA19}"/>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1C86F977-A9F6-420F-A960-890F9CCD629F}"/>
    <cellStyle name="Normal 5 2 2 2 2 3 2 2 3" xfId="11576" xr:uid="{6B75E537-808C-4C92-8A12-3E61A5200C4F}"/>
    <cellStyle name="Normal 5 2 2 2 2 3 2 3" xfId="5199" xr:uid="{00000000-0005-0000-0000-000025170000}"/>
    <cellStyle name="Normal 5 2 2 2 2 3 2 3 2" xfId="13649" xr:uid="{CED2C8A7-51CB-40F2-8677-2ECDAB47B5C1}"/>
    <cellStyle name="Normal 5 2 2 2 2 3 2 4" xfId="9431" xr:uid="{052A0296-6A0E-46BD-9A8F-2315AD09B64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ED370EAC-C254-4FDA-BDA7-4C22C14F32E0}"/>
    <cellStyle name="Normal 5 2 2 2 2 3 3 2 3" xfId="11989" xr:uid="{3B00066B-7542-409B-A25D-FD9FF4C24D41}"/>
    <cellStyle name="Normal 5 2 2 2 2 3 3 3" xfId="5612" xr:uid="{00000000-0005-0000-0000-000029170000}"/>
    <cellStyle name="Normal 5 2 2 2 2 3 3 3 2" xfId="14062" xr:uid="{F7414431-04AE-48B5-A2A9-45D331C4AA2A}"/>
    <cellStyle name="Normal 5 2 2 2 2 3 3 4" xfId="9844" xr:uid="{24689272-9995-4F23-A515-0C233E1BE0AA}"/>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820614E8-4168-47E5-9E25-70E4A488F011}"/>
    <cellStyle name="Normal 5 2 2 2 2 3 4 2 3" xfId="12402" xr:uid="{0C5880E6-2098-4BD9-9392-9082F43B916D}"/>
    <cellStyle name="Normal 5 2 2 2 2 3 4 3" xfId="6025" xr:uid="{00000000-0005-0000-0000-00002D170000}"/>
    <cellStyle name="Normal 5 2 2 2 2 3 4 3 2" xfId="14475" xr:uid="{7505B99C-DE93-45A9-AF5C-41D8D409B583}"/>
    <cellStyle name="Normal 5 2 2 2 2 3 4 4" xfId="10257" xr:uid="{E3C6A2DA-6F45-4389-8973-E5CE0FB9E973}"/>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64DA3DA5-B0EE-4FD0-87C2-05650DBD0FDA}"/>
    <cellStyle name="Normal 5 2 2 2 2 3 5 2 3" xfId="12815" xr:uid="{7CC0942B-0D87-483A-8CBC-6B29A2BEF80D}"/>
    <cellStyle name="Normal 5 2 2 2 2 3 5 3" xfId="6438" xr:uid="{00000000-0005-0000-0000-000031170000}"/>
    <cellStyle name="Normal 5 2 2 2 2 3 5 3 2" xfId="14888" xr:uid="{57C1B749-0505-4D57-9E42-FDF56E86FCAF}"/>
    <cellStyle name="Normal 5 2 2 2 2 3 5 4" xfId="10670" xr:uid="{5DB7BCDE-294B-4927-B740-0E2142A9D5E6}"/>
    <cellStyle name="Normal 5 2 2 2 2 3 6" xfId="2568" xr:uid="{00000000-0005-0000-0000-000032170000}"/>
    <cellStyle name="Normal 5 2 2 2 2 3 6 2" xfId="6851" xr:uid="{00000000-0005-0000-0000-000033170000}"/>
    <cellStyle name="Normal 5 2 2 2 2 3 6 2 2" xfId="15301" xr:uid="{BCF629DA-0C9F-4668-9426-671A9C3A9FFB}"/>
    <cellStyle name="Normal 5 2 2 2 2 3 6 3" xfId="11083" xr:uid="{08DB6DB7-BECE-4E1D-9783-0A62D0A5ABC2}"/>
    <cellStyle name="Normal 5 2 2 2 2 3 7" xfId="4786" xr:uid="{00000000-0005-0000-0000-000034170000}"/>
    <cellStyle name="Normal 5 2 2 2 2 3 7 2" xfId="13236" xr:uid="{28E05804-2DA4-401F-BBC4-DA34FE7A76B1}"/>
    <cellStyle name="Normal 5 2 2 2 2 3 8" xfId="9018" xr:uid="{C86ADBD7-FE2C-418F-AF44-2994D4FEC0C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81F31E24-9EB8-4CBD-8C20-2B7FB7CB04C8}"/>
    <cellStyle name="Normal 5 2 2 2 2 4 2 3" xfId="11573" xr:uid="{E99A60A6-4318-4CC5-8550-7010482F6C93}"/>
    <cellStyle name="Normal 5 2 2 2 2 4 3" xfId="5196" xr:uid="{00000000-0005-0000-0000-000038170000}"/>
    <cellStyle name="Normal 5 2 2 2 2 4 3 2" xfId="13646" xr:uid="{71F2E5D4-6231-4310-BD97-31AACDB57A86}"/>
    <cellStyle name="Normal 5 2 2 2 2 4 4" xfId="9428" xr:uid="{05E231B0-69CD-40E1-897B-89944E8164A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13C2D491-D49D-42E5-B074-60AC8C330BE2}"/>
    <cellStyle name="Normal 5 2 2 2 2 5 2 3" xfId="11986" xr:uid="{2AF860C6-8D7A-4780-87AA-C88876F5CF12}"/>
    <cellStyle name="Normal 5 2 2 2 2 5 3" xfId="5609" xr:uid="{00000000-0005-0000-0000-00003C170000}"/>
    <cellStyle name="Normal 5 2 2 2 2 5 3 2" xfId="14059" xr:uid="{8825E134-3A39-41FF-B3EB-4F76ADA93DC9}"/>
    <cellStyle name="Normal 5 2 2 2 2 5 4" xfId="9841" xr:uid="{C8E4BC3F-AB64-44CC-A7DD-EFAB2B574218}"/>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BAD58F59-4ED7-45B7-9D9A-BC8BBFC426CE}"/>
    <cellStyle name="Normal 5 2 2 2 2 6 2 3" xfId="12399" xr:uid="{3D67DA9C-C939-450A-9AD8-C6541D7C5AF6}"/>
    <cellStyle name="Normal 5 2 2 2 2 6 3" xfId="6022" xr:uid="{00000000-0005-0000-0000-000040170000}"/>
    <cellStyle name="Normal 5 2 2 2 2 6 3 2" xfId="14472" xr:uid="{6F59D5EA-7356-4024-8587-9AF14BDB4A69}"/>
    <cellStyle name="Normal 5 2 2 2 2 6 4" xfId="10254" xr:uid="{BD64D630-8FEE-4E2B-B087-C03F05DDFB9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968B2E02-909C-4EC2-A633-61315137BC98}"/>
    <cellStyle name="Normal 5 2 2 2 2 7 2 3" xfId="12812" xr:uid="{E8138A17-5ECD-4F01-A076-65D22696F090}"/>
    <cellStyle name="Normal 5 2 2 2 2 7 3" xfId="6435" xr:uid="{00000000-0005-0000-0000-000044170000}"/>
    <cellStyle name="Normal 5 2 2 2 2 7 3 2" xfId="14885" xr:uid="{920A7E0F-24C9-4DD7-A79C-A5CD6EBB2F18}"/>
    <cellStyle name="Normal 5 2 2 2 2 7 4" xfId="10667" xr:uid="{6AA72F85-CF14-47D3-8B5E-42D2A44BE2BD}"/>
    <cellStyle name="Normal 5 2 2 2 2 8" xfId="2565" xr:uid="{00000000-0005-0000-0000-000045170000}"/>
    <cellStyle name="Normal 5 2 2 2 2 8 2" xfId="6848" xr:uid="{00000000-0005-0000-0000-000046170000}"/>
    <cellStyle name="Normal 5 2 2 2 2 8 2 2" xfId="15298" xr:uid="{3FBBB57A-BFA0-450E-956F-4AE6CD6CBB60}"/>
    <cellStyle name="Normal 5 2 2 2 2 8 3" xfId="11080" xr:uid="{FDDCD43C-6BD8-4945-89C0-F3098875DF7F}"/>
    <cellStyle name="Normal 5 2 2 2 2 9" xfId="4783" xr:uid="{00000000-0005-0000-0000-000047170000}"/>
    <cellStyle name="Normal 5 2 2 2 2 9 2" xfId="13233" xr:uid="{50E4BCA1-E897-49F7-8BA6-2B46D492EB13}"/>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2C3901C4-E3C1-4A22-AA68-A79FCB65C8A5}"/>
    <cellStyle name="Normal 5 2 2 2 3 2 2 2 3" xfId="11578" xr:uid="{29B9CC3D-DD5B-4545-8B20-F81376D919EA}"/>
    <cellStyle name="Normal 5 2 2 2 3 2 2 3" xfId="5201" xr:uid="{00000000-0005-0000-0000-00004D170000}"/>
    <cellStyle name="Normal 5 2 2 2 3 2 2 3 2" xfId="13651" xr:uid="{E4C6860C-4635-4DED-959D-BC566DA3A50E}"/>
    <cellStyle name="Normal 5 2 2 2 3 2 2 4" xfId="9433" xr:uid="{288DC1F5-8D0D-483F-AF7D-357E056AFBFE}"/>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8DDAA592-59AE-423B-B93A-8F19AEE70EAE}"/>
    <cellStyle name="Normal 5 2 2 2 3 2 3 2 3" xfId="11991" xr:uid="{58644E25-A799-48EB-8562-7EF49E1D5758}"/>
    <cellStyle name="Normal 5 2 2 2 3 2 3 3" xfId="5614" xr:uid="{00000000-0005-0000-0000-000051170000}"/>
    <cellStyle name="Normal 5 2 2 2 3 2 3 3 2" xfId="14064" xr:uid="{B43B8501-9DA0-4E14-B30B-6D47BBDB5361}"/>
    <cellStyle name="Normal 5 2 2 2 3 2 3 4" xfId="9846" xr:uid="{A1CA123F-52DD-4F31-90E7-7FA521B030F9}"/>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D001E45C-1896-43D4-B000-B59A3825CA1A}"/>
    <cellStyle name="Normal 5 2 2 2 3 2 4 2 3" xfId="12404" xr:uid="{01D5F8B6-16EA-4FCC-8932-A798AD8655F2}"/>
    <cellStyle name="Normal 5 2 2 2 3 2 4 3" xfId="6027" xr:uid="{00000000-0005-0000-0000-000055170000}"/>
    <cellStyle name="Normal 5 2 2 2 3 2 4 3 2" xfId="14477" xr:uid="{ABDBC7DC-B764-4FA0-B7CC-0D08BC2EC830}"/>
    <cellStyle name="Normal 5 2 2 2 3 2 4 4" xfId="10259" xr:uid="{A05BD3B9-652D-4BEB-ACCC-27F65CF14ED8}"/>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55232491-2E3B-4D1F-9784-196EC7E76BC7}"/>
    <cellStyle name="Normal 5 2 2 2 3 2 5 2 3" xfId="12817" xr:uid="{89C93477-5BFE-4730-A687-5CC50DDBB369}"/>
    <cellStyle name="Normal 5 2 2 2 3 2 5 3" xfId="6440" xr:uid="{00000000-0005-0000-0000-000059170000}"/>
    <cellStyle name="Normal 5 2 2 2 3 2 5 3 2" xfId="14890" xr:uid="{5FD257A0-D7A8-46A5-A23E-05326B88D503}"/>
    <cellStyle name="Normal 5 2 2 2 3 2 5 4" xfId="10672" xr:uid="{519AB590-FA15-445C-B7EF-8F797EB8C183}"/>
    <cellStyle name="Normal 5 2 2 2 3 2 6" xfId="2570" xr:uid="{00000000-0005-0000-0000-00005A170000}"/>
    <cellStyle name="Normal 5 2 2 2 3 2 6 2" xfId="6853" xr:uid="{00000000-0005-0000-0000-00005B170000}"/>
    <cellStyle name="Normal 5 2 2 2 3 2 6 2 2" xfId="15303" xr:uid="{AAD7ADB6-D36C-4AF0-BD90-473F3FBAF065}"/>
    <cellStyle name="Normal 5 2 2 2 3 2 6 3" xfId="11085" xr:uid="{A4513151-0FD8-430D-81FC-47C1EF26F40D}"/>
    <cellStyle name="Normal 5 2 2 2 3 2 7" xfId="4788" xr:uid="{00000000-0005-0000-0000-00005C170000}"/>
    <cellStyle name="Normal 5 2 2 2 3 2 7 2" xfId="13238" xr:uid="{26FE055A-6B40-4E37-B402-798E19EBE403}"/>
    <cellStyle name="Normal 5 2 2 2 3 2 8" xfId="9020" xr:uid="{F056FDF5-5A73-4013-99DE-9452FE540B1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39392556-F621-4614-9508-6BB4950BA26E}"/>
    <cellStyle name="Normal 5 2 2 2 3 3 2 3" xfId="11577" xr:uid="{50F1D735-BE47-41D4-A759-094E6CAA7701}"/>
    <cellStyle name="Normal 5 2 2 2 3 3 3" xfId="5200" xr:uid="{00000000-0005-0000-0000-000060170000}"/>
    <cellStyle name="Normal 5 2 2 2 3 3 3 2" xfId="13650" xr:uid="{6EB08B39-7085-456A-8621-FD8ABB068FEB}"/>
    <cellStyle name="Normal 5 2 2 2 3 3 4" xfId="9432" xr:uid="{8AD95EA7-AFA9-453B-AFD7-DB27BA8D170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49741B7A-0081-4F36-BB9A-BD421100B576}"/>
    <cellStyle name="Normal 5 2 2 2 3 4 2 3" xfId="11990" xr:uid="{87DE17F3-91E4-4B4D-AAD3-7A3D3F4AECA2}"/>
    <cellStyle name="Normal 5 2 2 2 3 4 3" xfId="5613" xr:uid="{00000000-0005-0000-0000-000064170000}"/>
    <cellStyle name="Normal 5 2 2 2 3 4 3 2" xfId="14063" xr:uid="{27FA2C43-9719-4840-8AA1-97557F9D06D6}"/>
    <cellStyle name="Normal 5 2 2 2 3 4 4" xfId="9845" xr:uid="{61F098F5-0E36-418E-AC37-AE656C7083B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96237B38-AB33-4917-A080-94F67AF208D9}"/>
    <cellStyle name="Normal 5 2 2 2 3 5 2 3" xfId="12403" xr:uid="{92B1C817-B149-4FD2-B46A-9724C6438223}"/>
    <cellStyle name="Normal 5 2 2 2 3 5 3" xfId="6026" xr:uid="{00000000-0005-0000-0000-000068170000}"/>
    <cellStyle name="Normal 5 2 2 2 3 5 3 2" xfId="14476" xr:uid="{BB8FD359-DB73-4B1F-9224-50568491FD7C}"/>
    <cellStyle name="Normal 5 2 2 2 3 5 4" xfId="10258" xr:uid="{D4AEB46C-8248-4D49-83C0-C9C818560DC8}"/>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5FB18A4D-9A4C-458F-92A1-345882FAC57F}"/>
    <cellStyle name="Normal 5 2 2 2 3 6 2 3" xfId="12816" xr:uid="{123EB08E-625D-4C56-9477-340D0DCC7F53}"/>
    <cellStyle name="Normal 5 2 2 2 3 6 3" xfId="6439" xr:uid="{00000000-0005-0000-0000-00006C170000}"/>
    <cellStyle name="Normal 5 2 2 2 3 6 3 2" xfId="14889" xr:uid="{49144FDB-6B09-4518-ABE2-80654BDFEDDE}"/>
    <cellStyle name="Normal 5 2 2 2 3 6 4" xfId="10671" xr:uid="{7BED1E1B-0623-464C-A5C5-25290DCA239F}"/>
    <cellStyle name="Normal 5 2 2 2 3 7" xfId="2569" xr:uid="{00000000-0005-0000-0000-00006D170000}"/>
    <cellStyle name="Normal 5 2 2 2 3 7 2" xfId="6852" xr:uid="{00000000-0005-0000-0000-00006E170000}"/>
    <cellStyle name="Normal 5 2 2 2 3 7 2 2" xfId="15302" xr:uid="{2D827FC2-9011-4A80-BBEA-F7764E8E6EA1}"/>
    <cellStyle name="Normal 5 2 2 2 3 7 3" xfId="11084" xr:uid="{BC2B472A-944A-4EE1-9BBE-3ED876C133B0}"/>
    <cellStyle name="Normal 5 2 2 2 3 8" xfId="4787" xr:uid="{00000000-0005-0000-0000-00006F170000}"/>
    <cellStyle name="Normal 5 2 2 2 3 8 2" xfId="13237" xr:uid="{E459415C-2E89-45F5-AC36-FCBDB30EF98B}"/>
    <cellStyle name="Normal 5 2 2 2 3 9" xfId="9019" xr:uid="{A6CC438F-21C8-4B5B-A268-1F656A87B80E}"/>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D7F95984-7D52-43FF-9FAF-C3F0C32E9ACA}"/>
    <cellStyle name="Normal 5 2 2 2 4 2 2 3" xfId="11579" xr:uid="{EC0B3F96-B5F6-4E94-A4B7-07310690FC55}"/>
    <cellStyle name="Normal 5 2 2 2 4 2 3" xfId="5202" xr:uid="{00000000-0005-0000-0000-000074170000}"/>
    <cellStyle name="Normal 5 2 2 2 4 2 3 2" xfId="13652" xr:uid="{F2C911C4-5B88-4EAB-AA04-0B38EE609D70}"/>
    <cellStyle name="Normal 5 2 2 2 4 2 4" xfId="9434" xr:uid="{F8F9B3A9-61DC-4FB8-AC3A-3951F7E35949}"/>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C36BCD1B-6F56-4A16-A51B-E605F4C5B06A}"/>
    <cellStyle name="Normal 5 2 2 2 4 3 2 3" xfId="11992" xr:uid="{E197B9C4-9BB6-4275-9861-5DCCCF2EB683}"/>
    <cellStyle name="Normal 5 2 2 2 4 3 3" xfId="5615" xr:uid="{00000000-0005-0000-0000-000078170000}"/>
    <cellStyle name="Normal 5 2 2 2 4 3 3 2" xfId="14065" xr:uid="{8110FE7A-1348-49AC-B06D-1E515F15ED7D}"/>
    <cellStyle name="Normal 5 2 2 2 4 3 4" xfId="9847" xr:uid="{0E10F7C2-9D55-47D7-A7D6-1CDD1951AF9E}"/>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A7BC8E5A-CC7E-46C4-A75C-C369C4149E23}"/>
    <cellStyle name="Normal 5 2 2 2 4 4 2 3" xfId="12405" xr:uid="{64D617C5-0ABA-4F21-BD84-49AFDA048C1B}"/>
    <cellStyle name="Normal 5 2 2 2 4 4 3" xfId="6028" xr:uid="{00000000-0005-0000-0000-00007C170000}"/>
    <cellStyle name="Normal 5 2 2 2 4 4 3 2" xfId="14478" xr:uid="{CBFDBBB0-5D24-4748-A021-CB4932FBAFFF}"/>
    <cellStyle name="Normal 5 2 2 2 4 4 4" xfId="10260" xr:uid="{AC0FD31B-68F1-41DB-A3CC-95DF4924F80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2ACE3106-327F-4946-8B95-23C6A0D5A506}"/>
    <cellStyle name="Normal 5 2 2 2 4 5 2 3" xfId="12818" xr:uid="{B9AD1120-7CE6-4743-B3C3-53B24B496A70}"/>
    <cellStyle name="Normal 5 2 2 2 4 5 3" xfId="6441" xr:uid="{00000000-0005-0000-0000-000080170000}"/>
    <cellStyle name="Normal 5 2 2 2 4 5 3 2" xfId="14891" xr:uid="{0766275C-5FCA-4C14-892E-2997CD80C477}"/>
    <cellStyle name="Normal 5 2 2 2 4 5 4" xfId="10673" xr:uid="{8B02346A-E0DF-4C7F-8EC0-240952B431F2}"/>
    <cellStyle name="Normal 5 2 2 2 4 6" xfId="2571" xr:uid="{00000000-0005-0000-0000-000081170000}"/>
    <cellStyle name="Normal 5 2 2 2 4 6 2" xfId="6854" xr:uid="{00000000-0005-0000-0000-000082170000}"/>
    <cellStyle name="Normal 5 2 2 2 4 6 2 2" xfId="15304" xr:uid="{64BF9070-24D0-4830-A350-6CCB477CD668}"/>
    <cellStyle name="Normal 5 2 2 2 4 6 3" xfId="11086" xr:uid="{23E63726-1BCC-4C0D-AAA5-8F286CEBF7C8}"/>
    <cellStyle name="Normal 5 2 2 2 4 7" xfId="4789" xr:uid="{00000000-0005-0000-0000-000083170000}"/>
    <cellStyle name="Normal 5 2 2 2 4 7 2" xfId="13239" xr:uid="{FEE11738-448A-4209-8CB7-BF365F24C211}"/>
    <cellStyle name="Normal 5 2 2 2 4 8" xfId="9021" xr:uid="{DCF300A1-5DF0-485A-96BE-05CB41E70122}"/>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3BC96E25-AE74-4E9E-A0CA-BC21C04E2643}"/>
    <cellStyle name="Normal 5 2 2 2 5 2 3" xfId="11572" xr:uid="{6B9AB2DC-2C91-4D04-89D3-07D293DA6C05}"/>
    <cellStyle name="Normal 5 2 2 2 5 3" xfId="5195" xr:uid="{00000000-0005-0000-0000-000087170000}"/>
    <cellStyle name="Normal 5 2 2 2 5 3 2" xfId="13645" xr:uid="{206028AA-7FD9-48A7-A0B2-C100674BF5F2}"/>
    <cellStyle name="Normal 5 2 2 2 5 4" xfId="9427" xr:uid="{BADD0314-AF81-4A92-914B-FD8047199DB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C570E3E5-BD11-4703-8DAF-490514B3872E}"/>
    <cellStyle name="Normal 5 2 2 2 6 2 3" xfId="11985" xr:uid="{ADD182AE-B40E-4A8B-A9AE-6FF7B46FCAFF}"/>
    <cellStyle name="Normal 5 2 2 2 6 3" xfId="5608" xr:uid="{00000000-0005-0000-0000-00008B170000}"/>
    <cellStyle name="Normal 5 2 2 2 6 3 2" xfId="14058" xr:uid="{C4239AB9-2984-450E-B64F-34AC8D224D43}"/>
    <cellStyle name="Normal 5 2 2 2 6 4" xfId="9840" xr:uid="{FB573040-C793-4B3F-AF6F-0D0B4E09C2B4}"/>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61611B55-E9B1-4279-9672-F5CDC0308730}"/>
    <cellStyle name="Normal 5 2 2 2 7 2 3" xfId="12398" xr:uid="{C8E9E053-8F08-4435-8AFB-C5A54709B47D}"/>
    <cellStyle name="Normal 5 2 2 2 7 3" xfId="6021" xr:uid="{00000000-0005-0000-0000-00008F170000}"/>
    <cellStyle name="Normal 5 2 2 2 7 3 2" xfId="14471" xr:uid="{D9D6164B-7F6F-4009-BD7B-127BC173CB66}"/>
    <cellStyle name="Normal 5 2 2 2 7 4" xfId="10253" xr:uid="{F7FD52F4-37AB-4C92-B3FA-910F986DE2FD}"/>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0220B7FA-191C-4A38-B5F6-E631BC6285CA}"/>
    <cellStyle name="Normal 5 2 2 2 8 2 3" xfId="12811" xr:uid="{4ED66964-6625-4416-A56F-4D606EB94688}"/>
    <cellStyle name="Normal 5 2 2 2 8 3" xfId="6434" xr:uid="{00000000-0005-0000-0000-000093170000}"/>
    <cellStyle name="Normal 5 2 2 2 8 3 2" xfId="14884" xr:uid="{270864CD-3545-4FC9-8089-7C8211889A23}"/>
    <cellStyle name="Normal 5 2 2 2 8 4" xfId="10666" xr:uid="{1E5283AC-CA85-41F6-9851-984424BF108E}"/>
    <cellStyle name="Normal 5 2 2 2 9" xfId="2564" xr:uid="{00000000-0005-0000-0000-000094170000}"/>
    <cellStyle name="Normal 5 2 2 2 9 2" xfId="6847" xr:uid="{00000000-0005-0000-0000-000095170000}"/>
    <cellStyle name="Normal 5 2 2 2 9 2 2" xfId="15297" xr:uid="{8E88E0F8-E9D9-4AA4-A2F8-7CFDBFE8257A}"/>
    <cellStyle name="Normal 5 2 2 2 9 3" xfId="11079" xr:uid="{D2CD779E-3A0C-4AEE-95F9-883413034382}"/>
    <cellStyle name="Normal 5 2 2 3" xfId="417" xr:uid="{00000000-0005-0000-0000-000096170000}"/>
    <cellStyle name="Normal 5 2 2 3 10" xfId="9022" xr:uid="{320C417A-34CA-4595-82FE-548518DC554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E435ADE9-7162-496C-9782-4940CDBC23DA}"/>
    <cellStyle name="Normal 5 2 2 3 2 2 2 2 3" xfId="11582" xr:uid="{5599ACFA-6AFF-4876-AC83-88BB7D7D3188}"/>
    <cellStyle name="Normal 5 2 2 3 2 2 2 3" xfId="5205" xr:uid="{00000000-0005-0000-0000-00009C170000}"/>
    <cellStyle name="Normal 5 2 2 3 2 2 2 3 2" xfId="13655" xr:uid="{ECC85CB1-E42B-4C34-BED3-6EF29E70F9DC}"/>
    <cellStyle name="Normal 5 2 2 3 2 2 2 4" xfId="9437" xr:uid="{D5F7F70B-75B4-41A8-A35B-AF3B5AC5A7F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85E5A36C-0785-482D-9066-2270EF3045DA}"/>
    <cellStyle name="Normal 5 2 2 3 2 2 3 2 3" xfId="11995" xr:uid="{4549E476-49AC-42D3-9ED7-5E1BE582FBD2}"/>
    <cellStyle name="Normal 5 2 2 3 2 2 3 3" xfId="5618" xr:uid="{00000000-0005-0000-0000-0000A0170000}"/>
    <cellStyle name="Normal 5 2 2 3 2 2 3 3 2" xfId="14068" xr:uid="{B0636ECE-2E41-4F25-8827-0407FE6F4B4D}"/>
    <cellStyle name="Normal 5 2 2 3 2 2 3 4" xfId="9850" xr:uid="{07E42517-A371-46E9-8B2B-209B5465DCE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650231ED-7496-4960-AD29-2936BF75C222}"/>
    <cellStyle name="Normal 5 2 2 3 2 2 4 2 3" xfId="12408" xr:uid="{C1EB3260-F048-4079-8B28-3A277C8A6C94}"/>
    <cellStyle name="Normal 5 2 2 3 2 2 4 3" xfId="6031" xr:uid="{00000000-0005-0000-0000-0000A4170000}"/>
    <cellStyle name="Normal 5 2 2 3 2 2 4 3 2" xfId="14481" xr:uid="{803DEE18-EF84-4875-A6B4-3F971CCD9FF3}"/>
    <cellStyle name="Normal 5 2 2 3 2 2 4 4" xfId="10263" xr:uid="{B968318D-2D10-4D90-A473-F21CF02D471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9BDEB0AE-5101-4BEC-A66B-06D14EFD8B30}"/>
    <cellStyle name="Normal 5 2 2 3 2 2 5 2 3" xfId="12821" xr:uid="{8DBDB966-33B2-48BF-A47D-4ADE62265B71}"/>
    <cellStyle name="Normal 5 2 2 3 2 2 5 3" xfId="6444" xr:uid="{00000000-0005-0000-0000-0000A8170000}"/>
    <cellStyle name="Normal 5 2 2 3 2 2 5 3 2" xfId="14894" xr:uid="{77C9272D-DB5E-4B53-8B39-501B345830A8}"/>
    <cellStyle name="Normal 5 2 2 3 2 2 5 4" xfId="10676" xr:uid="{056E8DC9-FA1B-4D5F-B7D0-C3EDBA5628D8}"/>
    <cellStyle name="Normal 5 2 2 3 2 2 6" xfId="2574" xr:uid="{00000000-0005-0000-0000-0000A9170000}"/>
    <cellStyle name="Normal 5 2 2 3 2 2 6 2" xfId="6857" xr:uid="{00000000-0005-0000-0000-0000AA170000}"/>
    <cellStyle name="Normal 5 2 2 3 2 2 6 2 2" xfId="15307" xr:uid="{3EE34D75-A56A-434A-BD7F-83F76F4EA34D}"/>
    <cellStyle name="Normal 5 2 2 3 2 2 6 3" xfId="11089" xr:uid="{FBA6EA57-CD22-4D43-A614-0977DCFC3435}"/>
    <cellStyle name="Normal 5 2 2 3 2 2 7" xfId="4792" xr:uid="{00000000-0005-0000-0000-0000AB170000}"/>
    <cellStyle name="Normal 5 2 2 3 2 2 7 2" xfId="13242" xr:uid="{3988AD85-FC12-4C51-993C-F84DAD174DB9}"/>
    <cellStyle name="Normal 5 2 2 3 2 2 8" xfId="9024" xr:uid="{ECF57DF6-DBBF-4D76-A2F4-EE7BCB9C8D6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A131AC8A-B2DE-413D-9553-B7F3170A54BC}"/>
    <cellStyle name="Normal 5 2 2 3 2 3 2 3" xfId="11581" xr:uid="{05627F69-C788-41AF-AC7B-6174DBFD1009}"/>
    <cellStyle name="Normal 5 2 2 3 2 3 3" xfId="5204" xr:uid="{00000000-0005-0000-0000-0000AF170000}"/>
    <cellStyle name="Normal 5 2 2 3 2 3 3 2" xfId="13654" xr:uid="{06161C39-94C3-41B9-97D0-F1681DE86446}"/>
    <cellStyle name="Normal 5 2 2 3 2 3 4" xfId="9436" xr:uid="{4ECCDB08-D94A-401E-B01F-8C326182C89F}"/>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3329C6B0-51B3-460D-B88B-31C753AF0D1C}"/>
    <cellStyle name="Normal 5 2 2 3 2 4 2 3" xfId="11994" xr:uid="{0B297846-D2FD-4B08-8D0C-E73264CA7BDE}"/>
    <cellStyle name="Normal 5 2 2 3 2 4 3" xfId="5617" xr:uid="{00000000-0005-0000-0000-0000B3170000}"/>
    <cellStyle name="Normal 5 2 2 3 2 4 3 2" xfId="14067" xr:uid="{8A16CBE8-1521-4A64-88B5-BF879AC97873}"/>
    <cellStyle name="Normal 5 2 2 3 2 4 4" xfId="9849" xr:uid="{F7BC081A-1870-4321-95C9-E74F40CC73DA}"/>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9DCB8F78-FC08-4ADF-8EE8-35B3E22C2382}"/>
    <cellStyle name="Normal 5 2 2 3 2 5 2 3" xfId="12407" xr:uid="{80B812DC-4FA2-4477-9E15-A3DC6F89EAF6}"/>
    <cellStyle name="Normal 5 2 2 3 2 5 3" xfId="6030" xr:uid="{00000000-0005-0000-0000-0000B7170000}"/>
    <cellStyle name="Normal 5 2 2 3 2 5 3 2" xfId="14480" xr:uid="{EC97D6B5-33ED-4314-B627-C7FFD0838A63}"/>
    <cellStyle name="Normal 5 2 2 3 2 5 4" xfId="10262" xr:uid="{2F57EB72-DF25-45BD-8861-79EAEA2C54E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83077A65-BC1B-481E-90C3-014B98FA688A}"/>
    <cellStyle name="Normal 5 2 2 3 2 6 2 3" xfId="12820" xr:uid="{EF4A15A6-DCCB-4F9B-BAE5-843E2AE1101B}"/>
    <cellStyle name="Normal 5 2 2 3 2 6 3" xfId="6443" xr:uid="{00000000-0005-0000-0000-0000BB170000}"/>
    <cellStyle name="Normal 5 2 2 3 2 6 3 2" xfId="14893" xr:uid="{C90C6DE7-BE1F-4B07-A33B-CC7F82FE5AA2}"/>
    <cellStyle name="Normal 5 2 2 3 2 6 4" xfId="10675" xr:uid="{B88765BF-F3E0-45F2-9858-0728FE022317}"/>
    <cellStyle name="Normal 5 2 2 3 2 7" xfId="2573" xr:uid="{00000000-0005-0000-0000-0000BC170000}"/>
    <cellStyle name="Normal 5 2 2 3 2 7 2" xfId="6856" xr:uid="{00000000-0005-0000-0000-0000BD170000}"/>
    <cellStyle name="Normal 5 2 2 3 2 7 2 2" xfId="15306" xr:uid="{6D75EB3C-26D2-42AB-A5E3-E45A4930AB51}"/>
    <cellStyle name="Normal 5 2 2 3 2 7 3" xfId="11088" xr:uid="{4B1A1704-A9BD-4D68-96D0-8889BC1FBCF0}"/>
    <cellStyle name="Normal 5 2 2 3 2 8" xfId="4791" xr:uid="{00000000-0005-0000-0000-0000BE170000}"/>
    <cellStyle name="Normal 5 2 2 3 2 8 2" xfId="13241" xr:uid="{5EA0CA7C-4D4B-44E0-87A7-8185D51F4AD0}"/>
    <cellStyle name="Normal 5 2 2 3 2 9" xfId="9023" xr:uid="{63D005DB-6D0B-429F-81BC-771F4A9E673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468D894D-4ADC-4349-BD53-11DFB06D3CD0}"/>
    <cellStyle name="Normal 5 2 2 3 3 2 2 3" xfId="11583" xr:uid="{B9B8DFF7-ECC5-4F0E-B78A-67525C862B78}"/>
    <cellStyle name="Normal 5 2 2 3 3 2 3" xfId="5206" xr:uid="{00000000-0005-0000-0000-0000C3170000}"/>
    <cellStyle name="Normal 5 2 2 3 3 2 3 2" xfId="13656" xr:uid="{38C04B46-F42B-4654-8856-EAE87F50A4C9}"/>
    <cellStyle name="Normal 5 2 2 3 3 2 4" xfId="9438" xr:uid="{1EA9CA3F-7D3D-49A3-8644-C0FF95D78709}"/>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154B59D8-05D6-44B3-BCFD-84C82DD1F72A}"/>
    <cellStyle name="Normal 5 2 2 3 3 3 2 3" xfId="11996" xr:uid="{287BBA88-F5E6-4E67-8F11-588E4AAE771A}"/>
    <cellStyle name="Normal 5 2 2 3 3 3 3" xfId="5619" xr:uid="{00000000-0005-0000-0000-0000C7170000}"/>
    <cellStyle name="Normal 5 2 2 3 3 3 3 2" xfId="14069" xr:uid="{643CFA30-4AF9-428C-A96C-7A889EB4BDA4}"/>
    <cellStyle name="Normal 5 2 2 3 3 3 4" xfId="9851" xr:uid="{854F8976-27AE-4A1B-92E1-B93FE64AE1A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51AE5107-B34C-4DAF-80B6-C69ABEAB49D3}"/>
    <cellStyle name="Normal 5 2 2 3 3 4 2 3" xfId="12409" xr:uid="{CC4D3412-8D4D-4040-A637-B8CCF840DE37}"/>
    <cellStyle name="Normal 5 2 2 3 3 4 3" xfId="6032" xr:uid="{00000000-0005-0000-0000-0000CB170000}"/>
    <cellStyle name="Normal 5 2 2 3 3 4 3 2" xfId="14482" xr:uid="{1D64AEDD-4EE1-4215-9A84-3921C4EDD9E3}"/>
    <cellStyle name="Normal 5 2 2 3 3 4 4" xfId="10264" xr:uid="{E25BF42D-F1BF-438E-9742-FBE980F4EF7F}"/>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CC2DBA2B-112F-474F-BD8E-A8AD9603AA07}"/>
    <cellStyle name="Normal 5 2 2 3 3 5 2 3" xfId="12822" xr:uid="{D9EAA09D-47DB-4230-A6D5-D0538F0DFDA3}"/>
    <cellStyle name="Normal 5 2 2 3 3 5 3" xfId="6445" xr:uid="{00000000-0005-0000-0000-0000CF170000}"/>
    <cellStyle name="Normal 5 2 2 3 3 5 3 2" xfId="14895" xr:uid="{D132595D-B3F1-407D-BBF3-172B297A1ADF}"/>
    <cellStyle name="Normal 5 2 2 3 3 5 4" xfId="10677" xr:uid="{49C04F87-FB81-45CB-B4E3-87809998AA96}"/>
    <cellStyle name="Normal 5 2 2 3 3 6" xfId="2575" xr:uid="{00000000-0005-0000-0000-0000D0170000}"/>
    <cellStyle name="Normal 5 2 2 3 3 6 2" xfId="6858" xr:uid="{00000000-0005-0000-0000-0000D1170000}"/>
    <cellStyle name="Normal 5 2 2 3 3 6 2 2" xfId="15308" xr:uid="{2CE2AA32-B81F-4C77-8ACE-FE3DE4B03405}"/>
    <cellStyle name="Normal 5 2 2 3 3 6 3" xfId="11090" xr:uid="{18383ADF-5D44-4878-82F6-41BA7455F2E1}"/>
    <cellStyle name="Normal 5 2 2 3 3 7" xfId="4793" xr:uid="{00000000-0005-0000-0000-0000D2170000}"/>
    <cellStyle name="Normal 5 2 2 3 3 7 2" xfId="13243" xr:uid="{1EC1E1F5-7462-41AB-B7B1-DB119CBD6CE9}"/>
    <cellStyle name="Normal 5 2 2 3 3 8" xfId="9025" xr:uid="{58547FEC-8FBE-49C3-8FF1-C5BC3A30510D}"/>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3404FD29-5C6F-486A-A2DB-9CC97AC1EE5A}"/>
    <cellStyle name="Normal 5 2 2 3 4 2 3" xfId="11580" xr:uid="{BD338784-E6E0-4549-9062-1B9A47803D5E}"/>
    <cellStyle name="Normal 5 2 2 3 4 3" xfId="5203" xr:uid="{00000000-0005-0000-0000-0000D6170000}"/>
    <cellStyle name="Normal 5 2 2 3 4 3 2" xfId="13653" xr:uid="{419D65B5-25F4-4319-90EB-022CC5D0F8DA}"/>
    <cellStyle name="Normal 5 2 2 3 4 4" xfId="9435" xr:uid="{E8BCA8E8-B48F-43EA-ABF6-4E586EEA8649}"/>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9B6EA201-2B0C-48F2-A311-9577D0C57354}"/>
    <cellStyle name="Normal 5 2 2 3 5 2 3" xfId="11993" xr:uid="{2EB91DE3-9514-41BA-BA78-2743BA7AE711}"/>
    <cellStyle name="Normal 5 2 2 3 5 3" xfId="5616" xr:uid="{00000000-0005-0000-0000-0000DA170000}"/>
    <cellStyle name="Normal 5 2 2 3 5 3 2" xfId="14066" xr:uid="{93F6E344-0EA0-4586-9F35-01CEB0326728}"/>
    <cellStyle name="Normal 5 2 2 3 5 4" xfId="9848" xr:uid="{84981426-D311-4B0F-A5AF-76C11867A03A}"/>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59B73C21-9BCB-4ED9-B392-7144A45D6091}"/>
    <cellStyle name="Normal 5 2 2 3 6 2 3" xfId="12406" xr:uid="{D56E48A2-F961-46E8-8D5C-BC64A6094DD0}"/>
    <cellStyle name="Normal 5 2 2 3 6 3" xfId="6029" xr:uid="{00000000-0005-0000-0000-0000DE170000}"/>
    <cellStyle name="Normal 5 2 2 3 6 3 2" xfId="14479" xr:uid="{6C06667A-32DD-440A-AF42-2FA1A638F862}"/>
    <cellStyle name="Normal 5 2 2 3 6 4" xfId="10261" xr:uid="{06E725AC-2263-4C89-860D-24069316CF05}"/>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115FD246-D568-4917-A32F-27E694408F4C}"/>
    <cellStyle name="Normal 5 2 2 3 7 2 3" xfId="12819" xr:uid="{1E21C2F7-39F8-494F-AE25-B9CD5F875543}"/>
    <cellStyle name="Normal 5 2 2 3 7 3" xfId="6442" xr:uid="{00000000-0005-0000-0000-0000E2170000}"/>
    <cellStyle name="Normal 5 2 2 3 7 3 2" xfId="14892" xr:uid="{CF5441DD-0DAC-4776-9BAA-6A66731440A4}"/>
    <cellStyle name="Normal 5 2 2 3 7 4" xfId="10674" xr:uid="{84396582-07C1-43AD-97A1-475F194843A1}"/>
    <cellStyle name="Normal 5 2 2 3 8" xfId="2572" xr:uid="{00000000-0005-0000-0000-0000E3170000}"/>
    <cellStyle name="Normal 5 2 2 3 8 2" xfId="6855" xr:uid="{00000000-0005-0000-0000-0000E4170000}"/>
    <cellStyle name="Normal 5 2 2 3 8 2 2" xfId="15305" xr:uid="{3AAEB083-F6AD-4F1B-9749-C655DB2ECCB6}"/>
    <cellStyle name="Normal 5 2 2 3 8 3" xfId="11087" xr:uid="{93E7888E-EC18-46E0-8B8E-A44A8B3A8647}"/>
    <cellStyle name="Normal 5 2 2 3 9" xfId="4790" xr:uid="{00000000-0005-0000-0000-0000E5170000}"/>
    <cellStyle name="Normal 5 2 2 3 9 2" xfId="13240" xr:uid="{C45E5142-DA7A-46A3-9ACA-C660B319DDBD}"/>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E664A54D-D7A1-45AC-98C0-6A5BA6D51805}"/>
    <cellStyle name="Normal 5 2 2 4 2 2 2 3" xfId="11585" xr:uid="{F209FCF9-C8C3-4AE9-BDF7-1EAD7BB94928}"/>
    <cellStyle name="Normal 5 2 2 4 2 2 3" xfId="5208" xr:uid="{00000000-0005-0000-0000-0000EB170000}"/>
    <cellStyle name="Normal 5 2 2 4 2 2 3 2" xfId="13658" xr:uid="{EDA0C485-5EE0-4746-A7A5-3AEE0387E6B3}"/>
    <cellStyle name="Normal 5 2 2 4 2 2 4" xfId="9440" xr:uid="{AACE73F3-10FD-485C-A8A0-1CE8F2B57813}"/>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18D42220-04F0-4FFC-B992-0A672AFF9DB2}"/>
    <cellStyle name="Normal 5 2 2 4 2 3 2 3" xfId="11998" xr:uid="{A3D83F9A-E7B7-4501-B53E-5B36FF981B22}"/>
    <cellStyle name="Normal 5 2 2 4 2 3 3" xfId="5621" xr:uid="{00000000-0005-0000-0000-0000EF170000}"/>
    <cellStyle name="Normal 5 2 2 4 2 3 3 2" xfId="14071" xr:uid="{DBB1D64C-8E7B-4CFF-8FF2-406B9831BC6C}"/>
    <cellStyle name="Normal 5 2 2 4 2 3 4" xfId="9853" xr:uid="{AB14F1BD-1CDD-4DDA-8575-502162C2CAEC}"/>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EE66DBD2-1C6A-4C67-9817-1EFDACE78F49}"/>
    <cellStyle name="Normal 5 2 2 4 2 4 2 3" xfId="12411" xr:uid="{8168C577-77A1-45C1-A74E-541080177129}"/>
    <cellStyle name="Normal 5 2 2 4 2 4 3" xfId="6034" xr:uid="{00000000-0005-0000-0000-0000F3170000}"/>
    <cellStyle name="Normal 5 2 2 4 2 4 3 2" xfId="14484" xr:uid="{E0A04D45-69D1-458B-A704-A0CCB4ED5F4A}"/>
    <cellStyle name="Normal 5 2 2 4 2 4 4" xfId="10266" xr:uid="{14055D6A-96F7-460D-ABBA-FA951A1ED426}"/>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8B808DAB-54DA-4951-9A34-53514394D532}"/>
    <cellStyle name="Normal 5 2 2 4 2 5 2 3" xfId="12824" xr:uid="{FB8A91C3-C255-4EFF-9E8E-5D245B4BB079}"/>
    <cellStyle name="Normal 5 2 2 4 2 5 3" xfId="6447" xr:uid="{00000000-0005-0000-0000-0000F7170000}"/>
    <cellStyle name="Normal 5 2 2 4 2 5 3 2" xfId="14897" xr:uid="{63670106-6460-4BD7-A27F-7444BED20962}"/>
    <cellStyle name="Normal 5 2 2 4 2 5 4" xfId="10679" xr:uid="{C2AE9B39-948C-4857-B92B-D4CA2F61FDCE}"/>
    <cellStyle name="Normal 5 2 2 4 2 6" xfId="2577" xr:uid="{00000000-0005-0000-0000-0000F8170000}"/>
    <cellStyle name="Normal 5 2 2 4 2 6 2" xfId="6860" xr:uid="{00000000-0005-0000-0000-0000F9170000}"/>
    <cellStyle name="Normal 5 2 2 4 2 6 2 2" xfId="15310" xr:uid="{2E1EEF05-A557-412C-B7DA-28AF21413E69}"/>
    <cellStyle name="Normal 5 2 2 4 2 6 3" xfId="11092" xr:uid="{850079EA-898A-4557-9065-20F0DE1E2367}"/>
    <cellStyle name="Normal 5 2 2 4 2 7" xfId="4795" xr:uid="{00000000-0005-0000-0000-0000FA170000}"/>
    <cellStyle name="Normal 5 2 2 4 2 7 2" xfId="13245" xr:uid="{602059DB-208E-44FA-8A8B-5B2D9F195221}"/>
    <cellStyle name="Normal 5 2 2 4 2 8" xfId="9027" xr:uid="{B7FB0546-2228-4A73-A922-91D078DF54B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A4C0804B-9510-4342-A741-9BF1EBCC2E43}"/>
    <cellStyle name="Normal 5 2 2 4 3 2 3" xfId="11584" xr:uid="{3961E7B7-3F58-4121-825E-A920A0A3349A}"/>
    <cellStyle name="Normal 5 2 2 4 3 3" xfId="5207" xr:uid="{00000000-0005-0000-0000-0000FE170000}"/>
    <cellStyle name="Normal 5 2 2 4 3 3 2" xfId="13657" xr:uid="{981257C5-AC84-4317-B6A9-14DCB7CBE276}"/>
    <cellStyle name="Normal 5 2 2 4 3 4" xfId="9439" xr:uid="{3380E3AC-53AF-40C2-A237-2DA13004B21C}"/>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F03B0A07-F352-47B1-992A-690AA9B03D30}"/>
    <cellStyle name="Normal 5 2 2 4 4 2 3" xfId="11997" xr:uid="{EB91B6CD-3C0D-491D-A86A-77BF7FE815BA}"/>
    <cellStyle name="Normal 5 2 2 4 4 3" xfId="5620" xr:uid="{00000000-0005-0000-0000-000002180000}"/>
    <cellStyle name="Normal 5 2 2 4 4 3 2" xfId="14070" xr:uid="{F6C5549C-C6A6-45CF-90E9-FBACAB91FEDB}"/>
    <cellStyle name="Normal 5 2 2 4 4 4" xfId="9852" xr:uid="{7CA1EC03-AAF2-499F-9969-00887DDB978E}"/>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DD9B9202-81AA-4D8A-B619-2DA13025BF71}"/>
    <cellStyle name="Normal 5 2 2 4 5 2 3" xfId="12410" xr:uid="{516676CA-5CB4-4C43-B04B-93DA6011AE10}"/>
    <cellStyle name="Normal 5 2 2 4 5 3" xfId="6033" xr:uid="{00000000-0005-0000-0000-000006180000}"/>
    <cellStyle name="Normal 5 2 2 4 5 3 2" xfId="14483" xr:uid="{14614CCC-5D19-4BDF-B47D-68B3927DC0F5}"/>
    <cellStyle name="Normal 5 2 2 4 5 4" xfId="10265" xr:uid="{6B6178CB-659A-48AA-A916-621F152878C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47250D79-CB6D-45F1-927F-51FD6386231B}"/>
    <cellStyle name="Normal 5 2 2 4 6 2 3" xfId="12823" xr:uid="{EA310C59-3150-49D0-AB06-5272904EC462}"/>
    <cellStyle name="Normal 5 2 2 4 6 3" xfId="6446" xr:uid="{00000000-0005-0000-0000-00000A180000}"/>
    <cellStyle name="Normal 5 2 2 4 6 3 2" xfId="14896" xr:uid="{11765353-75AD-4A5B-A4F5-EF7818A6A1C9}"/>
    <cellStyle name="Normal 5 2 2 4 6 4" xfId="10678" xr:uid="{E6D7A2F0-1534-47EB-A4A1-7BE172F31F75}"/>
    <cellStyle name="Normal 5 2 2 4 7" xfId="2576" xr:uid="{00000000-0005-0000-0000-00000B180000}"/>
    <cellStyle name="Normal 5 2 2 4 7 2" xfId="6859" xr:uid="{00000000-0005-0000-0000-00000C180000}"/>
    <cellStyle name="Normal 5 2 2 4 7 2 2" xfId="15309" xr:uid="{2FF0AF4E-7BAE-4F56-BB83-EC8ADFFE486E}"/>
    <cellStyle name="Normal 5 2 2 4 7 3" xfId="11091" xr:uid="{AF06528E-3EDA-44DE-99A8-F7CED053B385}"/>
    <cellStyle name="Normal 5 2 2 4 8" xfId="4794" xr:uid="{00000000-0005-0000-0000-00000D180000}"/>
    <cellStyle name="Normal 5 2 2 4 8 2" xfId="13244" xr:uid="{A5BA5925-0CC8-4161-91F8-FFF77F616C16}"/>
    <cellStyle name="Normal 5 2 2 4 9" xfId="9026" xr:uid="{211B8E57-EC73-426C-B4E3-8CF116DF13F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FC16F12A-A3D4-4D54-AC23-CA01FCF8D5A6}"/>
    <cellStyle name="Normal 5 2 2 5 2 2 3" xfId="11586" xr:uid="{3520864D-FECF-4AAD-A389-FAB55BD0B89C}"/>
    <cellStyle name="Normal 5 2 2 5 2 3" xfId="5209" xr:uid="{00000000-0005-0000-0000-000012180000}"/>
    <cellStyle name="Normal 5 2 2 5 2 3 2" xfId="13659" xr:uid="{42BF77AA-BBAF-4FD5-9E92-ACDCC17C3F2F}"/>
    <cellStyle name="Normal 5 2 2 5 2 4" xfId="9441" xr:uid="{925A220C-D0C4-43D4-BB78-2F26759DC5BC}"/>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3A1564BC-E8F3-49A6-960D-40038DF767EA}"/>
    <cellStyle name="Normal 5 2 2 5 3 2 3" xfId="11999" xr:uid="{1B9D2685-C90B-4BB2-98BC-902B29A84857}"/>
    <cellStyle name="Normal 5 2 2 5 3 3" xfId="5622" xr:uid="{00000000-0005-0000-0000-000016180000}"/>
    <cellStyle name="Normal 5 2 2 5 3 3 2" xfId="14072" xr:uid="{569487B7-ED03-4B7A-8F5D-D7092A0A3151}"/>
    <cellStyle name="Normal 5 2 2 5 3 4" xfId="9854" xr:uid="{974D50AB-E17B-49F9-BD36-4D7AABDE418C}"/>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D359E4DB-CFA6-4714-8806-5BC81A544DF9}"/>
    <cellStyle name="Normal 5 2 2 5 4 2 3" xfId="12412" xr:uid="{DA69517D-1313-410E-894D-CDAB165DEC23}"/>
    <cellStyle name="Normal 5 2 2 5 4 3" xfId="6035" xr:uid="{00000000-0005-0000-0000-00001A180000}"/>
    <cellStyle name="Normal 5 2 2 5 4 3 2" xfId="14485" xr:uid="{42D5EAD3-AF20-4F7B-853B-6BF2614DBF4B}"/>
    <cellStyle name="Normal 5 2 2 5 4 4" xfId="10267" xr:uid="{C58D467C-9467-4B1D-8523-9868CB22E6A1}"/>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90617876-DB0B-48B4-A498-8A8E9C4ED4F5}"/>
    <cellStyle name="Normal 5 2 2 5 5 2 3" xfId="12825" xr:uid="{655BBEB0-8151-4260-B571-673AF160001A}"/>
    <cellStyle name="Normal 5 2 2 5 5 3" xfId="6448" xr:uid="{00000000-0005-0000-0000-00001E180000}"/>
    <cellStyle name="Normal 5 2 2 5 5 3 2" xfId="14898" xr:uid="{86968581-410E-4B3A-8313-6817D13986E6}"/>
    <cellStyle name="Normal 5 2 2 5 5 4" xfId="10680" xr:uid="{8DABFDED-256E-470E-9648-EEB324C3A0D5}"/>
    <cellStyle name="Normal 5 2 2 5 6" xfId="2578" xr:uid="{00000000-0005-0000-0000-00001F180000}"/>
    <cellStyle name="Normal 5 2 2 5 6 2" xfId="6861" xr:uid="{00000000-0005-0000-0000-000020180000}"/>
    <cellStyle name="Normal 5 2 2 5 6 2 2" xfId="15311" xr:uid="{8BD0DEBA-D4EA-423C-A7A3-D40B76A8A06F}"/>
    <cellStyle name="Normal 5 2 2 5 6 3" xfId="11093" xr:uid="{3DED941A-4D8B-4AEB-867C-29B6DAB4C9F3}"/>
    <cellStyle name="Normal 5 2 2 5 7" xfId="4796" xr:uid="{00000000-0005-0000-0000-000021180000}"/>
    <cellStyle name="Normal 5 2 2 5 7 2" xfId="13246" xr:uid="{D9A4D407-99C4-4618-AA5B-C28DD3771CD8}"/>
    <cellStyle name="Normal 5 2 2 5 8" xfId="9028" xr:uid="{D82420F0-9B9E-4BC3-A069-7392B5CEFE1C}"/>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DF09951E-F403-4C38-BBFF-8DBDEE875854}"/>
    <cellStyle name="Normal 5 2 2 6 2 3" xfId="11571" xr:uid="{0CE045F7-71A8-4A5A-BC21-78D2BB696946}"/>
    <cellStyle name="Normal 5 2 2 6 3" xfId="5194" xr:uid="{00000000-0005-0000-0000-000025180000}"/>
    <cellStyle name="Normal 5 2 2 6 3 2" xfId="13644" xr:uid="{BD64D1E0-50A2-44F9-BB32-11ABFDE9C658}"/>
    <cellStyle name="Normal 5 2 2 6 4" xfId="9426" xr:uid="{A906EC61-EE65-4F2F-9320-16226C577D8C}"/>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62392D6B-E27D-49C0-942C-35F03A675A87}"/>
    <cellStyle name="Normal 5 2 2 7 2 3" xfId="11984" xr:uid="{F6253A24-D7DD-479E-8D06-402E7DE4964D}"/>
    <cellStyle name="Normal 5 2 2 7 3" xfId="5607" xr:uid="{00000000-0005-0000-0000-000029180000}"/>
    <cellStyle name="Normal 5 2 2 7 3 2" xfId="14057" xr:uid="{5F63817C-42E3-4F81-8614-D6B776776E09}"/>
    <cellStyle name="Normal 5 2 2 7 4" xfId="9839" xr:uid="{99103202-1BEA-4F7F-B279-43378DC17FF7}"/>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A0CC8077-05D8-4840-84AA-F43A17DE80BE}"/>
    <cellStyle name="Normal 5 2 2 8 2 3" xfId="12397" xr:uid="{609217DA-EBF2-4F88-A72F-C0D26D1895AD}"/>
    <cellStyle name="Normal 5 2 2 8 3" xfId="6020" xr:uid="{00000000-0005-0000-0000-00002D180000}"/>
    <cellStyle name="Normal 5 2 2 8 3 2" xfId="14470" xr:uid="{4FE98E83-EDBE-48AF-A306-5FE11061F55D}"/>
    <cellStyle name="Normal 5 2 2 8 4" xfId="10252" xr:uid="{2490AFB0-69B1-4CD9-B924-0F841C0EEA37}"/>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3475051B-43F3-4C6E-BF4C-30C68E06220E}"/>
    <cellStyle name="Normal 5 2 2 9 2 3" xfId="12810" xr:uid="{4D0CC541-B880-4626-ABC6-4F95E6F94748}"/>
    <cellStyle name="Normal 5 2 2 9 3" xfId="6433" xr:uid="{00000000-0005-0000-0000-000031180000}"/>
    <cellStyle name="Normal 5 2 2 9 3 2" xfId="14883" xr:uid="{FF363D62-B001-4A9D-9BE9-3CD390770F62}"/>
    <cellStyle name="Normal 5 2 2 9 4" xfId="10665" xr:uid="{81D28287-0754-403E-8990-20DCA1EC9A39}"/>
    <cellStyle name="Normal 5 2 3" xfId="424" xr:uid="{00000000-0005-0000-0000-000032180000}"/>
    <cellStyle name="Normal 5 2 3 10" xfId="4797" xr:uid="{00000000-0005-0000-0000-000033180000}"/>
    <cellStyle name="Normal 5 2 3 10 2" xfId="13247" xr:uid="{AEF74125-E15E-4591-9992-FF98FFB91837}"/>
    <cellStyle name="Normal 5 2 3 11" xfId="9029" xr:uid="{9FE3794A-C354-4513-B0C3-E5B76F9C5D47}"/>
    <cellStyle name="Normal 5 2 3 2" xfId="425" xr:uid="{00000000-0005-0000-0000-000034180000}"/>
    <cellStyle name="Normal 5 2 3 2 10" xfId="9030" xr:uid="{1AA91978-A546-4DA6-B2B2-299B0860731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60811484-581B-4C52-9F88-48C2521A5A25}"/>
    <cellStyle name="Normal 5 2 3 2 2 2 2 2 3" xfId="11590" xr:uid="{23C1D977-5C79-48DE-8560-8D651A3B0B78}"/>
    <cellStyle name="Normal 5 2 3 2 2 2 2 3" xfId="5213" xr:uid="{00000000-0005-0000-0000-00003A180000}"/>
    <cellStyle name="Normal 5 2 3 2 2 2 2 3 2" xfId="13663" xr:uid="{5D6DFA8A-4E88-472D-AE2F-6AC365EE4AF8}"/>
    <cellStyle name="Normal 5 2 3 2 2 2 2 4" xfId="9445" xr:uid="{1BB98017-227B-4758-98C3-9230096362B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CDE74A0A-A66D-442E-8A43-C62E1F5E0D5C}"/>
    <cellStyle name="Normal 5 2 3 2 2 2 3 2 3" xfId="12003" xr:uid="{3168AF07-899D-44D5-A721-F56027DCF343}"/>
    <cellStyle name="Normal 5 2 3 2 2 2 3 3" xfId="5626" xr:uid="{00000000-0005-0000-0000-00003E180000}"/>
    <cellStyle name="Normal 5 2 3 2 2 2 3 3 2" xfId="14076" xr:uid="{8FA54442-AA14-4BD0-B115-1FB22095A75E}"/>
    <cellStyle name="Normal 5 2 3 2 2 2 3 4" xfId="9858" xr:uid="{29E3679D-4AB8-47CC-9E81-AAA574A50068}"/>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B920FD87-01EC-4FDA-8423-73BCE38D9990}"/>
    <cellStyle name="Normal 5 2 3 2 2 2 4 2 3" xfId="12416" xr:uid="{6E2580C5-F6F7-44F2-9F55-E09C1A1A2468}"/>
    <cellStyle name="Normal 5 2 3 2 2 2 4 3" xfId="6039" xr:uid="{00000000-0005-0000-0000-000042180000}"/>
    <cellStyle name="Normal 5 2 3 2 2 2 4 3 2" xfId="14489" xr:uid="{7AA3E35C-EEFD-4764-BAA7-E06A2F0C1E45}"/>
    <cellStyle name="Normal 5 2 3 2 2 2 4 4" xfId="10271" xr:uid="{4CB3A6E4-0D0D-4066-8F56-AD1AA7BD52DA}"/>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9E21F0C4-A057-4010-876B-9ED095183D2C}"/>
    <cellStyle name="Normal 5 2 3 2 2 2 5 2 3" xfId="12829" xr:uid="{FEF89FFB-6078-4966-851F-26EE26938376}"/>
    <cellStyle name="Normal 5 2 3 2 2 2 5 3" xfId="6452" xr:uid="{00000000-0005-0000-0000-000046180000}"/>
    <cellStyle name="Normal 5 2 3 2 2 2 5 3 2" xfId="14902" xr:uid="{9E68CACF-25A3-41B8-9CFF-96639888FD20}"/>
    <cellStyle name="Normal 5 2 3 2 2 2 5 4" xfId="10684" xr:uid="{BD486567-9590-4004-ABB6-B90950CCE2C7}"/>
    <cellStyle name="Normal 5 2 3 2 2 2 6" xfId="2582" xr:uid="{00000000-0005-0000-0000-000047180000}"/>
    <cellStyle name="Normal 5 2 3 2 2 2 6 2" xfId="6865" xr:uid="{00000000-0005-0000-0000-000048180000}"/>
    <cellStyle name="Normal 5 2 3 2 2 2 6 2 2" xfId="15315" xr:uid="{DBC08BEC-0A10-4529-8679-45CF3002A031}"/>
    <cellStyle name="Normal 5 2 3 2 2 2 6 3" xfId="11097" xr:uid="{4B868D09-95EA-4546-B0C3-3D0BE419BA84}"/>
    <cellStyle name="Normal 5 2 3 2 2 2 7" xfId="4800" xr:uid="{00000000-0005-0000-0000-000049180000}"/>
    <cellStyle name="Normal 5 2 3 2 2 2 7 2" xfId="13250" xr:uid="{56B86882-5582-4B3C-830A-3114759E268D}"/>
    <cellStyle name="Normal 5 2 3 2 2 2 8" xfId="9032" xr:uid="{243C24A4-917F-45FD-BB08-E11B6F9313B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79E203DE-8B4D-4BC9-9194-6939F38E4E36}"/>
    <cellStyle name="Normal 5 2 3 2 2 3 2 3" xfId="11589" xr:uid="{02B383A1-8F92-4F8A-9F80-80693FCB5908}"/>
    <cellStyle name="Normal 5 2 3 2 2 3 3" xfId="5212" xr:uid="{00000000-0005-0000-0000-00004D180000}"/>
    <cellStyle name="Normal 5 2 3 2 2 3 3 2" xfId="13662" xr:uid="{1A1FC822-AF69-4550-A22B-8A723526BCB7}"/>
    <cellStyle name="Normal 5 2 3 2 2 3 4" xfId="9444" xr:uid="{B94CF9CA-7D5E-4D8E-8E55-A92FBD2765EE}"/>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B8E14AC8-C2C5-4A65-A0CA-8CD4BFEF3FEB}"/>
    <cellStyle name="Normal 5 2 3 2 2 4 2 3" xfId="12002" xr:uid="{AEEC0B15-6D30-4962-A422-026139724681}"/>
    <cellStyle name="Normal 5 2 3 2 2 4 3" xfId="5625" xr:uid="{00000000-0005-0000-0000-000051180000}"/>
    <cellStyle name="Normal 5 2 3 2 2 4 3 2" xfId="14075" xr:uid="{CB3ED42E-5FFE-4FF5-AD28-451A509935B6}"/>
    <cellStyle name="Normal 5 2 3 2 2 4 4" xfId="9857" xr:uid="{A723EAF2-23B1-49DD-96F7-51FE7EDAE3D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52410138-5B19-4C8A-B77C-2ED513F952A7}"/>
    <cellStyle name="Normal 5 2 3 2 2 5 2 3" xfId="12415" xr:uid="{FC61B889-8E76-40FA-842D-1CDC3E58D0EE}"/>
    <cellStyle name="Normal 5 2 3 2 2 5 3" xfId="6038" xr:uid="{00000000-0005-0000-0000-000055180000}"/>
    <cellStyle name="Normal 5 2 3 2 2 5 3 2" xfId="14488" xr:uid="{3435160B-9061-4882-86F0-C62FBF341420}"/>
    <cellStyle name="Normal 5 2 3 2 2 5 4" xfId="10270" xr:uid="{9B7C63C2-D40F-4018-957D-F88605250F7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588E0955-B74B-4E1F-A25B-CE06F12F9BED}"/>
    <cellStyle name="Normal 5 2 3 2 2 6 2 3" xfId="12828" xr:uid="{865402A6-BA84-4280-AC79-B026A312668D}"/>
    <cellStyle name="Normal 5 2 3 2 2 6 3" xfId="6451" xr:uid="{00000000-0005-0000-0000-000059180000}"/>
    <cellStyle name="Normal 5 2 3 2 2 6 3 2" xfId="14901" xr:uid="{47FAAC61-62D5-4DAA-A718-DEB3F140ADE1}"/>
    <cellStyle name="Normal 5 2 3 2 2 6 4" xfId="10683" xr:uid="{7046129B-61BC-4165-9CFE-E96E65E84948}"/>
    <cellStyle name="Normal 5 2 3 2 2 7" xfId="2581" xr:uid="{00000000-0005-0000-0000-00005A180000}"/>
    <cellStyle name="Normal 5 2 3 2 2 7 2" xfId="6864" xr:uid="{00000000-0005-0000-0000-00005B180000}"/>
    <cellStyle name="Normal 5 2 3 2 2 7 2 2" xfId="15314" xr:uid="{866678F9-0EB8-4E65-97EF-400F6F20E597}"/>
    <cellStyle name="Normal 5 2 3 2 2 7 3" xfId="11096" xr:uid="{FBF64CA7-5A63-4E2B-B628-D8E2E1D565CD}"/>
    <cellStyle name="Normal 5 2 3 2 2 8" xfId="4799" xr:uid="{00000000-0005-0000-0000-00005C180000}"/>
    <cellStyle name="Normal 5 2 3 2 2 8 2" xfId="13249" xr:uid="{42B43B92-39E4-466A-905C-A6EDADB69A9D}"/>
    <cellStyle name="Normal 5 2 3 2 2 9" xfId="9031" xr:uid="{70BDBE5C-0A67-43AB-8746-EFC58928C0A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A44987E6-F7FD-4EB5-98BD-2FA89BF327EB}"/>
    <cellStyle name="Normal 5 2 3 2 3 2 2 3" xfId="11591" xr:uid="{502E003A-FBF6-43CD-80F7-02A79E93A021}"/>
    <cellStyle name="Normal 5 2 3 2 3 2 3" xfId="5214" xr:uid="{00000000-0005-0000-0000-000061180000}"/>
    <cellStyle name="Normal 5 2 3 2 3 2 3 2" xfId="13664" xr:uid="{F763D946-F46A-4776-8286-AC2CDBFB398C}"/>
    <cellStyle name="Normal 5 2 3 2 3 2 4" xfId="9446" xr:uid="{B49BCD6F-E85E-484D-9154-1A282E150F1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D3271E62-A52A-4960-9DE3-30053C6B0422}"/>
    <cellStyle name="Normal 5 2 3 2 3 3 2 3" xfId="12004" xr:uid="{22D028DD-3C21-43EA-8690-5755972338B2}"/>
    <cellStyle name="Normal 5 2 3 2 3 3 3" xfId="5627" xr:uid="{00000000-0005-0000-0000-000065180000}"/>
    <cellStyle name="Normal 5 2 3 2 3 3 3 2" xfId="14077" xr:uid="{D0864B32-BD85-4569-A6D2-43F03121FA08}"/>
    <cellStyle name="Normal 5 2 3 2 3 3 4" xfId="9859" xr:uid="{9AF1158D-51E3-4FFC-B43E-59A7636D625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63B27B26-4AA9-4489-B59F-1F1D257B475A}"/>
    <cellStyle name="Normal 5 2 3 2 3 4 2 3" xfId="12417" xr:uid="{899A5B6A-B0E3-438B-AFC8-27E35E3A408A}"/>
    <cellStyle name="Normal 5 2 3 2 3 4 3" xfId="6040" xr:uid="{00000000-0005-0000-0000-000069180000}"/>
    <cellStyle name="Normal 5 2 3 2 3 4 3 2" xfId="14490" xr:uid="{C1DB616F-9448-4A8D-9DDC-5960EDE8D438}"/>
    <cellStyle name="Normal 5 2 3 2 3 4 4" xfId="10272" xr:uid="{3CB004D2-C1AC-4949-BFF4-4DF824846A09}"/>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9589D822-218A-43CD-9BD9-13A163E3237B}"/>
    <cellStyle name="Normal 5 2 3 2 3 5 2 3" xfId="12830" xr:uid="{D0000B1F-0E8B-4ED6-9CBC-FCA3D7353E34}"/>
    <cellStyle name="Normal 5 2 3 2 3 5 3" xfId="6453" xr:uid="{00000000-0005-0000-0000-00006D180000}"/>
    <cellStyle name="Normal 5 2 3 2 3 5 3 2" xfId="14903" xr:uid="{F8AE9224-F87B-480C-8108-19EA93C77749}"/>
    <cellStyle name="Normal 5 2 3 2 3 5 4" xfId="10685" xr:uid="{4BC3A95F-C64F-4446-81FF-E83F9C8E0F05}"/>
    <cellStyle name="Normal 5 2 3 2 3 6" xfId="2583" xr:uid="{00000000-0005-0000-0000-00006E180000}"/>
    <cellStyle name="Normal 5 2 3 2 3 6 2" xfId="6866" xr:uid="{00000000-0005-0000-0000-00006F180000}"/>
    <cellStyle name="Normal 5 2 3 2 3 6 2 2" xfId="15316" xr:uid="{FD486CBF-6F69-4160-A57E-5C5FB581FE62}"/>
    <cellStyle name="Normal 5 2 3 2 3 6 3" xfId="11098" xr:uid="{AE56D248-BFA1-4ECD-B698-71C9CAA76067}"/>
    <cellStyle name="Normal 5 2 3 2 3 7" xfId="4801" xr:uid="{00000000-0005-0000-0000-000070180000}"/>
    <cellStyle name="Normal 5 2 3 2 3 7 2" xfId="13251" xr:uid="{7F252FA2-01DF-441D-BD8A-271F1772F408}"/>
    <cellStyle name="Normal 5 2 3 2 3 8" xfId="9033" xr:uid="{EDDFB5E9-448A-4674-87AF-30E9DF994954}"/>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AABF0634-6307-4BF0-897F-77709ABBE9A4}"/>
    <cellStyle name="Normal 5 2 3 2 4 2 3" xfId="11588" xr:uid="{FB0AECA9-BBA2-40C3-B773-49AACF8FD071}"/>
    <cellStyle name="Normal 5 2 3 2 4 3" xfId="5211" xr:uid="{00000000-0005-0000-0000-000074180000}"/>
    <cellStyle name="Normal 5 2 3 2 4 3 2" xfId="13661" xr:uid="{F27ECF6D-57F8-4F7C-B8D6-4BDC718D37AF}"/>
    <cellStyle name="Normal 5 2 3 2 4 4" xfId="9443" xr:uid="{A5CE599B-5282-4F92-8CA2-A4D2FA2A1C87}"/>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51709DEA-997A-4B0F-8CFC-57704186E517}"/>
    <cellStyle name="Normal 5 2 3 2 5 2 3" xfId="12001" xr:uid="{D6C639CD-D698-4708-A019-A166B70D7DDB}"/>
    <cellStyle name="Normal 5 2 3 2 5 3" xfId="5624" xr:uid="{00000000-0005-0000-0000-000078180000}"/>
    <cellStyle name="Normal 5 2 3 2 5 3 2" xfId="14074" xr:uid="{EADE6CDE-FF4C-46BF-92F6-A32566802682}"/>
    <cellStyle name="Normal 5 2 3 2 5 4" xfId="9856" xr:uid="{C037ADA3-F372-441B-8B65-884CEA97112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10D659DC-95A5-440B-9C14-C1CA2BA081B6}"/>
    <cellStyle name="Normal 5 2 3 2 6 2 3" xfId="12414" xr:uid="{0F4E8AC9-52D2-49CD-B0DC-5F60FA9A410E}"/>
    <cellStyle name="Normal 5 2 3 2 6 3" xfId="6037" xr:uid="{00000000-0005-0000-0000-00007C180000}"/>
    <cellStyle name="Normal 5 2 3 2 6 3 2" xfId="14487" xr:uid="{ADA03E9C-61DE-4C1C-A51F-3249CB1CDA52}"/>
    <cellStyle name="Normal 5 2 3 2 6 4" xfId="10269" xr:uid="{2AC4809B-D7AD-40B0-8BBA-D7B09DAE67EF}"/>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9D7A5F0C-1EE6-42C4-94E4-99F8ECD73540}"/>
    <cellStyle name="Normal 5 2 3 2 7 2 3" xfId="12827" xr:uid="{95DC7396-5706-4B59-8E83-A503E128F39F}"/>
    <cellStyle name="Normal 5 2 3 2 7 3" xfId="6450" xr:uid="{00000000-0005-0000-0000-000080180000}"/>
    <cellStyle name="Normal 5 2 3 2 7 3 2" xfId="14900" xr:uid="{7DE0314C-0BA4-400C-8CBB-FB7E118B873D}"/>
    <cellStyle name="Normal 5 2 3 2 7 4" xfId="10682" xr:uid="{6D72F9C4-24EF-4228-9E23-751C8E0B42EC}"/>
    <cellStyle name="Normal 5 2 3 2 8" xfId="2580" xr:uid="{00000000-0005-0000-0000-000081180000}"/>
    <cellStyle name="Normal 5 2 3 2 8 2" xfId="6863" xr:uid="{00000000-0005-0000-0000-000082180000}"/>
    <cellStyle name="Normal 5 2 3 2 8 2 2" xfId="15313" xr:uid="{4EF1E56F-486E-47F9-B5BE-460DD2753136}"/>
    <cellStyle name="Normal 5 2 3 2 8 3" xfId="11095" xr:uid="{C52E1F1A-A8B8-4308-80C4-0A3DD0B75307}"/>
    <cellStyle name="Normal 5 2 3 2 9" xfId="4798" xr:uid="{00000000-0005-0000-0000-000083180000}"/>
    <cellStyle name="Normal 5 2 3 2 9 2" xfId="13248" xr:uid="{5C512C83-F65C-4599-96AE-9AD1F1AD1BDD}"/>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ECEEEBC7-86F2-471C-B5C7-74C7FDE224E8}"/>
    <cellStyle name="Normal 5 2 3 3 2 2 2 3" xfId="11593" xr:uid="{78E0E149-9813-464D-86D5-9191E6612448}"/>
    <cellStyle name="Normal 5 2 3 3 2 2 3" xfId="5216" xr:uid="{00000000-0005-0000-0000-000089180000}"/>
    <cellStyle name="Normal 5 2 3 3 2 2 3 2" xfId="13666" xr:uid="{6F4D76A0-CC6A-4AFA-9AF7-A80E01053A29}"/>
    <cellStyle name="Normal 5 2 3 3 2 2 4" xfId="9448" xr:uid="{39694E39-3E46-4289-A9ED-51E129C073E2}"/>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C18A2CDD-BA63-4ED1-9BE3-7829E60DF289}"/>
    <cellStyle name="Normal 5 2 3 3 2 3 2 3" xfId="12006" xr:uid="{F64D131A-0ABC-41A9-9643-AA39954AA680}"/>
    <cellStyle name="Normal 5 2 3 3 2 3 3" xfId="5629" xr:uid="{00000000-0005-0000-0000-00008D180000}"/>
    <cellStyle name="Normal 5 2 3 3 2 3 3 2" xfId="14079" xr:uid="{86908A40-AFEC-4FAC-AEA4-21D486E542C8}"/>
    <cellStyle name="Normal 5 2 3 3 2 3 4" xfId="9861" xr:uid="{C9C44660-2EB8-4D08-A0BC-E7B1E21F1CA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94F34AAE-7D44-4E23-8C9B-FD3F0E09E172}"/>
    <cellStyle name="Normal 5 2 3 3 2 4 2 3" xfId="12419" xr:uid="{670DE4ED-305B-48BC-8746-C2979D48438F}"/>
    <cellStyle name="Normal 5 2 3 3 2 4 3" xfId="6042" xr:uid="{00000000-0005-0000-0000-000091180000}"/>
    <cellStyle name="Normal 5 2 3 3 2 4 3 2" xfId="14492" xr:uid="{D7641E67-263B-4294-9609-402277F1F28C}"/>
    <cellStyle name="Normal 5 2 3 3 2 4 4" xfId="10274" xr:uid="{0844A4A5-94FC-4F89-8760-9C10F8076BD9}"/>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326D14AA-380F-4474-BDB2-5D56DB8DB243}"/>
    <cellStyle name="Normal 5 2 3 3 2 5 2 3" xfId="12832" xr:uid="{D7FA429F-8F65-4621-9B61-FA6FEE03ACA1}"/>
    <cellStyle name="Normal 5 2 3 3 2 5 3" xfId="6455" xr:uid="{00000000-0005-0000-0000-000095180000}"/>
    <cellStyle name="Normal 5 2 3 3 2 5 3 2" xfId="14905" xr:uid="{BFEAE3C5-81AD-4A39-A2AF-721434CA5A49}"/>
    <cellStyle name="Normal 5 2 3 3 2 5 4" xfId="10687" xr:uid="{8A46E801-657B-4FEB-AFEE-F60C0FBF4D21}"/>
    <cellStyle name="Normal 5 2 3 3 2 6" xfId="2585" xr:uid="{00000000-0005-0000-0000-000096180000}"/>
    <cellStyle name="Normal 5 2 3 3 2 6 2" xfId="6868" xr:uid="{00000000-0005-0000-0000-000097180000}"/>
    <cellStyle name="Normal 5 2 3 3 2 6 2 2" xfId="15318" xr:uid="{9D88B619-081D-4A3C-8290-31CFA3693434}"/>
    <cellStyle name="Normal 5 2 3 3 2 6 3" xfId="11100" xr:uid="{5F3CDCB3-16A3-4F3F-91F4-237E15D05C5A}"/>
    <cellStyle name="Normal 5 2 3 3 2 7" xfId="4803" xr:uid="{00000000-0005-0000-0000-000098180000}"/>
    <cellStyle name="Normal 5 2 3 3 2 7 2" xfId="13253" xr:uid="{45841F01-85E9-488D-9825-3A7C059376AB}"/>
    <cellStyle name="Normal 5 2 3 3 2 8" xfId="9035" xr:uid="{B5DF1D80-43C1-4D93-A733-86BA462D8CFB}"/>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B28D386B-F167-49E1-A571-E7D9288F7644}"/>
    <cellStyle name="Normal 5 2 3 3 3 2 3" xfId="11592" xr:uid="{353CCDB1-44C1-4BD9-B8D2-F1E6E10641CB}"/>
    <cellStyle name="Normal 5 2 3 3 3 3" xfId="5215" xr:uid="{00000000-0005-0000-0000-00009C180000}"/>
    <cellStyle name="Normal 5 2 3 3 3 3 2" xfId="13665" xr:uid="{7766145B-821F-420C-B7BC-CF0B797B40EA}"/>
    <cellStyle name="Normal 5 2 3 3 3 4" xfId="9447" xr:uid="{29616B22-76EC-4445-B761-F4606C75CC8F}"/>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15058725-821B-4FD8-9AFF-44E6469523CC}"/>
    <cellStyle name="Normal 5 2 3 3 4 2 3" xfId="12005" xr:uid="{8194A67E-B630-4D62-A4DE-93FCB9ABF6E8}"/>
    <cellStyle name="Normal 5 2 3 3 4 3" xfId="5628" xr:uid="{00000000-0005-0000-0000-0000A0180000}"/>
    <cellStyle name="Normal 5 2 3 3 4 3 2" xfId="14078" xr:uid="{323BB44F-FC04-43B9-9C1B-673F988F8092}"/>
    <cellStyle name="Normal 5 2 3 3 4 4" xfId="9860" xr:uid="{620830F5-2449-4892-9A00-E104A4068234}"/>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87CCFD9E-DF63-4260-BEBC-A713B5D9F307}"/>
    <cellStyle name="Normal 5 2 3 3 5 2 3" xfId="12418" xr:uid="{B492750E-7ECB-4133-8370-8676EBBF1569}"/>
    <cellStyle name="Normal 5 2 3 3 5 3" xfId="6041" xr:uid="{00000000-0005-0000-0000-0000A4180000}"/>
    <cellStyle name="Normal 5 2 3 3 5 3 2" xfId="14491" xr:uid="{B3F6233E-F5A2-4563-8ED6-D42F286A695A}"/>
    <cellStyle name="Normal 5 2 3 3 5 4" xfId="10273" xr:uid="{60E05D4E-BBDB-406D-87D8-07214D50E7EE}"/>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9CBF40D6-A570-48F2-86BE-8D46E1FCD453}"/>
    <cellStyle name="Normal 5 2 3 3 6 2 3" xfId="12831" xr:uid="{1F45E56E-A825-4D2F-839B-8C5991A75E48}"/>
    <cellStyle name="Normal 5 2 3 3 6 3" xfId="6454" xr:uid="{00000000-0005-0000-0000-0000A8180000}"/>
    <cellStyle name="Normal 5 2 3 3 6 3 2" xfId="14904" xr:uid="{A5F8A08B-9533-474F-ACEE-2477603179E7}"/>
    <cellStyle name="Normal 5 2 3 3 6 4" xfId="10686" xr:uid="{BE1BE2F0-D4D4-490A-91A9-E1B92B9E967D}"/>
    <cellStyle name="Normal 5 2 3 3 7" xfId="2584" xr:uid="{00000000-0005-0000-0000-0000A9180000}"/>
    <cellStyle name="Normal 5 2 3 3 7 2" xfId="6867" xr:uid="{00000000-0005-0000-0000-0000AA180000}"/>
    <cellStyle name="Normal 5 2 3 3 7 2 2" xfId="15317" xr:uid="{8DA4135E-2901-4680-9DBC-C78633F32C92}"/>
    <cellStyle name="Normal 5 2 3 3 7 3" xfId="11099" xr:uid="{60E1328D-697A-47A9-95D4-E43EF21699DA}"/>
    <cellStyle name="Normal 5 2 3 3 8" xfId="4802" xr:uid="{00000000-0005-0000-0000-0000AB180000}"/>
    <cellStyle name="Normal 5 2 3 3 8 2" xfId="13252" xr:uid="{A10335E1-6214-42F6-ACD3-0FB308B4706B}"/>
    <cellStyle name="Normal 5 2 3 3 9" xfId="9034" xr:uid="{420C6312-E00B-4A1E-B546-45BDA94B906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922E8604-C66B-4BB6-BCAD-B3953DEED917}"/>
    <cellStyle name="Normal 5 2 3 4 2 2 3" xfId="11594" xr:uid="{24E4D8C6-C36B-4F03-9092-6FF91E841F2F}"/>
    <cellStyle name="Normal 5 2 3 4 2 3" xfId="5217" xr:uid="{00000000-0005-0000-0000-0000B0180000}"/>
    <cellStyle name="Normal 5 2 3 4 2 3 2" xfId="13667" xr:uid="{B40ECA74-CB78-4A8A-8662-369644442F42}"/>
    <cellStyle name="Normal 5 2 3 4 2 4" xfId="9449" xr:uid="{35DE85F4-539F-42AD-8FB3-D3F09A19C16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8B0810AD-FE1A-49CB-967B-729E50ADC947}"/>
    <cellStyle name="Normal 5 2 3 4 3 2 3" xfId="12007" xr:uid="{FE48FE63-3DD3-4010-B197-D31E0F2D4367}"/>
    <cellStyle name="Normal 5 2 3 4 3 3" xfId="5630" xr:uid="{00000000-0005-0000-0000-0000B4180000}"/>
    <cellStyle name="Normal 5 2 3 4 3 3 2" xfId="14080" xr:uid="{4272911C-85E1-45B5-94FD-6D353591932B}"/>
    <cellStyle name="Normal 5 2 3 4 3 4" xfId="9862" xr:uid="{2CF796B7-76B9-4441-B855-3545AF367295}"/>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2FFB567C-26A6-410C-AED1-BEF0BACD9D07}"/>
    <cellStyle name="Normal 5 2 3 4 4 2 3" xfId="12420" xr:uid="{01C18145-4A1D-49CF-A190-93D4871108BE}"/>
    <cellStyle name="Normal 5 2 3 4 4 3" xfId="6043" xr:uid="{00000000-0005-0000-0000-0000B8180000}"/>
    <cellStyle name="Normal 5 2 3 4 4 3 2" xfId="14493" xr:uid="{E95D978C-116E-4120-BF8A-5F51D2CBB3A0}"/>
    <cellStyle name="Normal 5 2 3 4 4 4" xfId="10275" xr:uid="{EC99A338-D5BD-46D3-ACC5-8FC0F923A333}"/>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AC99AAC6-7DB8-42D9-B90E-2D893FB174F9}"/>
    <cellStyle name="Normal 5 2 3 4 5 2 3" xfId="12833" xr:uid="{8A3B228A-E672-4CA2-8B04-A0422CE058F0}"/>
    <cellStyle name="Normal 5 2 3 4 5 3" xfId="6456" xr:uid="{00000000-0005-0000-0000-0000BC180000}"/>
    <cellStyle name="Normal 5 2 3 4 5 3 2" xfId="14906" xr:uid="{1FC7B627-A8DD-4ECC-AE58-E53C45C50B83}"/>
    <cellStyle name="Normal 5 2 3 4 5 4" xfId="10688" xr:uid="{2403B26A-21E1-4E90-909A-1884F402D604}"/>
    <cellStyle name="Normal 5 2 3 4 6" xfId="2586" xr:uid="{00000000-0005-0000-0000-0000BD180000}"/>
    <cellStyle name="Normal 5 2 3 4 6 2" xfId="6869" xr:uid="{00000000-0005-0000-0000-0000BE180000}"/>
    <cellStyle name="Normal 5 2 3 4 6 2 2" xfId="15319" xr:uid="{A0DB6306-9797-4DD0-AF26-F372F366B84D}"/>
    <cellStyle name="Normal 5 2 3 4 6 3" xfId="11101" xr:uid="{24523211-7FBE-47D1-85DA-ABEB86E46200}"/>
    <cellStyle name="Normal 5 2 3 4 7" xfId="4804" xr:uid="{00000000-0005-0000-0000-0000BF180000}"/>
    <cellStyle name="Normal 5 2 3 4 7 2" xfId="13254" xr:uid="{6C04DF4C-D5D7-4B78-AD21-7BDEC3E06B1D}"/>
    <cellStyle name="Normal 5 2 3 4 8" xfId="9036" xr:uid="{D20DD766-F20B-443B-B8CD-A46302921821}"/>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9460D9A6-9E23-45F1-95E8-2B86E2F39972}"/>
    <cellStyle name="Normal 5 2 3 5 2 3" xfId="11587" xr:uid="{54AA0C36-87E0-4372-A6AA-9CED10E00BF7}"/>
    <cellStyle name="Normal 5 2 3 5 3" xfId="5210" xr:uid="{00000000-0005-0000-0000-0000C3180000}"/>
    <cellStyle name="Normal 5 2 3 5 3 2" xfId="13660" xr:uid="{5731A8A5-1740-431F-A2D6-0FF0D762104E}"/>
    <cellStyle name="Normal 5 2 3 5 4" xfId="9442" xr:uid="{824895D4-8DE7-4F04-A346-22E200E5FBD6}"/>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1F8B62C7-E869-498F-9BD0-5A2D288FE304}"/>
    <cellStyle name="Normal 5 2 3 6 2 3" xfId="12000" xr:uid="{DA23E27B-92BE-49F2-B8A8-378F7C932502}"/>
    <cellStyle name="Normal 5 2 3 6 3" xfId="5623" xr:uid="{00000000-0005-0000-0000-0000C7180000}"/>
    <cellStyle name="Normal 5 2 3 6 3 2" xfId="14073" xr:uid="{CC35C268-EC5C-48DE-8FAC-C8F6BAFB13CC}"/>
    <cellStyle name="Normal 5 2 3 6 4" xfId="9855" xr:uid="{049A4488-BF17-49AC-8984-35F893422C9F}"/>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FDAC134C-81F1-47D2-9F2C-36E8F5188C9E}"/>
    <cellStyle name="Normal 5 2 3 7 2 3" xfId="12413" xr:uid="{2FCD661D-A242-4ADC-B958-4C6705A52075}"/>
    <cellStyle name="Normal 5 2 3 7 3" xfId="6036" xr:uid="{00000000-0005-0000-0000-0000CB180000}"/>
    <cellStyle name="Normal 5 2 3 7 3 2" xfId="14486" xr:uid="{4D394914-0210-4A69-898C-AA8824B16E3F}"/>
    <cellStyle name="Normal 5 2 3 7 4" xfId="10268" xr:uid="{09BF7C7E-DAC9-4AA3-B114-64FCFC19AC47}"/>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5DC13705-A61F-45B6-B2AD-38362BFCFA14}"/>
    <cellStyle name="Normal 5 2 3 8 2 3" xfId="12826" xr:uid="{C0098CD4-C8BB-420A-8C6D-2E6F66B9770B}"/>
    <cellStyle name="Normal 5 2 3 8 3" xfId="6449" xr:uid="{00000000-0005-0000-0000-0000CF180000}"/>
    <cellStyle name="Normal 5 2 3 8 3 2" xfId="14899" xr:uid="{65EB59CA-20CF-44D7-984F-7A3A134C2989}"/>
    <cellStyle name="Normal 5 2 3 8 4" xfId="10681" xr:uid="{EAACFBAA-0A3E-4454-9BFC-072D297013CF}"/>
    <cellStyle name="Normal 5 2 3 9" xfId="2579" xr:uid="{00000000-0005-0000-0000-0000D0180000}"/>
    <cellStyle name="Normal 5 2 3 9 2" xfId="6862" xr:uid="{00000000-0005-0000-0000-0000D1180000}"/>
    <cellStyle name="Normal 5 2 3 9 2 2" xfId="15312" xr:uid="{89BB80E2-8BB1-44C3-9611-05F40053F783}"/>
    <cellStyle name="Normal 5 2 3 9 3" xfId="11094" xr:uid="{A97D5AA1-8BBF-4719-BE49-9C5D39B7BA49}"/>
    <cellStyle name="Normal 5 2 4" xfId="432" xr:uid="{00000000-0005-0000-0000-0000D2180000}"/>
    <cellStyle name="Normal 5 2 4 10" xfId="9037" xr:uid="{D413307F-F85B-4A6D-AD11-ABD0A2192D48}"/>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46EF39AE-4C6E-4FBB-8DD9-20BABB2247A0}"/>
    <cellStyle name="Normal 5 2 4 2 2 2 2 3" xfId="11597" xr:uid="{67681F97-AA8D-4E00-9603-99218F63301F}"/>
    <cellStyle name="Normal 5 2 4 2 2 2 3" xfId="5220" xr:uid="{00000000-0005-0000-0000-0000D8180000}"/>
    <cellStyle name="Normal 5 2 4 2 2 2 3 2" xfId="13670" xr:uid="{29F3A6FC-03E1-4C5B-8CFF-75DEED3241D8}"/>
    <cellStyle name="Normal 5 2 4 2 2 2 4" xfId="9452" xr:uid="{FB164373-A6D9-49AD-AD53-7C0157EDB58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99ECA0FA-BF0E-44A5-B45F-910F091B08A1}"/>
    <cellStyle name="Normal 5 2 4 2 2 3 2 3" xfId="12010" xr:uid="{269226D5-1736-4805-A655-F6FF806586F9}"/>
    <cellStyle name="Normal 5 2 4 2 2 3 3" xfId="5633" xr:uid="{00000000-0005-0000-0000-0000DC180000}"/>
    <cellStyle name="Normal 5 2 4 2 2 3 3 2" xfId="14083" xr:uid="{67E204C3-A695-4834-825F-331C638B4E29}"/>
    <cellStyle name="Normal 5 2 4 2 2 3 4" xfId="9865" xr:uid="{169404A0-43A7-45E2-BC60-5ECDC3997721}"/>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31C469E5-7090-4F12-8290-3263B06D4952}"/>
    <cellStyle name="Normal 5 2 4 2 2 4 2 3" xfId="12423" xr:uid="{655B9D7D-9383-4783-B54D-8D8ED2B91CA3}"/>
    <cellStyle name="Normal 5 2 4 2 2 4 3" xfId="6046" xr:uid="{00000000-0005-0000-0000-0000E0180000}"/>
    <cellStyle name="Normal 5 2 4 2 2 4 3 2" xfId="14496" xr:uid="{D2BBD9B4-6979-4BE9-9636-3939435E4723}"/>
    <cellStyle name="Normal 5 2 4 2 2 4 4" xfId="10278" xr:uid="{B349D95D-80EE-488A-A842-424D85077DF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77F6D8A6-0D1F-4497-8AF5-4B8BB88B024A}"/>
    <cellStyle name="Normal 5 2 4 2 2 5 2 3" xfId="12836" xr:uid="{3D06809F-EA4B-4108-9F6A-A2315B379BB7}"/>
    <cellStyle name="Normal 5 2 4 2 2 5 3" xfId="6459" xr:uid="{00000000-0005-0000-0000-0000E4180000}"/>
    <cellStyle name="Normal 5 2 4 2 2 5 3 2" xfId="14909" xr:uid="{93990B63-8009-4265-859C-AD7DAFCDAA62}"/>
    <cellStyle name="Normal 5 2 4 2 2 5 4" xfId="10691" xr:uid="{243A7C8D-14D8-4992-B2E9-120B989F05F3}"/>
    <cellStyle name="Normal 5 2 4 2 2 6" xfId="2589" xr:uid="{00000000-0005-0000-0000-0000E5180000}"/>
    <cellStyle name="Normal 5 2 4 2 2 6 2" xfId="6872" xr:uid="{00000000-0005-0000-0000-0000E6180000}"/>
    <cellStyle name="Normal 5 2 4 2 2 6 2 2" xfId="15322" xr:uid="{FD26DFD8-ECB0-49C1-B529-9A5E343177B5}"/>
    <cellStyle name="Normal 5 2 4 2 2 6 3" xfId="11104" xr:uid="{BC630FAE-08C3-418F-8B60-38458A2D9C21}"/>
    <cellStyle name="Normal 5 2 4 2 2 7" xfId="4807" xr:uid="{00000000-0005-0000-0000-0000E7180000}"/>
    <cellStyle name="Normal 5 2 4 2 2 7 2" xfId="13257" xr:uid="{C421E550-C7DD-48BD-8E94-5068B58E7F84}"/>
    <cellStyle name="Normal 5 2 4 2 2 8" xfId="9039" xr:uid="{CBB15882-3CB9-475C-BD0E-11B3DCF6C8A0}"/>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2B54260A-DF49-4FCB-B4FB-DB3694928223}"/>
    <cellStyle name="Normal 5 2 4 2 3 2 3" xfId="11596" xr:uid="{395B52A2-B330-4BFE-A75B-C7A3D152E512}"/>
    <cellStyle name="Normal 5 2 4 2 3 3" xfId="5219" xr:uid="{00000000-0005-0000-0000-0000EB180000}"/>
    <cellStyle name="Normal 5 2 4 2 3 3 2" xfId="13669" xr:uid="{A3766AF9-FC25-4D5B-8FDA-91BDBEF9B7BA}"/>
    <cellStyle name="Normal 5 2 4 2 3 4" xfId="9451" xr:uid="{ECEC5AEB-51C9-4ECA-8909-9E4E32A7BA7E}"/>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1F6F70BF-E58A-4C12-A328-1A97FC7E7C08}"/>
    <cellStyle name="Normal 5 2 4 2 4 2 3" xfId="12009" xr:uid="{EF4CBB3F-A692-45CC-946C-8256DC08108B}"/>
    <cellStyle name="Normal 5 2 4 2 4 3" xfId="5632" xr:uid="{00000000-0005-0000-0000-0000EF180000}"/>
    <cellStyle name="Normal 5 2 4 2 4 3 2" xfId="14082" xr:uid="{6B174267-A673-4ADC-A969-EE56A05BAA2D}"/>
    <cellStyle name="Normal 5 2 4 2 4 4" xfId="9864" xr:uid="{73760B18-AF63-4946-8AEB-9C749D407FED}"/>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7207413C-9B98-4CCD-A0E5-4613A0212290}"/>
    <cellStyle name="Normal 5 2 4 2 5 2 3" xfId="12422" xr:uid="{48C587D9-B1B0-4C87-9C45-329C9C86C81F}"/>
    <cellStyle name="Normal 5 2 4 2 5 3" xfId="6045" xr:uid="{00000000-0005-0000-0000-0000F3180000}"/>
    <cellStyle name="Normal 5 2 4 2 5 3 2" xfId="14495" xr:uid="{979B26D8-6878-4412-BED9-22B4FA3059AF}"/>
    <cellStyle name="Normal 5 2 4 2 5 4" xfId="10277" xr:uid="{2B33C9FA-CD45-422F-AE1C-A05C9751455C}"/>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B0A32872-1DF6-4E73-ADE6-E8816304614E}"/>
    <cellStyle name="Normal 5 2 4 2 6 2 3" xfId="12835" xr:uid="{737D8455-2334-426F-92D2-CEFB6C97B3CF}"/>
    <cellStyle name="Normal 5 2 4 2 6 3" xfId="6458" xr:uid="{00000000-0005-0000-0000-0000F7180000}"/>
    <cellStyle name="Normal 5 2 4 2 6 3 2" xfId="14908" xr:uid="{CFF93F48-CEAE-48F8-9C7E-52FD097F3706}"/>
    <cellStyle name="Normal 5 2 4 2 6 4" xfId="10690" xr:uid="{EC62BAAA-1224-4F39-9FF7-F213CDDE6C52}"/>
    <cellStyle name="Normal 5 2 4 2 7" xfId="2588" xr:uid="{00000000-0005-0000-0000-0000F8180000}"/>
    <cellStyle name="Normal 5 2 4 2 7 2" xfId="6871" xr:uid="{00000000-0005-0000-0000-0000F9180000}"/>
    <cellStyle name="Normal 5 2 4 2 7 2 2" xfId="15321" xr:uid="{B31A7649-4592-4777-919D-2633AA42DA14}"/>
    <cellStyle name="Normal 5 2 4 2 7 3" xfId="11103" xr:uid="{21AAEC77-326D-43EC-B7B5-E91E4E14B7FF}"/>
    <cellStyle name="Normal 5 2 4 2 8" xfId="4806" xr:uid="{00000000-0005-0000-0000-0000FA180000}"/>
    <cellStyle name="Normal 5 2 4 2 8 2" xfId="13256" xr:uid="{DBB8B84F-913D-40A7-BBDA-F5900805D92D}"/>
    <cellStyle name="Normal 5 2 4 2 9" xfId="9038" xr:uid="{5367B1CB-84FF-4579-9FFC-FA6826290C7D}"/>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8F345E85-443A-4042-AC4D-9BB02788C289}"/>
    <cellStyle name="Normal 5 2 4 3 2 2 3" xfId="11598" xr:uid="{5890642A-E157-4BE4-B095-F67FD59B5CDF}"/>
    <cellStyle name="Normal 5 2 4 3 2 3" xfId="5221" xr:uid="{00000000-0005-0000-0000-0000FF180000}"/>
    <cellStyle name="Normal 5 2 4 3 2 3 2" xfId="13671" xr:uid="{46F0534E-8B61-4718-A73A-5E78402A7049}"/>
    <cellStyle name="Normal 5 2 4 3 2 4" xfId="9453" xr:uid="{1CE3FFE0-077A-4F55-BD50-256418089D63}"/>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1943FAAF-9F8F-4AFC-892F-E3A9267BE63C}"/>
    <cellStyle name="Normal 5 2 4 3 3 2 3" xfId="12011" xr:uid="{30F1A47D-5855-46D6-90B7-2FDC80D64A04}"/>
    <cellStyle name="Normal 5 2 4 3 3 3" xfId="5634" xr:uid="{00000000-0005-0000-0000-000003190000}"/>
    <cellStyle name="Normal 5 2 4 3 3 3 2" xfId="14084" xr:uid="{F6A53F61-9CC3-405E-B269-8F4D328925A5}"/>
    <cellStyle name="Normal 5 2 4 3 3 4" xfId="9866" xr:uid="{45A1567E-D084-4A36-8358-B0F003F30AF2}"/>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A43D6ED2-478F-4073-B339-FAE2DA122F5A}"/>
    <cellStyle name="Normal 5 2 4 3 4 2 3" xfId="12424" xr:uid="{22E984E3-E70C-4A3D-88A1-DACC1565C6BC}"/>
    <cellStyle name="Normal 5 2 4 3 4 3" xfId="6047" xr:uid="{00000000-0005-0000-0000-000007190000}"/>
    <cellStyle name="Normal 5 2 4 3 4 3 2" xfId="14497" xr:uid="{15C5145F-B5E6-43C0-9435-E016DFB7FBF1}"/>
    <cellStyle name="Normal 5 2 4 3 4 4" xfId="10279" xr:uid="{6B945A29-2D1F-47E1-9772-C839B15B3E01}"/>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7BD4BA1E-1D82-4C95-8C94-233A0485C796}"/>
    <cellStyle name="Normal 5 2 4 3 5 2 3" xfId="12837" xr:uid="{CB4D28F9-1903-476C-8FD8-E38860C8B466}"/>
    <cellStyle name="Normal 5 2 4 3 5 3" xfId="6460" xr:uid="{00000000-0005-0000-0000-00000B190000}"/>
    <cellStyle name="Normal 5 2 4 3 5 3 2" xfId="14910" xr:uid="{B5DFA87A-A65C-4968-9442-E85DAD4E3A26}"/>
    <cellStyle name="Normal 5 2 4 3 5 4" xfId="10692" xr:uid="{D247503E-A6DD-4213-BC98-261D73750697}"/>
    <cellStyle name="Normal 5 2 4 3 6" xfId="2590" xr:uid="{00000000-0005-0000-0000-00000C190000}"/>
    <cellStyle name="Normal 5 2 4 3 6 2" xfId="6873" xr:uid="{00000000-0005-0000-0000-00000D190000}"/>
    <cellStyle name="Normal 5 2 4 3 6 2 2" xfId="15323" xr:uid="{B4A0C93D-060E-4DBB-940C-58F3207D88CE}"/>
    <cellStyle name="Normal 5 2 4 3 6 3" xfId="11105" xr:uid="{6412C84C-B37B-4DC8-A761-5DE10836EBC2}"/>
    <cellStyle name="Normal 5 2 4 3 7" xfId="4808" xr:uid="{00000000-0005-0000-0000-00000E190000}"/>
    <cellStyle name="Normal 5 2 4 3 7 2" xfId="13258" xr:uid="{6BBE4CDF-E0B6-43D2-A542-D8AF6F9D3493}"/>
    <cellStyle name="Normal 5 2 4 3 8" xfId="9040" xr:uid="{C306B150-3465-447C-B10B-B9A91AF7AF85}"/>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7783AF94-D81F-44D0-B70A-12E43D18929D}"/>
    <cellStyle name="Normal 5 2 4 4 2 3" xfId="11595" xr:uid="{3C3E823B-CACA-4A61-B790-C965E2E125AA}"/>
    <cellStyle name="Normal 5 2 4 4 3" xfId="5218" xr:uid="{00000000-0005-0000-0000-000012190000}"/>
    <cellStyle name="Normal 5 2 4 4 3 2" xfId="13668" xr:uid="{3B24F297-ADA4-4678-8F60-25EC860C8953}"/>
    <cellStyle name="Normal 5 2 4 4 4" xfId="9450" xr:uid="{627814E0-79C4-4022-A0E7-ACD4B3799BA7}"/>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76210553-BEDB-41A9-8B2C-4AF746F4DB75}"/>
    <cellStyle name="Normal 5 2 4 5 2 3" xfId="12008" xr:uid="{F6102088-169C-48E4-A1DD-5DCFBAA8AC7B}"/>
    <cellStyle name="Normal 5 2 4 5 3" xfId="5631" xr:uid="{00000000-0005-0000-0000-000016190000}"/>
    <cellStyle name="Normal 5 2 4 5 3 2" xfId="14081" xr:uid="{8F92B50D-8582-48E2-8CD0-CBF0827C2A67}"/>
    <cellStyle name="Normal 5 2 4 5 4" xfId="9863" xr:uid="{D93F39F7-57FA-4E03-9A6C-9F8689035C33}"/>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55228540-F4BA-44B7-8B54-687250C790F1}"/>
    <cellStyle name="Normal 5 2 4 6 2 3" xfId="12421" xr:uid="{630B5DBA-2EDB-4A2C-84F8-1BC271A4804D}"/>
    <cellStyle name="Normal 5 2 4 6 3" xfId="6044" xr:uid="{00000000-0005-0000-0000-00001A190000}"/>
    <cellStyle name="Normal 5 2 4 6 3 2" xfId="14494" xr:uid="{4F26D119-B120-4931-99DB-159315A75D98}"/>
    <cellStyle name="Normal 5 2 4 6 4" xfId="10276" xr:uid="{F6468F6B-09C2-4EA4-99F5-4F5CDE5A0E51}"/>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FA09619B-52D2-4E7C-9409-50A36E2625DF}"/>
    <cellStyle name="Normal 5 2 4 7 2 3" xfId="12834" xr:uid="{DA2526D7-A338-464A-9475-CDD4D9D84185}"/>
    <cellStyle name="Normal 5 2 4 7 3" xfId="6457" xr:uid="{00000000-0005-0000-0000-00001E190000}"/>
    <cellStyle name="Normal 5 2 4 7 3 2" xfId="14907" xr:uid="{09C9BB41-EA20-4D80-AC9D-CB54ED0618C8}"/>
    <cellStyle name="Normal 5 2 4 7 4" xfId="10689" xr:uid="{F76B66C7-20D6-41BA-967E-5538BE88C191}"/>
    <cellStyle name="Normal 5 2 4 8" xfId="2587" xr:uid="{00000000-0005-0000-0000-00001F190000}"/>
    <cellStyle name="Normal 5 2 4 8 2" xfId="6870" xr:uid="{00000000-0005-0000-0000-000020190000}"/>
    <cellStyle name="Normal 5 2 4 8 2 2" xfId="15320" xr:uid="{BEE431C7-F84D-4635-8E5B-0942B13A9948}"/>
    <cellStyle name="Normal 5 2 4 8 3" xfId="11102" xr:uid="{973FEC91-F654-4A4B-8BD1-D6FA597F63A7}"/>
    <cellStyle name="Normal 5 2 4 9" xfId="4805" xr:uid="{00000000-0005-0000-0000-000021190000}"/>
    <cellStyle name="Normal 5 2 4 9 2" xfId="13255" xr:uid="{07C14FBA-8455-41BD-A74D-4EEAB753BE4E}"/>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205CE3E3-4679-4B14-BCF5-561031B5C250}"/>
    <cellStyle name="Normal 5 2 5 2 2 2 3" xfId="11600" xr:uid="{CDCA6690-2DD9-44BE-889F-DE1F55F40491}"/>
    <cellStyle name="Normal 5 2 5 2 2 3" xfId="5223" xr:uid="{00000000-0005-0000-0000-000027190000}"/>
    <cellStyle name="Normal 5 2 5 2 2 3 2" xfId="13673" xr:uid="{8C2F69AC-DF40-4E4F-A642-25FBEC945AEE}"/>
    <cellStyle name="Normal 5 2 5 2 2 4" xfId="9455" xr:uid="{5B7A320D-8DCF-4D05-84A2-112D6F626C0C}"/>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9958575D-DF68-4EA6-A7C7-CB22F2367D18}"/>
    <cellStyle name="Normal 5 2 5 2 3 2 3" xfId="12013" xr:uid="{807C9ABB-A196-4E22-8AAC-893AEDE5881F}"/>
    <cellStyle name="Normal 5 2 5 2 3 3" xfId="5636" xr:uid="{00000000-0005-0000-0000-00002B190000}"/>
    <cellStyle name="Normal 5 2 5 2 3 3 2" xfId="14086" xr:uid="{F6B5EA77-B5F8-4258-8F0D-D76227DEB8AE}"/>
    <cellStyle name="Normal 5 2 5 2 3 4" xfId="9868" xr:uid="{7FF395F5-097E-48AA-8DCC-6EC06F15C53E}"/>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25956CEA-FA8D-4AFE-9AC0-2F5C4A4CAE74}"/>
    <cellStyle name="Normal 5 2 5 2 4 2 3" xfId="12426" xr:uid="{7258D8A9-AE3A-4503-9484-70020F6F400C}"/>
    <cellStyle name="Normal 5 2 5 2 4 3" xfId="6049" xr:uid="{00000000-0005-0000-0000-00002F190000}"/>
    <cellStyle name="Normal 5 2 5 2 4 3 2" xfId="14499" xr:uid="{B9BC08BE-5CAC-4CC7-A7F6-9105ECB0B84E}"/>
    <cellStyle name="Normal 5 2 5 2 4 4" xfId="10281" xr:uid="{000DEF7B-5587-4DA1-B1EC-3844763632C0}"/>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8F2F6606-CC57-482F-9215-8BBF86FDE439}"/>
    <cellStyle name="Normal 5 2 5 2 5 2 3" xfId="12839" xr:uid="{0CCD53CD-6A8C-480A-8202-810944C13634}"/>
    <cellStyle name="Normal 5 2 5 2 5 3" xfId="6462" xr:uid="{00000000-0005-0000-0000-000033190000}"/>
    <cellStyle name="Normal 5 2 5 2 5 3 2" xfId="14912" xr:uid="{E6610816-ED67-4FFE-86E6-972B4051F193}"/>
    <cellStyle name="Normal 5 2 5 2 5 4" xfId="10694" xr:uid="{F2A456ED-97FD-4FC7-8F1B-7482B9FE400C}"/>
    <cellStyle name="Normal 5 2 5 2 6" xfId="2592" xr:uid="{00000000-0005-0000-0000-000034190000}"/>
    <cellStyle name="Normal 5 2 5 2 6 2" xfId="6875" xr:uid="{00000000-0005-0000-0000-000035190000}"/>
    <cellStyle name="Normal 5 2 5 2 6 2 2" xfId="15325" xr:uid="{C59B4A19-97E5-48CE-88AE-484EBE645FF1}"/>
    <cellStyle name="Normal 5 2 5 2 6 3" xfId="11107" xr:uid="{8DD0EBD6-CDA6-4AED-A6C5-E249CA94F73E}"/>
    <cellStyle name="Normal 5 2 5 2 7" xfId="4810" xr:uid="{00000000-0005-0000-0000-000036190000}"/>
    <cellStyle name="Normal 5 2 5 2 7 2" xfId="13260" xr:uid="{ECB6BA1A-8D9F-49C9-BFA8-F5F291C9B56F}"/>
    <cellStyle name="Normal 5 2 5 2 8" xfId="9042" xr:uid="{20BD6CA9-8F53-4850-A743-3BBEE46A29F4}"/>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C14DA26E-B9A6-46C4-8C4A-038F583E9B69}"/>
    <cellStyle name="Normal 5 2 5 3 2 3" xfId="11599" xr:uid="{3F7988D7-3DBD-4914-BEFF-A1F3EB0B8E7E}"/>
    <cellStyle name="Normal 5 2 5 3 3" xfId="5222" xr:uid="{00000000-0005-0000-0000-00003A190000}"/>
    <cellStyle name="Normal 5 2 5 3 3 2" xfId="13672" xr:uid="{F3366994-7303-41ED-B9D4-DF82D7519867}"/>
    <cellStyle name="Normal 5 2 5 3 4" xfId="9454" xr:uid="{BA8482BC-9EE4-45AA-B06D-C04AEAD88951}"/>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96A9EE05-A78C-414C-9346-1BC8015AEC9C}"/>
    <cellStyle name="Normal 5 2 5 4 2 3" xfId="12012" xr:uid="{59925962-BDFE-4214-BB18-506AC12EB897}"/>
    <cellStyle name="Normal 5 2 5 4 3" xfId="5635" xr:uid="{00000000-0005-0000-0000-00003E190000}"/>
    <cellStyle name="Normal 5 2 5 4 3 2" xfId="14085" xr:uid="{D4427571-3B9B-4E34-8D4F-E15E672913C4}"/>
    <cellStyle name="Normal 5 2 5 4 4" xfId="9867" xr:uid="{330AB5F5-089B-48F1-82C5-8EB75E6498B4}"/>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F9681386-84A8-4C82-826B-721418E42D0C}"/>
    <cellStyle name="Normal 5 2 5 5 2 3" xfId="12425" xr:uid="{7510B75D-9F6C-4DF0-858E-E89E47EC9874}"/>
    <cellStyle name="Normal 5 2 5 5 3" xfId="6048" xr:uid="{00000000-0005-0000-0000-000042190000}"/>
    <cellStyle name="Normal 5 2 5 5 3 2" xfId="14498" xr:uid="{ED7F683F-7EB5-434C-93C8-958DEE00ECE1}"/>
    <cellStyle name="Normal 5 2 5 5 4" xfId="10280" xr:uid="{B1447719-0193-4AEC-A402-45A919B4BCD8}"/>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0990424B-C460-474A-B9B8-CDE1E2784A46}"/>
    <cellStyle name="Normal 5 2 5 6 2 3" xfId="12838" xr:uid="{9D1DD789-541F-4A00-B833-C0E67AB34575}"/>
    <cellStyle name="Normal 5 2 5 6 3" xfId="6461" xr:uid="{00000000-0005-0000-0000-000046190000}"/>
    <cellStyle name="Normal 5 2 5 6 3 2" xfId="14911" xr:uid="{40D1C75D-FC82-4879-935E-2124D010CC69}"/>
    <cellStyle name="Normal 5 2 5 6 4" xfId="10693" xr:uid="{87884E68-458E-4C82-B8DE-B96B57D6F8BB}"/>
    <cellStyle name="Normal 5 2 5 7" xfId="2591" xr:uid="{00000000-0005-0000-0000-000047190000}"/>
    <cellStyle name="Normal 5 2 5 7 2" xfId="6874" xr:uid="{00000000-0005-0000-0000-000048190000}"/>
    <cellStyle name="Normal 5 2 5 7 2 2" xfId="15324" xr:uid="{E111E503-33DA-465C-88A5-13512474B8F6}"/>
    <cellStyle name="Normal 5 2 5 7 3" xfId="11106" xr:uid="{D4C82AFB-8046-439C-A582-A7DBD092833C}"/>
    <cellStyle name="Normal 5 2 5 8" xfId="4809" xr:uid="{00000000-0005-0000-0000-000049190000}"/>
    <cellStyle name="Normal 5 2 5 8 2" xfId="13259" xr:uid="{D96EC130-E0F1-42A6-A2BD-02BDF92E7D8B}"/>
    <cellStyle name="Normal 5 2 5 9" xfId="9041" xr:uid="{72503FB3-DDB7-4730-BF6E-06ED94EF1A65}"/>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A9028B08-6296-48B3-B3FD-F03CA3EB9E66}"/>
    <cellStyle name="Normal 5 2 6 2 2 3" xfId="11601" xr:uid="{C898313E-06C2-4B4A-81ED-B46EFF3662CD}"/>
    <cellStyle name="Normal 5 2 6 2 3" xfId="5224" xr:uid="{00000000-0005-0000-0000-00004E190000}"/>
    <cellStyle name="Normal 5 2 6 2 3 2" xfId="13674" xr:uid="{B554DDF8-B882-4781-B326-4B4BF8D04F67}"/>
    <cellStyle name="Normal 5 2 6 2 4" xfId="9456" xr:uid="{A030EE15-EAB8-4D00-9156-9541C6ACCB44}"/>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020D2ADA-6BE7-4436-8842-854FEE3F64AF}"/>
    <cellStyle name="Normal 5 2 6 3 2 3" xfId="12014" xr:uid="{2DEF422E-2AE5-4C0B-A879-0CE685C401ED}"/>
    <cellStyle name="Normal 5 2 6 3 3" xfId="5637" xr:uid="{00000000-0005-0000-0000-000052190000}"/>
    <cellStyle name="Normal 5 2 6 3 3 2" xfId="14087" xr:uid="{F9553AEF-54A3-474A-9F4C-916FEDDC224E}"/>
    <cellStyle name="Normal 5 2 6 3 4" xfId="9869" xr:uid="{A78269B3-5818-405B-98AF-8B041F92B366}"/>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89A37CF1-7396-4D04-8587-F618C85ED88B}"/>
    <cellStyle name="Normal 5 2 6 4 2 3" xfId="12427" xr:uid="{2CDD94D7-0D7C-4B55-91B6-39903503654B}"/>
    <cellStyle name="Normal 5 2 6 4 3" xfId="6050" xr:uid="{00000000-0005-0000-0000-000056190000}"/>
    <cellStyle name="Normal 5 2 6 4 3 2" xfId="14500" xr:uid="{0611C599-FE49-4E02-A980-C81FEDA553ED}"/>
    <cellStyle name="Normal 5 2 6 4 4" xfId="10282" xr:uid="{05B07288-A63A-4BF4-B786-4760B52636AF}"/>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7E8DC14C-01EC-4109-A734-68035991509F}"/>
    <cellStyle name="Normal 5 2 6 5 2 3" xfId="12840" xr:uid="{ACA3CA82-2648-4A2E-B35B-7E7D6277D71E}"/>
    <cellStyle name="Normal 5 2 6 5 3" xfId="6463" xr:uid="{00000000-0005-0000-0000-00005A190000}"/>
    <cellStyle name="Normal 5 2 6 5 3 2" xfId="14913" xr:uid="{5488A12E-FD87-4B4D-B8C2-DA40BC4501FB}"/>
    <cellStyle name="Normal 5 2 6 5 4" xfId="10695" xr:uid="{55DBE2BB-E483-44A9-A9BC-15E25304594A}"/>
    <cellStyle name="Normal 5 2 6 6" xfId="2593" xr:uid="{00000000-0005-0000-0000-00005B190000}"/>
    <cellStyle name="Normal 5 2 6 6 2" xfId="6876" xr:uid="{00000000-0005-0000-0000-00005C190000}"/>
    <cellStyle name="Normal 5 2 6 6 2 2" xfId="15326" xr:uid="{D67FB197-26EA-4A0A-88AD-F986B790C19C}"/>
    <cellStyle name="Normal 5 2 6 6 3" xfId="11108" xr:uid="{22F2C661-0963-4968-A5AA-26D65C22E938}"/>
    <cellStyle name="Normal 5 2 6 7" xfId="4811" xr:uid="{00000000-0005-0000-0000-00005D190000}"/>
    <cellStyle name="Normal 5 2 6 7 2" xfId="13261" xr:uid="{6EE1E752-431A-46A0-A2F6-2633BA98B11C}"/>
    <cellStyle name="Normal 5 2 6 8" xfId="9043" xr:uid="{8E9E8241-A16A-4953-BE8B-A0438EF6CB71}"/>
    <cellStyle name="Normal 5 2 7" xfId="881" xr:uid="{00000000-0005-0000-0000-00005E190000}"/>
    <cellStyle name="Normal 5 2 7 2" xfId="3116" xr:uid="{00000000-0005-0000-0000-00005F190000}"/>
    <cellStyle name="Normal 5 2 7 2 2" xfId="7338" xr:uid="{00000000-0005-0000-0000-000060190000}"/>
    <cellStyle name="Normal 5 2 7 2 2 2" xfId="15788" xr:uid="{9016B199-2593-4D35-B4CF-D16332025CC8}"/>
    <cellStyle name="Normal 5 2 7 2 3" xfId="11570" xr:uid="{3CE3262F-6637-4998-9FCD-ECCAA514E84D}"/>
    <cellStyle name="Normal 5 2 7 3" xfId="5193" xr:uid="{00000000-0005-0000-0000-000061190000}"/>
    <cellStyle name="Normal 5 2 7 3 2" xfId="13643" xr:uid="{205B8ABE-5491-428D-9612-3B7405D8E97F}"/>
    <cellStyle name="Normal 5 2 7 4" xfId="9425" xr:uid="{F21A5786-F396-4B13-AF54-AA559AB44DB4}"/>
    <cellStyle name="Normal 5 2 8" xfId="1299" xr:uid="{00000000-0005-0000-0000-000062190000}"/>
    <cellStyle name="Normal 5 2 8 2" xfId="3529" xr:uid="{00000000-0005-0000-0000-000063190000}"/>
    <cellStyle name="Normal 5 2 8 2 2" xfId="7751" xr:uid="{00000000-0005-0000-0000-000064190000}"/>
    <cellStyle name="Normal 5 2 8 2 2 2" xfId="16201" xr:uid="{8926C952-763A-42DE-90D0-86D109EF3A70}"/>
    <cellStyle name="Normal 5 2 8 2 3" xfId="11983" xr:uid="{F07B80A9-3D2D-44F5-88ED-6749C7D5A53F}"/>
    <cellStyle name="Normal 5 2 8 3" xfId="5606" xr:uid="{00000000-0005-0000-0000-000065190000}"/>
    <cellStyle name="Normal 5 2 8 3 2" xfId="14056" xr:uid="{88357153-E62C-4348-9230-CDA14CDC8CEF}"/>
    <cellStyle name="Normal 5 2 8 4" xfId="9838" xr:uid="{91E9FB43-0DC7-426B-B334-2066C72C742B}"/>
    <cellStyle name="Normal 5 2 9" xfId="1712" xr:uid="{00000000-0005-0000-0000-000066190000}"/>
    <cellStyle name="Normal 5 2 9 2" xfId="3942" xr:uid="{00000000-0005-0000-0000-000067190000}"/>
    <cellStyle name="Normal 5 2 9 2 2" xfId="8164" xr:uid="{00000000-0005-0000-0000-000068190000}"/>
    <cellStyle name="Normal 5 2 9 2 2 2" xfId="16614" xr:uid="{59AF6605-C6FC-4869-A624-4439B51C3143}"/>
    <cellStyle name="Normal 5 2 9 2 3" xfId="12396" xr:uid="{8DA8B06C-D496-4ACB-9192-0206E6AF0FF6}"/>
    <cellStyle name="Normal 5 2 9 3" xfId="6019" xr:uid="{00000000-0005-0000-0000-000069190000}"/>
    <cellStyle name="Normal 5 2 9 3 2" xfId="14469" xr:uid="{DE528509-A49E-490E-AC8F-8F306E6AB711}"/>
    <cellStyle name="Normal 5 2 9 4" xfId="10251" xr:uid="{3C302E8B-CB40-49FD-AC77-ED6CC63CFDB1}"/>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D92C9FC7-E274-4EC1-9949-DC45AD647137}"/>
    <cellStyle name="Normal 5 3 10 2 3" xfId="12841" xr:uid="{EAB570CB-AF38-4E36-9857-1D118ADD68FD}"/>
    <cellStyle name="Normal 5 3 10 3" xfId="6464" xr:uid="{00000000-0005-0000-0000-00006E190000}"/>
    <cellStyle name="Normal 5 3 10 3 2" xfId="14914" xr:uid="{6CB71D9C-3671-43F5-9D00-1F18E4CC9DB0}"/>
    <cellStyle name="Normal 5 3 10 4" xfId="10696" xr:uid="{9099C2C6-8A5F-4CAD-89D2-FD02BCB4329E}"/>
    <cellStyle name="Normal 5 3 11" xfId="2594" xr:uid="{00000000-0005-0000-0000-00006F190000}"/>
    <cellStyle name="Normal 5 3 11 2" xfId="6877" xr:uid="{00000000-0005-0000-0000-000070190000}"/>
    <cellStyle name="Normal 5 3 11 2 2" xfId="15327" xr:uid="{89CE1190-7848-4650-BDB0-9A1E773DBF69}"/>
    <cellStyle name="Normal 5 3 11 3" xfId="11109" xr:uid="{7E3D8346-7C11-4579-992C-100445FBC1B5}"/>
    <cellStyle name="Normal 5 3 12" xfId="4812" xr:uid="{00000000-0005-0000-0000-000071190000}"/>
    <cellStyle name="Normal 5 3 12 2" xfId="13262" xr:uid="{C0F015A3-8DB7-43CE-8C1A-ACB77728A769}"/>
    <cellStyle name="Normal 5 3 13" xfId="9044" xr:uid="{58A9E910-A2C2-4B00-9A10-B8B9F69584C4}"/>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0B220B21-3D33-4BD2-A66F-96D69D4C9E76}"/>
    <cellStyle name="Normal 5 3 3 11" xfId="9045" xr:uid="{AF7DF641-8100-4919-9256-8AB12650728B}"/>
    <cellStyle name="Normal 5 3 3 2" xfId="442" xr:uid="{00000000-0005-0000-0000-000076190000}"/>
    <cellStyle name="Normal 5 3 3 2 10" xfId="9046" xr:uid="{CBD959DA-6DC9-4DAA-85D6-E8B5FAE9370F}"/>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F7C147C1-D526-4A89-933B-E5A142699784}"/>
    <cellStyle name="Normal 5 3 3 2 2 2 2 2 3" xfId="11606" xr:uid="{122553D8-17EB-4145-BB39-9F7C9BF1C973}"/>
    <cellStyle name="Normal 5 3 3 2 2 2 2 3" xfId="5229" xr:uid="{00000000-0005-0000-0000-00007C190000}"/>
    <cellStyle name="Normal 5 3 3 2 2 2 2 3 2" xfId="13679" xr:uid="{33E3F919-985D-40E5-B889-5B8D46FA4188}"/>
    <cellStyle name="Normal 5 3 3 2 2 2 2 4" xfId="9461" xr:uid="{B5122B90-538A-4AB7-A275-17BAECD6ED15}"/>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9BB5BE9B-0C4C-4E85-8AD1-CFF269947C57}"/>
    <cellStyle name="Normal 5 3 3 2 2 2 3 2 3" xfId="12019" xr:uid="{FF12DDAC-651C-4BD2-B54A-784BDCA62A29}"/>
    <cellStyle name="Normal 5 3 3 2 2 2 3 3" xfId="5642" xr:uid="{00000000-0005-0000-0000-000080190000}"/>
    <cellStyle name="Normal 5 3 3 2 2 2 3 3 2" xfId="14092" xr:uid="{B1545C00-5D32-47EE-B00B-06242D3B3985}"/>
    <cellStyle name="Normal 5 3 3 2 2 2 3 4" xfId="9874" xr:uid="{645CC4FE-D1CB-4961-8CEF-CA05D150F3B4}"/>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2D7CBBED-2CA6-4F81-8F02-6355D226417B}"/>
    <cellStyle name="Normal 5 3 3 2 2 2 4 2 3" xfId="12432" xr:uid="{904D3287-B959-446C-B18B-A35B2417CFB7}"/>
    <cellStyle name="Normal 5 3 3 2 2 2 4 3" xfId="6055" xr:uid="{00000000-0005-0000-0000-000084190000}"/>
    <cellStyle name="Normal 5 3 3 2 2 2 4 3 2" xfId="14505" xr:uid="{8D19D55F-0157-4FE3-B378-C328285F82CB}"/>
    <cellStyle name="Normal 5 3 3 2 2 2 4 4" xfId="10287" xr:uid="{9F6E922E-6249-4677-9683-6E1135CE6E2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894B7900-393B-4F29-AAB8-D490B11B0C02}"/>
    <cellStyle name="Normal 5 3 3 2 2 2 5 2 3" xfId="12845" xr:uid="{F49CA2FB-11F1-4561-B5C2-2270F43D5D6C}"/>
    <cellStyle name="Normal 5 3 3 2 2 2 5 3" xfId="6468" xr:uid="{00000000-0005-0000-0000-000088190000}"/>
    <cellStyle name="Normal 5 3 3 2 2 2 5 3 2" xfId="14918" xr:uid="{5505A867-781E-4165-8A6B-4099416DBEF0}"/>
    <cellStyle name="Normal 5 3 3 2 2 2 5 4" xfId="10700" xr:uid="{6E82A64D-71FF-453C-B90B-BA1CA69E17A9}"/>
    <cellStyle name="Normal 5 3 3 2 2 2 6" xfId="2598" xr:uid="{00000000-0005-0000-0000-000089190000}"/>
    <cellStyle name="Normal 5 3 3 2 2 2 6 2" xfId="6881" xr:uid="{00000000-0005-0000-0000-00008A190000}"/>
    <cellStyle name="Normal 5 3 3 2 2 2 6 2 2" xfId="15331" xr:uid="{DE9C6DEF-5DAD-43D3-8085-E4F34F73B4E2}"/>
    <cellStyle name="Normal 5 3 3 2 2 2 6 3" xfId="11113" xr:uid="{673EA278-C0E7-41D0-8D00-84E0D8B4BF63}"/>
    <cellStyle name="Normal 5 3 3 2 2 2 7" xfId="4816" xr:uid="{00000000-0005-0000-0000-00008B190000}"/>
    <cellStyle name="Normal 5 3 3 2 2 2 7 2" xfId="13266" xr:uid="{1A4F1384-7CD3-45FB-A7CC-B6FD16864900}"/>
    <cellStyle name="Normal 5 3 3 2 2 2 8" xfId="9048" xr:uid="{56027FA3-E171-4DC6-A3C8-36ABD9D6FC4C}"/>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C09911E8-156A-4582-9F9D-C7B606791AC1}"/>
    <cellStyle name="Normal 5 3 3 2 2 3 2 3" xfId="11605" xr:uid="{17E2889D-FB89-4838-8219-D330DE0D3808}"/>
    <cellStyle name="Normal 5 3 3 2 2 3 3" xfId="5228" xr:uid="{00000000-0005-0000-0000-00008F190000}"/>
    <cellStyle name="Normal 5 3 3 2 2 3 3 2" xfId="13678" xr:uid="{5D87F5E6-2E8A-45A4-A2D4-8B724FE0BCEA}"/>
    <cellStyle name="Normal 5 3 3 2 2 3 4" xfId="9460" xr:uid="{B6128E52-0D4E-4FAD-8285-1A23C209E98B}"/>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D4B853C2-E75D-460C-BDB7-CFC73A796778}"/>
    <cellStyle name="Normal 5 3 3 2 2 4 2 3" xfId="12018" xr:uid="{BB68ED50-233E-4062-BC18-E4AB5DBF2D38}"/>
    <cellStyle name="Normal 5 3 3 2 2 4 3" xfId="5641" xr:uid="{00000000-0005-0000-0000-000093190000}"/>
    <cellStyle name="Normal 5 3 3 2 2 4 3 2" xfId="14091" xr:uid="{40CEFEA8-BF92-4094-9589-19B79218FF3A}"/>
    <cellStyle name="Normal 5 3 3 2 2 4 4" xfId="9873" xr:uid="{2C0389F2-9F6D-4880-9053-AC0252BC06D2}"/>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A120E8D0-91C8-47DD-8E29-14BCC7CEBAEE}"/>
    <cellStyle name="Normal 5 3 3 2 2 5 2 3" xfId="12431" xr:uid="{8C7A6DE3-9966-47F3-8F94-6A346F193D99}"/>
    <cellStyle name="Normal 5 3 3 2 2 5 3" xfId="6054" xr:uid="{00000000-0005-0000-0000-000097190000}"/>
    <cellStyle name="Normal 5 3 3 2 2 5 3 2" xfId="14504" xr:uid="{4353C9FD-4318-44F4-8A51-311148F9D6EC}"/>
    <cellStyle name="Normal 5 3 3 2 2 5 4" xfId="10286" xr:uid="{47009452-5018-49F4-8E12-41F106F592B5}"/>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7DC61449-CFE3-428A-9B02-C72C41EE084E}"/>
    <cellStyle name="Normal 5 3 3 2 2 6 2 3" xfId="12844" xr:uid="{6028564C-87F5-4A72-9E7C-88720EEE4648}"/>
    <cellStyle name="Normal 5 3 3 2 2 6 3" xfId="6467" xr:uid="{00000000-0005-0000-0000-00009B190000}"/>
    <cellStyle name="Normal 5 3 3 2 2 6 3 2" xfId="14917" xr:uid="{C4CEAA1D-3B6C-4526-B121-AEA2CA792BCF}"/>
    <cellStyle name="Normal 5 3 3 2 2 6 4" xfId="10699" xr:uid="{C94711E5-E92E-4411-8FB0-CD1F2170D101}"/>
    <cellStyle name="Normal 5 3 3 2 2 7" xfId="2597" xr:uid="{00000000-0005-0000-0000-00009C190000}"/>
    <cellStyle name="Normal 5 3 3 2 2 7 2" xfId="6880" xr:uid="{00000000-0005-0000-0000-00009D190000}"/>
    <cellStyle name="Normal 5 3 3 2 2 7 2 2" xfId="15330" xr:uid="{B899D2E1-634A-405C-AAC5-3AA1A8040E49}"/>
    <cellStyle name="Normal 5 3 3 2 2 7 3" xfId="11112" xr:uid="{9C0B03BE-6409-47A4-BE6C-7E22AAB06856}"/>
    <cellStyle name="Normal 5 3 3 2 2 8" xfId="4815" xr:uid="{00000000-0005-0000-0000-00009E190000}"/>
    <cellStyle name="Normal 5 3 3 2 2 8 2" xfId="13265" xr:uid="{BB5AA924-6101-42CD-9F35-13474D996D7D}"/>
    <cellStyle name="Normal 5 3 3 2 2 9" xfId="9047" xr:uid="{C3A994B2-B0F1-4C1F-B5A5-87FA1AB162EE}"/>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CE7F36EF-AB6E-4CAC-B9D6-8DD4C43CBEAA}"/>
    <cellStyle name="Normal 5 3 3 2 3 2 2 3" xfId="11607" xr:uid="{B6CA5261-1BD9-4832-81DE-0961DA4F92CD}"/>
    <cellStyle name="Normal 5 3 3 2 3 2 3" xfId="5230" xr:uid="{00000000-0005-0000-0000-0000A3190000}"/>
    <cellStyle name="Normal 5 3 3 2 3 2 3 2" xfId="13680" xr:uid="{D519FABE-8982-4A59-9020-256463C43F3E}"/>
    <cellStyle name="Normal 5 3 3 2 3 2 4" xfId="9462" xr:uid="{2AF0F8AE-65E2-4E68-AE15-7466C81A5A77}"/>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BF302371-0463-46FA-AC1A-33922BD898CB}"/>
    <cellStyle name="Normal 5 3 3 2 3 3 2 3" xfId="12020" xr:uid="{3C3C9C6A-BDDA-4CD0-92A0-B042E9813F42}"/>
    <cellStyle name="Normal 5 3 3 2 3 3 3" xfId="5643" xr:uid="{00000000-0005-0000-0000-0000A7190000}"/>
    <cellStyle name="Normal 5 3 3 2 3 3 3 2" xfId="14093" xr:uid="{F96892E4-DE66-462F-BCF1-013CB2C50AC6}"/>
    <cellStyle name="Normal 5 3 3 2 3 3 4" xfId="9875" xr:uid="{2502F21B-F16F-48AD-8411-B4D866AABD29}"/>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B43E2A8E-FE91-4527-8BA5-F36BCBE20EED}"/>
    <cellStyle name="Normal 5 3 3 2 3 4 2 3" xfId="12433" xr:uid="{42064150-8772-471F-A7E0-37D04BDB44AC}"/>
    <cellStyle name="Normal 5 3 3 2 3 4 3" xfId="6056" xr:uid="{00000000-0005-0000-0000-0000AB190000}"/>
    <cellStyle name="Normal 5 3 3 2 3 4 3 2" xfId="14506" xr:uid="{91B0DA72-5467-4C5A-8405-F48C5A69C8AB}"/>
    <cellStyle name="Normal 5 3 3 2 3 4 4" xfId="10288" xr:uid="{5D19B31C-DAE7-4B96-8C39-DDF7BD01B5CA}"/>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683EB8A5-83F0-40D2-8152-184957C3056A}"/>
    <cellStyle name="Normal 5 3 3 2 3 5 2 3" xfId="12846" xr:uid="{DD0D11AF-B95A-49EB-B762-88441A704E98}"/>
    <cellStyle name="Normal 5 3 3 2 3 5 3" xfId="6469" xr:uid="{00000000-0005-0000-0000-0000AF190000}"/>
    <cellStyle name="Normal 5 3 3 2 3 5 3 2" xfId="14919" xr:uid="{7009EC7F-4E71-401F-9C65-D83C7E44BD7A}"/>
    <cellStyle name="Normal 5 3 3 2 3 5 4" xfId="10701" xr:uid="{BF3E411B-1085-4B1B-96C0-F26B906A611C}"/>
    <cellStyle name="Normal 5 3 3 2 3 6" xfId="2599" xr:uid="{00000000-0005-0000-0000-0000B0190000}"/>
    <cellStyle name="Normal 5 3 3 2 3 6 2" xfId="6882" xr:uid="{00000000-0005-0000-0000-0000B1190000}"/>
    <cellStyle name="Normal 5 3 3 2 3 6 2 2" xfId="15332" xr:uid="{E9A75FB8-CD06-476E-BEF0-B05582021812}"/>
    <cellStyle name="Normal 5 3 3 2 3 6 3" xfId="11114" xr:uid="{015A53D9-D620-4239-B492-402690015AE4}"/>
    <cellStyle name="Normal 5 3 3 2 3 7" xfId="4817" xr:uid="{00000000-0005-0000-0000-0000B2190000}"/>
    <cellStyle name="Normal 5 3 3 2 3 7 2" xfId="13267" xr:uid="{06CF50AD-96BC-45EF-B602-0FD45DD2D67B}"/>
    <cellStyle name="Normal 5 3 3 2 3 8" xfId="9049" xr:uid="{5A08AE45-AB66-4207-9372-69AD7A2D5D0B}"/>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99E4E806-1992-47DD-B833-30C950B2FA9B}"/>
    <cellStyle name="Normal 5 3 3 2 4 2 3" xfId="11604" xr:uid="{7752D5A1-FFC0-45E3-AAE4-0DF57CB5DAF9}"/>
    <cellStyle name="Normal 5 3 3 2 4 3" xfId="5227" xr:uid="{00000000-0005-0000-0000-0000B6190000}"/>
    <cellStyle name="Normal 5 3 3 2 4 3 2" xfId="13677" xr:uid="{26974F3F-46E5-41F4-87BE-4F752D3B152B}"/>
    <cellStyle name="Normal 5 3 3 2 4 4" xfId="9459" xr:uid="{22D78D90-5550-4B16-A72F-2A6B13756E68}"/>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1A515DDE-3491-4E69-87EA-C1F04CD7EA54}"/>
    <cellStyle name="Normal 5 3 3 2 5 2 3" xfId="12017" xr:uid="{1DC6AB06-C9E7-41D4-8D24-3009C04000D5}"/>
    <cellStyle name="Normal 5 3 3 2 5 3" xfId="5640" xr:uid="{00000000-0005-0000-0000-0000BA190000}"/>
    <cellStyle name="Normal 5 3 3 2 5 3 2" xfId="14090" xr:uid="{1829C77F-4575-4020-B84B-AA65B04C0B9A}"/>
    <cellStyle name="Normal 5 3 3 2 5 4" xfId="9872" xr:uid="{06E22373-5B2F-421D-A3D6-4C9275EC910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350BD6CE-4368-42A4-BE4E-6502DB0BEC5E}"/>
    <cellStyle name="Normal 5 3 3 2 6 2 3" xfId="12430" xr:uid="{5141BD1C-8826-4670-94D9-152316BF4E74}"/>
    <cellStyle name="Normal 5 3 3 2 6 3" xfId="6053" xr:uid="{00000000-0005-0000-0000-0000BE190000}"/>
    <cellStyle name="Normal 5 3 3 2 6 3 2" xfId="14503" xr:uid="{C2025C3F-933D-46C0-BEFC-185F53B26885}"/>
    <cellStyle name="Normal 5 3 3 2 6 4" xfId="10285" xr:uid="{043A8304-DF3F-4D9D-A709-DB8F0BFFCB3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41A5CEE4-EF7E-48D7-AD10-BFD2BCC04B63}"/>
    <cellStyle name="Normal 5 3 3 2 7 2 3" xfId="12843" xr:uid="{12B07176-473A-433E-AD91-C81123ABFEB7}"/>
    <cellStyle name="Normal 5 3 3 2 7 3" xfId="6466" xr:uid="{00000000-0005-0000-0000-0000C2190000}"/>
    <cellStyle name="Normal 5 3 3 2 7 3 2" xfId="14916" xr:uid="{A5DEA021-BD1C-4B88-B7A4-A253C4E30E86}"/>
    <cellStyle name="Normal 5 3 3 2 7 4" xfId="10698" xr:uid="{BD1B5963-C0DD-4154-B6D1-46E1E97B6BD9}"/>
    <cellStyle name="Normal 5 3 3 2 8" xfId="2596" xr:uid="{00000000-0005-0000-0000-0000C3190000}"/>
    <cellStyle name="Normal 5 3 3 2 8 2" xfId="6879" xr:uid="{00000000-0005-0000-0000-0000C4190000}"/>
    <cellStyle name="Normal 5 3 3 2 8 2 2" xfId="15329" xr:uid="{02A1C6A7-561B-4D2A-8499-865BC98615C8}"/>
    <cellStyle name="Normal 5 3 3 2 8 3" xfId="11111" xr:uid="{625D4A90-EA5F-4F45-B1D4-4B33FCCE0CB7}"/>
    <cellStyle name="Normal 5 3 3 2 9" xfId="4814" xr:uid="{00000000-0005-0000-0000-0000C5190000}"/>
    <cellStyle name="Normal 5 3 3 2 9 2" xfId="13264" xr:uid="{01EAC325-B695-4964-8C42-4CDEDC892DFF}"/>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DCE5E44C-1121-4C93-A618-3FDF60928208}"/>
    <cellStyle name="Normal 5 3 3 3 2 2 2 3" xfId="11609" xr:uid="{89B19DF6-86B2-4F0A-8F77-C1000317783A}"/>
    <cellStyle name="Normal 5 3 3 3 2 2 3" xfId="5232" xr:uid="{00000000-0005-0000-0000-0000CB190000}"/>
    <cellStyle name="Normal 5 3 3 3 2 2 3 2" xfId="13682" xr:uid="{8C0DB251-C810-4AE5-A00B-FF25CA7A7203}"/>
    <cellStyle name="Normal 5 3 3 3 2 2 4" xfId="9464" xr:uid="{FD21D7FC-8421-41BB-A4E7-78F800C08E41}"/>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F49FEB8C-464E-4826-B942-5E0E50918098}"/>
    <cellStyle name="Normal 5 3 3 3 2 3 2 3" xfId="12022" xr:uid="{4EC88443-12D4-4283-9559-DC5DABD2BF3B}"/>
    <cellStyle name="Normal 5 3 3 3 2 3 3" xfId="5645" xr:uid="{00000000-0005-0000-0000-0000CF190000}"/>
    <cellStyle name="Normal 5 3 3 3 2 3 3 2" xfId="14095" xr:uid="{E6221BE0-2821-49CE-A1EA-92B81705AA85}"/>
    <cellStyle name="Normal 5 3 3 3 2 3 4" xfId="9877" xr:uid="{403BD781-C8A5-4AF8-A227-222FCA5DE99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3DBCE3C9-DC92-4AFF-9103-7F3F87919FE6}"/>
    <cellStyle name="Normal 5 3 3 3 2 4 2 3" xfId="12435" xr:uid="{9BAF2D18-0786-4B79-B34D-3C77BA479EAD}"/>
    <cellStyle name="Normal 5 3 3 3 2 4 3" xfId="6058" xr:uid="{00000000-0005-0000-0000-0000D3190000}"/>
    <cellStyle name="Normal 5 3 3 3 2 4 3 2" xfId="14508" xr:uid="{B3406895-0653-475C-A7E9-B748B1442ECA}"/>
    <cellStyle name="Normal 5 3 3 3 2 4 4" xfId="10290" xr:uid="{71F96052-5DC7-4C5C-8A5C-F352ED6CA02F}"/>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71E92358-D5EC-45DA-83F3-482B20FA1ADA}"/>
    <cellStyle name="Normal 5 3 3 3 2 5 2 3" xfId="12848" xr:uid="{E5288950-FDC6-4FA1-BA1F-8DF654519729}"/>
    <cellStyle name="Normal 5 3 3 3 2 5 3" xfId="6471" xr:uid="{00000000-0005-0000-0000-0000D7190000}"/>
    <cellStyle name="Normal 5 3 3 3 2 5 3 2" xfId="14921" xr:uid="{5CF59C91-FC46-4AD6-A62C-141249356D08}"/>
    <cellStyle name="Normal 5 3 3 3 2 5 4" xfId="10703" xr:uid="{B39E69D0-7D92-43D6-B417-C5F8E8A1BA9B}"/>
    <cellStyle name="Normal 5 3 3 3 2 6" xfId="2601" xr:uid="{00000000-0005-0000-0000-0000D8190000}"/>
    <cellStyle name="Normal 5 3 3 3 2 6 2" xfId="6884" xr:uid="{00000000-0005-0000-0000-0000D9190000}"/>
    <cellStyle name="Normal 5 3 3 3 2 6 2 2" xfId="15334" xr:uid="{26E0A70C-6823-4434-AE13-340378DE6E4B}"/>
    <cellStyle name="Normal 5 3 3 3 2 6 3" xfId="11116" xr:uid="{42D691A6-BE42-410E-9366-CA2E5F589640}"/>
    <cellStyle name="Normal 5 3 3 3 2 7" xfId="4819" xr:uid="{00000000-0005-0000-0000-0000DA190000}"/>
    <cellStyle name="Normal 5 3 3 3 2 7 2" xfId="13269" xr:uid="{6FEB6545-883D-4AA9-A5CF-AAB893511759}"/>
    <cellStyle name="Normal 5 3 3 3 2 8" xfId="9051" xr:uid="{6BDBC24E-31E9-40B2-94F3-8DA81E172C09}"/>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BECF1D8A-5180-4245-880B-E8E66F566C13}"/>
    <cellStyle name="Normal 5 3 3 3 3 2 3" xfId="11608" xr:uid="{C3F95842-959C-47AE-B3CA-EA813D172C53}"/>
    <cellStyle name="Normal 5 3 3 3 3 3" xfId="5231" xr:uid="{00000000-0005-0000-0000-0000DE190000}"/>
    <cellStyle name="Normal 5 3 3 3 3 3 2" xfId="13681" xr:uid="{2390EDE6-6444-443E-A05C-09AF8FDBCD1A}"/>
    <cellStyle name="Normal 5 3 3 3 3 4" xfId="9463" xr:uid="{715BD249-16B7-4896-8C6B-3F660CD7813D}"/>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B01AE022-56D2-47F1-9E16-C5C487ED489E}"/>
    <cellStyle name="Normal 5 3 3 3 4 2 3" xfId="12021" xr:uid="{41A7DA5A-6B4E-49FD-829C-13FE5105B2CA}"/>
    <cellStyle name="Normal 5 3 3 3 4 3" xfId="5644" xr:uid="{00000000-0005-0000-0000-0000E2190000}"/>
    <cellStyle name="Normal 5 3 3 3 4 3 2" xfId="14094" xr:uid="{E9F54C7B-3392-4D9E-AACF-94BD73428780}"/>
    <cellStyle name="Normal 5 3 3 3 4 4" xfId="9876" xr:uid="{1E9CA06B-81B4-495C-9A14-F30E853F379C}"/>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EFDD68D1-83D2-4B86-9147-B4F4710BA31F}"/>
    <cellStyle name="Normal 5 3 3 3 5 2 3" xfId="12434" xr:uid="{6592E00B-2A7F-4367-905A-9B263AE6E80F}"/>
    <cellStyle name="Normal 5 3 3 3 5 3" xfId="6057" xr:uid="{00000000-0005-0000-0000-0000E6190000}"/>
    <cellStyle name="Normal 5 3 3 3 5 3 2" xfId="14507" xr:uid="{4C6BD416-8C91-4312-AB17-18631B5FA283}"/>
    <cellStyle name="Normal 5 3 3 3 5 4" xfId="10289" xr:uid="{34069195-5819-445D-8FBD-13D1DCCC0B48}"/>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FA389FC2-5461-41FE-AFD8-EFE999EB105A}"/>
    <cellStyle name="Normal 5 3 3 3 6 2 3" xfId="12847" xr:uid="{F997916F-C7DD-44A3-B4EE-38766A17D6D4}"/>
    <cellStyle name="Normal 5 3 3 3 6 3" xfId="6470" xr:uid="{00000000-0005-0000-0000-0000EA190000}"/>
    <cellStyle name="Normal 5 3 3 3 6 3 2" xfId="14920" xr:uid="{5DC58D84-FF45-4A2A-BC0F-A2F7BB0C958A}"/>
    <cellStyle name="Normal 5 3 3 3 6 4" xfId="10702" xr:uid="{C2DBC793-43BD-49A7-BAFD-71BADCCA76CA}"/>
    <cellStyle name="Normal 5 3 3 3 7" xfId="2600" xr:uid="{00000000-0005-0000-0000-0000EB190000}"/>
    <cellStyle name="Normal 5 3 3 3 7 2" xfId="6883" xr:uid="{00000000-0005-0000-0000-0000EC190000}"/>
    <cellStyle name="Normal 5 3 3 3 7 2 2" xfId="15333" xr:uid="{0F514F34-738C-47A6-8854-D374261D7AD8}"/>
    <cellStyle name="Normal 5 3 3 3 7 3" xfId="11115" xr:uid="{CBC36EAC-6C25-4F18-87CE-9AEC987A8A02}"/>
    <cellStyle name="Normal 5 3 3 3 8" xfId="4818" xr:uid="{00000000-0005-0000-0000-0000ED190000}"/>
    <cellStyle name="Normal 5 3 3 3 8 2" xfId="13268" xr:uid="{F08C98D5-2464-4F99-B3A4-0F1DE4123620}"/>
    <cellStyle name="Normal 5 3 3 3 9" xfId="9050" xr:uid="{87B3E1CB-4D84-4DAB-A087-B0BE1A6FDE1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849F9119-0FBF-4BF5-B285-07644B0F7824}"/>
    <cellStyle name="Normal 5 3 3 4 2 2 3" xfId="11610" xr:uid="{613797D1-84C3-49E3-A9C3-3C91BF873D7C}"/>
    <cellStyle name="Normal 5 3 3 4 2 3" xfId="5233" xr:uid="{00000000-0005-0000-0000-0000F2190000}"/>
    <cellStyle name="Normal 5 3 3 4 2 3 2" xfId="13683" xr:uid="{5CAD3F2E-6E76-42DB-AE6D-9D5FD2A4D602}"/>
    <cellStyle name="Normal 5 3 3 4 2 4" xfId="9465" xr:uid="{D27A5177-F2BE-42A9-81B7-B72F1374315E}"/>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43E74C8C-87E9-41C6-B3B9-B41474231AB5}"/>
    <cellStyle name="Normal 5 3 3 4 3 2 3" xfId="12023" xr:uid="{C7185A92-FEBE-4372-BF74-11F2F83B1350}"/>
    <cellStyle name="Normal 5 3 3 4 3 3" xfId="5646" xr:uid="{00000000-0005-0000-0000-0000F6190000}"/>
    <cellStyle name="Normal 5 3 3 4 3 3 2" xfId="14096" xr:uid="{87AF293C-112F-4876-A040-15CE2C6CD98B}"/>
    <cellStyle name="Normal 5 3 3 4 3 4" xfId="9878" xr:uid="{CA9C4315-A3E0-4F06-8F74-33D69287A71B}"/>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217AF463-2443-4A56-9BBF-36DD1660A307}"/>
    <cellStyle name="Normal 5 3 3 4 4 2 3" xfId="12436" xr:uid="{7382BF9F-7FDB-4CB0-88C4-E4F656D2B0A4}"/>
    <cellStyle name="Normal 5 3 3 4 4 3" xfId="6059" xr:uid="{00000000-0005-0000-0000-0000FA190000}"/>
    <cellStyle name="Normal 5 3 3 4 4 3 2" xfId="14509" xr:uid="{1E5457E5-169E-47DC-989F-43A4232C4C56}"/>
    <cellStyle name="Normal 5 3 3 4 4 4" xfId="10291" xr:uid="{BFB5381E-2024-4DAA-9D26-AFD723A74C50}"/>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E7965CE9-9ECF-4671-83AB-590B902BC87F}"/>
    <cellStyle name="Normal 5 3 3 4 5 2 3" xfId="12849" xr:uid="{F5C95560-766A-42F1-B75B-DEF600A90978}"/>
    <cellStyle name="Normal 5 3 3 4 5 3" xfId="6472" xr:uid="{00000000-0005-0000-0000-0000FE190000}"/>
    <cellStyle name="Normal 5 3 3 4 5 3 2" xfId="14922" xr:uid="{3249E936-030F-4882-8F00-3F6A1216E32C}"/>
    <cellStyle name="Normal 5 3 3 4 5 4" xfId="10704" xr:uid="{C2A3D41E-D2F9-4369-9514-70625EA5CBAC}"/>
    <cellStyle name="Normal 5 3 3 4 6" xfId="2602" xr:uid="{00000000-0005-0000-0000-0000FF190000}"/>
    <cellStyle name="Normal 5 3 3 4 6 2" xfId="6885" xr:uid="{00000000-0005-0000-0000-0000001A0000}"/>
    <cellStyle name="Normal 5 3 3 4 6 2 2" xfId="15335" xr:uid="{5E0B8CC9-540F-484D-931D-3C8AA5DC1248}"/>
    <cellStyle name="Normal 5 3 3 4 6 3" xfId="11117" xr:uid="{65F5D981-1B72-4F11-9FA8-0D6E1D9BA1E1}"/>
    <cellStyle name="Normal 5 3 3 4 7" xfId="4820" xr:uid="{00000000-0005-0000-0000-0000011A0000}"/>
    <cellStyle name="Normal 5 3 3 4 7 2" xfId="13270" xr:uid="{02E7FB64-29FC-43D0-9380-1996B0332F7E}"/>
    <cellStyle name="Normal 5 3 3 4 8" xfId="9052" xr:uid="{833AD29B-B986-4942-8EAC-39B2E444F2F6}"/>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19D6479A-0F80-4BF0-A6C8-BD320C0A7079}"/>
    <cellStyle name="Normal 5 3 3 5 2 3" xfId="11603" xr:uid="{BA47BD4F-C1DB-4EF5-8D20-3DCE55FC62D1}"/>
    <cellStyle name="Normal 5 3 3 5 3" xfId="5226" xr:uid="{00000000-0005-0000-0000-0000051A0000}"/>
    <cellStyle name="Normal 5 3 3 5 3 2" xfId="13676" xr:uid="{C9BD7301-29A1-424E-A409-4141F90A8113}"/>
    <cellStyle name="Normal 5 3 3 5 4" xfId="9458" xr:uid="{3AD59D63-D6AF-4F57-88B8-CA39950E2E22}"/>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9424BA2C-16D0-444C-B5E5-CFA8F4606A41}"/>
    <cellStyle name="Normal 5 3 3 6 2 3" xfId="12016" xr:uid="{6BB62F1E-9C56-40F9-8224-9E712536478E}"/>
    <cellStyle name="Normal 5 3 3 6 3" xfId="5639" xr:uid="{00000000-0005-0000-0000-0000091A0000}"/>
    <cellStyle name="Normal 5 3 3 6 3 2" xfId="14089" xr:uid="{8008AE81-44F6-4F9D-9325-E5DF8DD6AF34}"/>
    <cellStyle name="Normal 5 3 3 6 4" xfId="9871" xr:uid="{B7E00DD8-3420-400A-BBEB-5A7449267553}"/>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CED34E05-0928-40AF-BF8C-28D7D2687FF7}"/>
    <cellStyle name="Normal 5 3 3 7 2 3" xfId="12429" xr:uid="{6B0A791E-D489-4390-8F5C-59C70AED3D53}"/>
    <cellStyle name="Normal 5 3 3 7 3" xfId="6052" xr:uid="{00000000-0005-0000-0000-00000D1A0000}"/>
    <cellStyle name="Normal 5 3 3 7 3 2" xfId="14502" xr:uid="{4354611A-1B99-4EEB-94A6-05290F51C908}"/>
    <cellStyle name="Normal 5 3 3 7 4" xfId="10284" xr:uid="{74D02BE4-A75A-44E8-9367-A2D8530CDE51}"/>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ACF5FC02-CCC6-4D3D-AD42-AB158933C30E}"/>
    <cellStyle name="Normal 5 3 3 8 2 3" xfId="12842" xr:uid="{4DF8F600-C99C-475E-B0E5-043DFAED408D}"/>
    <cellStyle name="Normal 5 3 3 8 3" xfId="6465" xr:uid="{00000000-0005-0000-0000-0000111A0000}"/>
    <cellStyle name="Normal 5 3 3 8 3 2" xfId="14915" xr:uid="{7BDC8FDF-882D-4A30-A996-728ABD226500}"/>
    <cellStyle name="Normal 5 3 3 8 4" xfId="10697" xr:uid="{4D6170EA-608C-462C-8F13-B2CF20D25148}"/>
    <cellStyle name="Normal 5 3 3 9" xfId="2595" xr:uid="{00000000-0005-0000-0000-0000121A0000}"/>
    <cellStyle name="Normal 5 3 3 9 2" xfId="6878" xr:uid="{00000000-0005-0000-0000-0000131A0000}"/>
    <cellStyle name="Normal 5 3 3 9 2 2" xfId="15328" xr:uid="{AB7EBA54-D8BC-4FF0-B11C-5D7F563233AC}"/>
    <cellStyle name="Normal 5 3 3 9 3" xfId="11110" xr:uid="{6C516656-D98E-4FA4-827B-F228619AB401}"/>
    <cellStyle name="Normal 5 3 4" xfId="449" xr:uid="{00000000-0005-0000-0000-0000141A0000}"/>
    <cellStyle name="Normal 5 3 4 10" xfId="9053" xr:uid="{367FF10E-2A68-4D04-9BDD-291ED5F20168}"/>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AB54AC26-B6C3-4D01-838D-39E2659C61D5}"/>
    <cellStyle name="Normal 5 3 4 2 2 2 2 3" xfId="11613" xr:uid="{979D4792-8AEC-4F59-A1F8-52B52CDEFB2F}"/>
    <cellStyle name="Normal 5 3 4 2 2 2 3" xfId="5236" xr:uid="{00000000-0005-0000-0000-00001A1A0000}"/>
    <cellStyle name="Normal 5 3 4 2 2 2 3 2" xfId="13686" xr:uid="{879EEB24-9F57-4FFA-A142-88DCE9FA65A6}"/>
    <cellStyle name="Normal 5 3 4 2 2 2 4" xfId="9468" xr:uid="{C51734E9-69E5-45A8-A480-F530C2583E8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136E1C01-ABFF-4670-8E20-DAF72EED3832}"/>
    <cellStyle name="Normal 5 3 4 2 2 3 2 3" xfId="12026" xr:uid="{9FA3FE55-4BCD-465A-8663-7FECB90224B3}"/>
    <cellStyle name="Normal 5 3 4 2 2 3 3" xfId="5649" xr:uid="{00000000-0005-0000-0000-00001E1A0000}"/>
    <cellStyle name="Normal 5 3 4 2 2 3 3 2" xfId="14099" xr:uid="{98EB44FD-941C-432A-8D6C-70359CB0D92D}"/>
    <cellStyle name="Normal 5 3 4 2 2 3 4" xfId="9881" xr:uid="{79BF1B38-7767-4D4D-A4F9-46A02A76980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3829CC5E-6085-4138-B559-4351A49D660E}"/>
    <cellStyle name="Normal 5 3 4 2 2 4 2 3" xfId="12439" xr:uid="{68900F07-9B30-403B-B4E1-E20678556E88}"/>
    <cellStyle name="Normal 5 3 4 2 2 4 3" xfId="6062" xr:uid="{00000000-0005-0000-0000-0000221A0000}"/>
    <cellStyle name="Normal 5 3 4 2 2 4 3 2" xfId="14512" xr:uid="{A1203134-E3E8-4A84-88E6-29797F264A8C}"/>
    <cellStyle name="Normal 5 3 4 2 2 4 4" xfId="10294" xr:uid="{23F0B225-F1B1-4C5A-B2CA-99A204DDA64A}"/>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B4412BEE-C5E0-4B91-A190-6A11C523CD46}"/>
    <cellStyle name="Normal 5 3 4 2 2 5 2 3" xfId="12852" xr:uid="{C33410BE-9507-4DD2-B144-925A684EA399}"/>
    <cellStyle name="Normal 5 3 4 2 2 5 3" xfId="6475" xr:uid="{00000000-0005-0000-0000-0000261A0000}"/>
    <cellStyle name="Normal 5 3 4 2 2 5 3 2" xfId="14925" xr:uid="{2A4D97E4-40DF-4927-8BE4-D3A22EF98DB9}"/>
    <cellStyle name="Normal 5 3 4 2 2 5 4" xfId="10707" xr:uid="{E94911E5-F1E8-4E4F-B038-FA7DF1ABE652}"/>
    <cellStyle name="Normal 5 3 4 2 2 6" xfId="2605" xr:uid="{00000000-0005-0000-0000-0000271A0000}"/>
    <cellStyle name="Normal 5 3 4 2 2 6 2" xfId="6888" xr:uid="{00000000-0005-0000-0000-0000281A0000}"/>
    <cellStyle name="Normal 5 3 4 2 2 6 2 2" xfId="15338" xr:uid="{89D6AEF8-4338-4AE6-BE68-B2C535700EE9}"/>
    <cellStyle name="Normal 5 3 4 2 2 6 3" xfId="11120" xr:uid="{07864028-D264-43D8-B002-2B4FDEA89EB1}"/>
    <cellStyle name="Normal 5 3 4 2 2 7" xfId="4823" xr:uid="{00000000-0005-0000-0000-0000291A0000}"/>
    <cellStyle name="Normal 5 3 4 2 2 7 2" xfId="13273" xr:uid="{B67631D4-B64B-42FB-9276-F2B08AD56307}"/>
    <cellStyle name="Normal 5 3 4 2 2 8" xfId="9055" xr:uid="{AAF300A6-20BB-4A7A-8B13-99E7608EE99F}"/>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F8510F95-A9AB-4F26-9CA5-B181813DDE6D}"/>
    <cellStyle name="Normal 5 3 4 2 3 2 3" xfId="11612" xr:uid="{6596EBB2-832C-4ED4-ADAB-ACD02501ED5B}"/>
    <cellStyle name="Normal 5 3 4 2 3 3" xfId="5235" xr:uid="{00000000-0005-0000-0000-00002D1A0000}"/>
    <cellStyle name="Normal 5 3 4 2 3 3 2" xfId="13685" xr:uid="{DA435640-9C69-48F2-828B-A54E37EE7C18}"/>
    <cellStyle name="Normal 5 3 4 2 3 4" xfId="9467" xr:uid="{6A2FDC9E-59D4-4030-AD43-3C9B641E298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4A072418-E29C-4B80-91DF-3A327E057F05}"/>
    <cellStyle name="Normal 5 3 4 2 4 2 3" xfId="12025" xr:uid="{291251CD-AE29-4BE4-8767-FA820DA2C651}"/>
    <cellStyle name="Normal 5 3 4 2 4 3" xfId="5648" xr:uid="{00000000-0005-0000-0000-0000311A0000}"/>
    <cellStyle name="Normal 5 3 4 2 4 3 2" xfId="14098" xr:uid="{F473DE24-3C19-4E0C-B22C-E524E4C15BA9}"/>
    <cellStyle name="Normal 5 3 4 2 4 4" xfId="9880" xr:uid="{F895EDA7-FE15-4F34-BDE7-6AFD6496965A}"/>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DBF6AC7C-3DFB-4074-BC40-B49E415FFDFA}"/>
    <cellStyle name="Normal 5 3 4 2 5 2 3" xfId="12438" xr:uid="{D0C1EFAB-E251-4949-A52C-D0EF5CC71560}"/>
    <cellStyle name="Normal 5 3 4 2 5 3" xfId="6061" xr:uid="{00000000-0005-0000-0000-0000351A0000}"/>
    <cellStyle name="Normal 5 3 4 2 5 3 2" xfId="14511" xr:uid="{CB6B100C-7F3F-4FA0-A020-83CDC99735F9}"/>
    <cellStyle name="Normal 5 3 4 2 5 4" xfId="10293" xr:uid="{443E577F-470F-4EBD-AF32-F1EEEC5B6881}"/>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FC313F53-4C3E-45C9-93D4-49D2BDA01C35}"/>
    <cellStyle name="Normal 5 3 4 2 6 2 3" xfId="12851" xr:uid="{41775CE5-DC86-40B8-B29C-B88345BE2028}"/>
    <cellStyle name="Normal 5 3 4 2 6 3" xfId="6474" xr:uid="{00000000-0005-0000-0000-0000391A0000}"/>
    <cellStyle name="Normal 5 3 4 2 6 3 2" xfId="14924" xr:uid="{C0371687-3F0A-4CD2-BB79-C6184A1370D6}"/>
    <cellStyle name="Normal 5 3 4 2 6 4" xfId="10706" xr:uid="{0CCF7C62-8675-42F4-B6CC-94BF7C7DE87C}"/>
    <cellStyle name="Normal 5 3 4 2 7" xfId="2604" xr:uid="{00000000-0005-0000-0000-00003A1A0000}"/>
    <cellStyle name="Normal 5 3 4 2 7 2" xfId="6887" xr:uid="{00000000-0005-0000-0000-00003B1A0000}"/>
    <cellStyle name="Normal 5 3 4 2 7 2 2" xfId="15337" xr:uid="{A56C11B0-C535-4CB2-BB02-8B1A066E8037}"/>
    <cellStyle name="Normal 5 3 4 2 7 3" xfId="11119" xr:uid="{3D7209B9-7C61-4D99-9F2C-23DF0836E96D}"/>
    <cellStyle name="Normal 5 3 4 2 8" xfId="4822" xr:uid="{00000000-0005-0000-0000-00003C1A0000}"/>
    <cellStyle name="Normal 5 3 4 2 8 2" xfId="13272" xr:uid="{66E326C5-A115-4585-A294-FF25ECAD89E2}"/>
    <cellStyle name="Normal 5 3 4 2 9" xfId="9054" xr:uid="{EF1761E6-534D-4084-AA5F-8D79EBEEE487}"/>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A33938A7-050A-4DC1-83C5-1CB4E82F4083}"/>
    <cellStyle name="Normal 5 3 4 3 2 2 3" xfId="11614" xr:uid="{8E65CD3D-B516-4E2F-9A95-4B08B46298C2}"/>
    <cellStyle name="Normal 5 3 4 3 2 3" xfId="5237" xr:uid="{00000000-0005-0000-0000-0000411A0000}"/>
    <cellStyle name="Normal 5 3 4 3 2 3 2" xfId="13687" xr:uid="{3251D463-12EB-499F-B2D4-A696143B40A9}"/>
    <cellStyle name="Normal 5 3 4 3 2 4" xfId="9469" xr:uid="{B3E98AA0-CF82-4FE6-8F57-65FFB3A92A1A}"/>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62CEFD5A-51C5-42C5-AB76-CCD906FBBB0A}"/>
    <cellStyle name="Normal 5 3 4 3 3 2 3" xfId="12027" xr:uid="{1A42BC7D-8917-4E76-85BD-2DBB657DF84E}"/>
    <cellStyle name="Normal 5 3 4 3 3 3" xfId="5650" xr:uid="{00000000-0005-0000-0000-0000451A0000}"/>
    <cellStyle name="Normal 5 3 4 3 3 3 2" xfId="14100" xr:uid="{8518DC5D-DCEE-4492-B0A4-ADA4BA2462CF}"/>
    <cellStyle name="Normal 5 3 4 3 3 4" xfId="9882" xr:uid="{1D8510C8-7DE3-4B4D-ACC5-E6504CDDFBCD}"/>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66633C2F-224F-4B81-AA6B-19263B502160}"/>
    <cellStyle name="Normal 5 3 4 3 4 2 3" xfId="12440" xr:uid="{966B27A6-1066-45DA-801A-80FA56E19C5F}"/>
    <cellStyle name="Normal 5 3 4 3 4 3" xfId="6063" xr:uid="{00000000-0005-0000-0000-0000491A0000}"/>
    <cellStyle name="Normal 5 3 4 3 4 3 2" xfId="14513" xr:uid="{B1476127-CBF0-44B4-96A0-854DDD81295B}"/>
    <cellStyle name="Normal 5 3 4 3 4 4" xfId="10295" xr:uid="{9857A067-C5A4-4D8A-BA01-327DFEA04276}"/>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AB63EFBC-EBCF-4B83-B9C2-EDF127B1E630}"/>
    <cellStyle name="Normal 5 3 4 3 5 2 3" xfId="12853" xr:uid="{5CE9F96C-678B-482F-816D-916F9797E87D}"/>
    <cellStyle name="Normal 5 3 4 3 5 3" xfId="6476" xr:uid="{00000000-0005-0000-0000-00004D1A0000}"/>
    <cellStyle name="Normal 5 3 4 3 5 3 2" xfId="14926" xr:uid="{4C61F6F9-7A20-47E7-84C3-6807FA07B0C0}"/>
    <cellStyle name="Normal 5 3 4 3 5 4" xfId="10708" xr:uid="{161B4FF2-D9A7-4692-97AF-612F9D218CF6}"/>
    <cellStyle name="Normal 5 3 4 3 6" xfId="2606" xr:uid="{00000000-0005-0000-0000-00004E1A0000}"/>
    <cellStyle name="Normal 5 3 4 3 6 2" xfId="6889" xr:uid="{00000000-0005-0000-0000-00004F1A0000}"/>
    <cellStyle name="Normal 5 3 4 3 6 2 2" xfId="15339" xr:uid="{F97A56A0-ED7A-47D5-88C2-1763CFB4C77C}"/>
    <cellStyle name="Normal 5 3 4 3 6 3" xfId="11121" xr:uid="{64006766-B38E-4D13-AC4C-6F3F92170F13}"/>
    <cellStyle name="Normal 5 3 4 3 7" xfId="4824" xr:uid="{00000000-0005-0000-0000-0000501A0000}"/>
    <cellStyle name="Normal 5 3 4 3 7 2" xfId="13274" xr:uid="{88FDF8E4-A9B8-4983-B0E3-B4921EDF9B6C}"/>
    <cellStyle name="Normal 5 3 4 3 8" xfId="9056" xr:uid="{1B6D725F-8D38-47C1-9CF7-6F88E1A5EAC7}"/>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F7AB9247-B89F-4FFF-9ED1-672BAEFA20FC}"/>
    <cellStyle name="Normal 5 3 4 4 2 3" xfId="11611" xr:uid="{36DE0207-B710-417B-A0B3-47E65C8939E6}"/>
    <cellStyle name="Normal 5 3 4 4 3" xfId="5234" xr:uid="{00000000-0005-0000-0000-0000541A0000}"/>
    <cellStyle name="Normal 5 3 4 4 3 2" xfId="13684" xr:uid="{F5F6EF50-DE3B-46CE-982C-86079B7932C6}"/>
    <cellStyle name="Normal 5 3 4 4 4" xfId="9466" xr:uid="{40EE0DD9-8169-4456-8CB5-891F65F1653E}"/>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DD99E754-DD1A-4C8C-A5DB-D02E767DEBB0}"/>
    <cellStyle name="Normal 5 3 4 5 2 3" xfId="12024" xr:uid="{D56EFE68-F917-40E6-A86B-2CE9A490471C}"/>
    <cellStyle name="Normal 5 3 4 5 3" xfId="5647" xr:uid="{00000000-0005-0000-0000-0000581A0000}"/>
    <cellStyle name="Normal 5 3 4 5 3 2" xfId="14097" xr:uid="{DCFD95E7-81CD-4FAB-904A-27005845834A}"/>
    <cellStyle name="Normal 5 3 4 5 4" xfId="9879" xr:uid="{D4A0BA92-6435-4F04-AA79-FE7A6FAA6E40}"/>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93E54D1D-CA22-4261-9581-B286A3D4170D}"/>
    <cellStyle name="Normal 5 3 4 6 2 3" xfId="12437" xr:uid="{03E0EA50-3CE3-4915-88EB-756D7D4FDDC9}"/>
    <cellStyle name="Normal 5 3 4 6 3" xfId="6060" xr:uid="{00000000-0005-0000-0000-00005C1A0000}"/>
    <cellStyle name="Normal 5 3 4 6 3 2" xfId="14510" xr:uid="{74EE2BC8-4DC4-479D-8945-221EB943E252}"/>
    <cellStyle name="Normal 5 3 4 6 4" xfId="10292" xr:uid="{ACE8AB5E-CBB4-460E-8DD0-4E16312D8F89}"/>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2C88F34B-56C9-4DA9-A5B9-725E956CA5CD}"/>
    <cellStyle name="Normal 5 3 4 7 2 3" xfId="12850" xr:uid="{ED090318-ACDB-4C4A-9145-8135C147CF76}"/>
    <cellStyle name="Normal 5 3 4 7 3" xfId="6473" xr:uid="{00000000-0005-0000-0000-0000601A0000}"/>
    <cellStyle name="Normal 5 3 4 7 3 2" xfId="14923" xr:uid="{33C8CA34-66B4-40B3-B6A3-6064692F4B66}"/>
    <cellStyle name="Normal 5 3 4 7 4" xfId="10705" xr:uid="{0E802F10-8E53-41CC-ADA3-51546003EE72}"/>
    <cellStyle name="Normal 5 3 4 8" xfId="2603" xr:uid="{00000000-0005-0000-0000-0000611A0000}"/>
    <cellStyle name="Normal 5 3 4 8 2" xfId="6886" xr:uid="{00000000-0005-0000-0000-0000621A0000}"/>
    <cellStyle name="Normal 5 3 4 8 2 2" xfId="15336" xr:uid="{5AC4EA9F-B0DC-4248-A30D-C44780942501}"/>
    <cellStyle name="Normal 5 3 4 8 3" xfId="11118" xr:uid="{DC9CCF23-F261-4C74-B8FE-594B0A53C27D}"/>
    <cellStyle name="Normal 5 3 4 9" xfId="4821" xr:uid="{00000000-0005-0000-0000-0000631A0000}"/>
    <cellStyle name="Normal 5 3 4 9 2" xfId="13271" xr:uid="{2D59FDA9-AA3D-4D52-94A2-8E6A1BED9B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AF6B0EC2-73AE-4031-B338-60CBF90C4654}"/>
    <cellStyle name="Normal 5 3 5 2 2 2 3" xfId="11616" xr:uid="{E50CF42F-2162-4AA3-AEB3-A702713E60E3}"/>
    <cellStyle name="Normal 5 3 5 2 2 3" xfId="5239" xr:uid="{00000000-0005-0000-0000-0000691A0000}"/>
    <cellStyle name="Normal 5 3 5 2 2 3 2" xfId="13689" xr:uid="{037C3560-08BE-4BB8-9273-1D5D0D2F4F00}"/>
    <cellStyle name="Normal 5 3 5 2 2 4" xfId="9471" xr:uid="{E6076BA1-30BC-4536-9A25-DA21758AD004}"/>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38459746-6DC3-439E-B02F-308391CE708A}"/>
    <cellStyle name="Normal 5 3 5 2 3 2 3" xfId="12029" xr:uid="{41ABF036-5797-4872-A530-A5693679E15B}"/>
    <cellStyle name="Normal 5 3 5 2 3 3" xfId="5652" xr:uid="{00000000-0005-0000-0000-00006D1A0000}"/>
    <cellStyle name="Normal 5 3 5 2 3 3 2" xfId="14102" xr:uid="{A6817252-67FA-4969-A6D5-09BDA70CB5D7}"/>
    <cellStyle name="Normal 5 3 5 2 3 4" xfId="9884" xr:uid="{2BD1A32D-9198-466D-AE1B-265C1CCD6AF9}"/>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2E2BF9E5-B013-45A5-BDDF-3F9D55B26AFC}"/>
    <cellStyle name="Normal 5 3 5 2 4 2 3" xfId="12442" xr:uid="{07C6B718-8EB3-4C13-B865-D3A5C3C29DB2}"/>
    <cellStyle name="Normal 5 3 5 2 4 3" xfId="6065" xr:uid="{00000000-0005-0000-0000-0000711A0000}"/>
    <cellStyle name="Normal 5 3 5 2 4 3 2" xfId="14515" xr:uid="{1D2FC21C-9513-4DF5-A7AD-7002B0474DD1}"/>
    <cellStyle name="Normal 5 3 5 2 4 4" xfId="10297" xr:uid="{DBFCA8B7-71FE-4D55-ACD6-D99E36C8CA48}"/>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A068A562-D2DC-4840-8D55-C81046F00930}"/>
    <cellStyle name="Normal 5 3 5 2 5 2 3" xfId="12855" xr:uid="{6BCA85C7-4CDA-4277-B9B6-D389756D602D}"/>
    <cellStyle name="Normal 5 3 5 2 5 3" xfId="6478" xr:uid="{00000000-0005-0000-0000-0000751A0000}"/>
    <cellStyle name="Normal 5 3 5 2 5 3 2" xfId="14928" xr:uid="{2A1DD072-18C5-400D-AEED-F2125B100493}"/>
    <cellStyle name="Normal 5 3 5 2 5 4" xfId="10710" xr:uid="{698BCF40-0C1D-4CE4-8011-4A0C1513E3DA}"/>
    <cellStyle name="Normal 5 3 5 2 6" xfId="2608" xr:uid="{00000000-0005-0000-0000-0000761A0000}"/>
    <cellStyle name="Normal 5 3 5 2 6 2" xfId="6891" xr:uid="{00000000-0005-0000-0000-0000771A0000}"/>
    <cellStyle name="Normal 5 3 5 2 6 2 2" xfId="15341" xr:uid="{707B78CB-35F9-4363-9FDE-DABDDBE2CB57}"/>
    <cellStyle name="Normal 5 3 5 2 6 3" xfId="11123" xr:uid="{96E12772-AD77-4A35-9746-59D1F1DDEA08}"/>
    <cellStyle name="Normal 5 3 5 2 7" xfId="4826" xr:uid="{00000000-0005-0000-0000-0000781A0000}"/>
    <cellStyle name="Normal 5 3 5 2 7 2" xfId="13276" xr:uid="{8857B47F-2AD2-4DB5-974F-CF20FE785C0E}"/>
    <cellStyle name="Normal 5 3 5 2 8" xfId="9058" xr:uid="{B8107355-7CE7-4B8F-8B1C-84955CF8AB78}"/>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41BE95A8-09BF-4440-A0C5-36E190DE6822}"/>
    <cellStyle name="Normal 5 3 5 3 2 3" xfId="11615" xr:uid="{9BF1680F-DFA7-4B8A-9A6C-F22226AA5BF3}"/>
    <cellStyle name="Normal 5 3 5 3 3" xfId="5238" xr:uid="{00000000-0005-0000-0000-00007C1A0000}"/>
    <cellStyle name="Normal 5 3 5 3 3 2" xfId="13688" xr:uid="{8D0D6C23-4CA4-4E92-A489-4244E30175C6}"/>
    <cellStyle name="Normal 5 3 5 3 4" xfId="9470" xr:uid="{1D6EEFB2-B47D-4D28-A5DB-C92AB5B88B68}"/>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D20D6397-2BD0-4CDA-89DE-3547D8C1F0E1}"/>
    <cellStyle name="Normal 5 3 5 4 2 3" xfId="12028" xr:uid="{45160EB1-EA39-46B4-A365-1B1A4CE8AB53}"/>
    <cellStyle name="Normal 5 3 5 4 3" xfId="5651" xr:uid="{00000000-0005-0000-0000-0000801A0000}"/>
    <cellStyle name="Normal 5 3 5 4 3 2" xfId="14101" xr:uid="{34863DD3-0264-4966-8F20-73F3E2CE4416}"/>
    <cellStyle name="Normal 5 3 5 4 4" xfId="9883" xr:uid="{650B9E3D-9733-4D1F-AD97-DD562698EC8E}"/>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7DD3554F-98C6-40B1-B77D-C099E658E395}"/>
    <cellStyle name="Normal 5 3 5 5 2 3" xfId="12441" xr:uid="{90908AD6-1F1E-46A0-AE53-2D43DEF45A06}"/>
    <cellStyle name="Normal 5 3 5 5 3" xfId="6064" xr:uid="{00000000-0005-0000-0000-0000841A0000}"/>
    <cellStyle name="Normal 5 3 5 5 3 2" xfId="14514" xr:uid="{2BC656EC-65A6-468E-8D37-0CBD489F28CD}"/>
    <cellStyle name="Normal 5 3 5 5 4" xfId="10296" xr:uid="{C6026ED7-4A7A-45C1-A2F9-FEA944018817}"/>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92B078B2-897E-4391-BFBD-C3DA75D2F243}"/>
    <cellStyle name="Normal 5 3 5 6 2 3" xfId="12854" xr:uid="{81B8C0BD-7C99-4D2B-9D4C-8CEED1BC2910}"/>
    <cellStyle name="Normal 5 3 5 6 3" xfId="6477" xr:uid="{00000000-0005-0000-0000-0000881A0000}"/>
    <cellStyle name="Normal 5 3 5 6 3 2" xfId="14927" xr:uid="{FD3D9A09-6579-47B9-9181-549414B31E9F}"/>
    <cellStyle name="Normal 5 3 5 6 4" xfId="10709" xr:uid="{A2C83698-F03A-4053-9E28-0201E7F030CA}"/>
    <cellStyle name="Normal 5 3 5 7" xfId="2607" xr:uid="{00000000-0005-0000-0000-0000891A0000}"/>
    <cellStyle name="Normal 5 3 5 7 2" xfId="6890" xr:uid="{00000000-0005-0000-0000-00008A1A0000}"/>
    <cellStyle name="Normal 5 3 5 7 2 2" xfId="15340" xr:uid="{3B9C4453-3C04-4656-A71A-BCB25B218802}"/>
    <cellStyle name="Normal 5 3 5 7 3" xfId="11122" xr:uid="{E70A58D1-9E47-474F-85C2-FE49F8B254F2}"/>
    <cellStyle name="Normal 5 3 5 8" xfId="4825" xr:uid="{00000000-0005-0000-0000-00008B1A0000}"/>
    <cellStyle name="Normal 5 3 5 8 2" xfId="13275" xr:uid="{05F00CF4-6D04-4E07-8C77-441788CC9497}"/>
    <cellStyle name="Normal 5 3 5 9" xfId="9057" xr:uid="{154B8516-C9DD-473C-8421-2525341D2AB8}"/>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3096DFA8-B4F3-4A45-9948-2A3949441104}"/>
    <cellStyle name="Normal 5 3 6 2 2 3" xfId="11617" xr:uid="{3ACB1959-C42A-474E-ABDC-233275186E30}"/>
    <cellStyle name="Normal 5 3 6 2 3" xfId="5240" xr:uid="{00000000-0005-0000-0000-0000901A0000}"/>
    <cellStyle name="Normal 5 3 6 2 3 2" xfId="13690" xr:uid="{4116F23D-DE0D-45BC-8ABC-02AA10AEDA23}"/>
    <cellStyle name="Normal 5 3 6 2 4" xfId="9472" xr:uid="{0AAB9ADB-F050-4935-B0A3-239FB6F38689}"/>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DEB47600-48B9-4C6F-85F1-7E318F3A720D}"/>
    <cellStyle name="Normal 5 3 6 3 2 3" xfId="12030" xr:uid="{89FD43CF-5DB7-4033-A392-EA7B47309A41}"/>
    <cellStyle name="Normal 5 3 6 3 3" xfId="5653" xr:uid="{00000000-0005-0000-0000-0000941A0000}"/>
    <cellStyle name="Normal 5 3 6 3 3 2" xfId="14103" xr:uid="{08F3F8FB-C878-42B4-BCDF-C9D3FD3103C3}"/>
    <cellStyle name="Normal 5 3 6 3 4" xfId="9885" xr:uid="{8182C1C0-1D27-4383-8C68-EFDC87CEAFDD}"/>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07B238F6-2C6F-4609-9EC1-3CB39398ED55}"/>
    <cellStyle name="Normal 5 3 6 4 2 3" xfId="12443" xr:uid="{F49B689C-91A5-4FA3-BB5A-255CFF99B491}"/>
    <cellStyle name="Normal 5 3 6 4 3" xfId="6066" xr:uid="{00000000-0005-0000-0000-0000981A0000}"/>
    <cellStyle name="Normal 5 3 6 4 3 2" xfId="14516" xr:uid="{C95946A0-D1AB-4643-93A2-C24BBF2F77F9}"/>
    <cellStyle name="Normal 5 3 6 4 4" xfId="10298" xr:uid="{1CF0706E-A11D-4347-B372-369A8D5BCCEE}"/>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3D41F1B9-9D27-4BF7-9AAF-0CAD44A7268A}"/>
    <cellStyle name="Normal 5 3 6 5 2 3" xfId="12856" xr:uid="{30AB0DBB-00A2-4241-9197-CE22D40C4AE3}"/>
    <cellStyle name="Normal 5 3 6 5 3" xfId="6479" xr:uid="{00000000-0005-0000-0000-00009C1A0000}"/>
    <cellStyle name="Normal 5 3 6 5 3 2" xfId="14929" xr:uid="{D8354D52-230A-4F2B-87B7-B4772F3D538F}"/>
    <cellStyle name="Normal 5 3 6 5 4" xfId="10711" xr:uid="{2D3D5F57-C470-4FC0-86D9-01E40B297D37}"/>
    <cellStyle name="Normal 5 3 6 6" xfId="2609" xr:uid="{00000000-0005-0000-0000-00009D1A0000}"/>
    <cellStyle name="Normal 5 3 6 6 2" xfId="6892" xr:uid="{00000000-0005-0000-0000-00009E1A0000}"/>
    <cellStyle name="Normal 5 3 6 6 2 2" xfId="15342" xr:uid="{420300C5-E0BD-46BB-8A58-595DCBBFD14D}"/>
    <cellStyle name="Normal 5 3 6 6 3" xfId="11124" xr:uid="{0528AE2C-7FFB-41F2-A2E1-75571AA87E06}"/>
    <cellStyle name="Normal 5 3 6 7" xfId="4827" xr:uid="{00000000-0005-0000-0000-00009F1A0000}"/>
    <cellStyle name="Normal 5 3 6 7 2" xfId="13277" xr:uid="{1CE44E7A-7582-4033-8D43-A71279F2A524}"/>
    <cellStyle name="Normal 5 3 6 8" xfId="9059" xr:uid="{F61D9609-E759-4B51-A8E5-ADA036061F03}"/>
    <cellStyle name="Normal 5 3 7" xfId="913" xr:uid="{00000000-0005-0000-0000-0000A01A0000}"/>
    <cellStyle name="Normal 5 3 7 2" xfId="3148" xr:uid="{00000000-0005-0000-0000-0000A11A0000}"/>
    <cellStyle name="Normal 5 3 7 2 2" xfId="7370" xr:uid="{00000000-0005-0000-0000-0000A21A0000}"/>
    <cellStyle name="Normal 5 3 7 2 2 2" xfId="15820" xr:uid="{E5B2C8B9-42E8-461E-84E2-0540CAF73C70}"/>
    <cellStyle name="Normal 5 3 7 2 3" xfId="11602" xr:uid="{18A85CB9-6E7E-4D8B-AA55-C0DF68916FDA}"/>
    <cellStyle name="Normal 5 3 7 3" xfId="5225" xr:uid="{00000000-0005-0000-0000-0000A31A0000}"/>
    <cellStyle name="Normal 5 3 7 3 2" xfId="13675" xr:uid="{157F252A-C622-4AE3-997F-BBCE4B63E2D2}"/>
    <cellStyle name="Normal 5 3 7 4" xfId="9457" xr:uid="{725FE6D9-F7AC-46A9-933C-CB868D4A5472}"/>
    <cellStyle name="Normal 5 3 8" xfId="1331" xr:uid="{00000000-0005-0000-0000-0000A41A0000}"/>
    <cellStyle name="Normal 5 3 8 2" xfId="3561" xr:uid="{00000000-0005-0000-0000-0000A51A0000}"/>
    <cellStyle name="Normal 5 3 8 2 2" xfId="7783" xr:uid="{00000000-0005-0000-0000-0000A61A0000}"/>
    <cellStyle name="Normal 5 3 8 2 2 2" xfId="16233" xr:uid="{8950640B-4AB1-4DBA-8930-2A3A84E293EB}"/>
    <cellStyle name="Normal 5 3 8 2 3" xfId="12015" xr:uid="{B8E08CAD-D709-42AA-8246-224E51FB7C95}"/>
    <cellStyle name="Normal 5 3 8 3" xfId="5638" xr:uid="{00000000-0005-0000-0000-0000A71A0000}"/>
    <cellStyle name="Normal 5 3 8 3 2" xfId="14088" xr:uid="{7EF2D5E2-BAF8-45DD-81B0-EA34B2A2155D}"/>
    <cellStyle name="Normal 5 3 8 4" xfId="9870" xr:uid="{EC75F079-BE6B-4418-9F5B-E43B14E6BA48}"/>
    <cellStyle name="Normal 5 3 9" xfId="1744" xr:uid="{00000000-0005-0000-0000-0000A81A0000}"/>
    <cellStyle name="Normal 5 3 9 2" xfId="3974" xr:uid="{00000000-0005-0000-0000-0000A91A0000}"/>
    <cellStyle name="Normal 5 3 9 2 2" xfId="8196" xr:uid="{00000000-0005-0000-0000-0000AA1A0000}"/>
    <cellStyle name="Normal 5 3 9 2 2 2" xfId="16646" xr:uid="{4D879355-61F7-4AAC-B372-7A9D9C067897}"/>
    <cellStyle name="Normal 5 3 9 2 3" xfId="12428" xr:uid="{1AC4FE58-BD79-46AC-AD8B-38EC86C337E6}"/>
    <cellStyle name="Normal 5 3 9 3" xfId="6051" xr:uid="{00000000-0005-0000-0000-0000AB1A0000}"/>
    <cellStyle name="Normal 5 3 9 3 2" xfId="14501" xr:uid="{3C5DA69A-A081-48F4-B63F-EF9D59ABF5DE}"/>
    <cellStyle name="Normal 5 3 9 4" xfId="10283" xr:uid="{7382EFEB-9B68-4366-93C4-FD4B5B4240D5}"/>
    <cellStyle name="Normal 5 4" xfId="456" xr:uid="{00000000-0005-0000-0000-0000AC1A0000}"/>
    <cellStyle name="Normal 5 4 10" xfId="4828" xr:uid="{00000000-0005-0000-0000-0000AD1A0000}"/>
    <cellStyle name="Normal 5 4 10 2" xfId="13278" xr:uid="{CAF9F3AE-5734-41F1-B36D-5F4510A282AA}"/>
    <cellStyle name="Normal 5 4 11" xfId="9060" xr:uid="{5E99E1F3-A5EA-4575-BAF1-6AA1D1F8E2EC}"/>
    <cellStyle name="Normal 5 4 2" xfId="457" xr:uid="{00000000-0005-0000-0000-0000AE1A0000}"/>
    <cellStyle name="Normal 5 4 2 10" xfId="9061" xr:uid="{BEA22979-C3E4-4080-8928-4255FB3E2B34}"/>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DDA63709-0173-43BA-A2E5-9451C3118DB1}"/>
    <cellStyle name="Normal 5 4 2 2 2 2 2 3" xfId="11621" xr:uid="{F195D44F-C070-41C4-BD9C-06409E7F6F43}"/>
    <cellStyle name="Normal 5 4 2 2 2 2 3" xfId="5244" xr:uid="{00000000-0005-0000-0000-0000B41A0000}"/>
    <cellStyle name="Normal 5 4 2 2 2 2 3 2" xfId="13694" xr:uid="{600543B9-3071-4FEC-8565-96B7A9051D1B}"/>
    <cellStyle name="Normal 5 4 2 2 2 2 4" xfId="9476" xr:uid="{5C8631F3-26A9-469D-BDB8-E6B9818DC98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B38122CF-AE60-40EA-8A2B-E06879EEFAC0}"/>
    <cellStyle name="Normal 5 4 2 2 2 3 2 3" xfId="12034" xr:uid="{E894D7BE-F7AD-4B25-9A1E-EE84AA10CFA9}"/>
    <cellStyle name="Normal 5 4 2 2 2 3 3" xfId="5657" xr:uid="{00000000-0005-0000-0000-0000B81A0000}"/>
    <cellStyle name="Normal 5 4 2 2 2 3 3 2" xfId="14107" xr:uid="{3138911D-81B9-4BFC-93A1-49549AB5800A}"/>
    <cellStyle name="Normal 5 4 2 2 2 3 4" xfId="9889" xr:uid="{3B5FC2B7-E1B8-4789-84EF-91BDF5B05DCE}"/>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711722CC-9068-48B5-ADC9-D8B5D3D22B08}"/>
    <cellStyle name="Normal 5 4 2 2 2 4 2 3" xfId="12447" xr:uid="{3E99517B-8755-4E55-A0AD-02A8FB21DC62}"/>
    <cellStyle name="Normal 5 4 2 2 2 4 3" xfId="6070" xr:uid="{00000000-0005-0000-0000-0000BC1A0000}"/>
    <cellStyle name="Normal 5 4 2 2 2 4 3 2" xfId="14520" xr:uid="{BDB839F3-C4A2-4D71-8992-93CF74780301}"/>
    <cellStyle name="Normal 5 4 2 2 2 4 4" xfId="10302" xr:uid="{BE332957-2C4F-4B52-874C-FBDA73AB68EE}"/>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1DFCB0F3-7EF0-45B4-86CA-7990CEB92B60}"/>
    <cellStyle name="Normal 5 4 2 2 2 5 2 3" xfId="12860" xr:uid="{391DA5AF-1917-4BB3-BC84-460F1BF3538F}"/>
    <cellStyle name="Normal 5 4 2 2 2 5 3" xfId="6483" xr:uid="{00000000-0005-0000-0000-0000C01A0000}"/>
    <cellStyle name="Normal 5 4 2 2 2 5 3 2" xfId="14933" xr:uid="{FA71EDA1-B2E1-4920-82CE-A63786DA619D}"/>
    <cellStyle name="Normal 5 4 2 2 2 5 4" xfId="10715" xr:uid="{9CE94894-317F-4A0C-9FFD-6366650219F7}"/>
    <cellStyle name="Normal 5 4 2 2 2 6" xfId="2613" xr:uid="{00000000-0005-0000-0000-0000C11A0000}"/>
    <cellStyle name="Normal 5 4 2 2 2 6 2" xfId="6896" xr:uid="{00000000-0005-0000-0000-0000C21A0000}"/>
    <cellStyle name="Normal 5 4 2 2 2 6 2 2" xfId="15346" xr:uid="{FD47D378-06E1-4BBA-AF46-13261F8FEAFF}"/>
    <cellStyle name="Normal 5 4 2 2 2 6 3" xfId="11128" xr:uid="{B2C1D803-E624-4553-B9B2-E3871A606482}"/>
    <cellStyle name="Normal 5 4 2 2 2 7" xfId="4831" xr:uid="{00000000-0005-0000-0000-0000C31A0000}"/>
    <cellStyle name="Normal 5 4 2 2 2 7 2" xfId="13281" xr:uid="{86A1EC19-7221-43E5-8F3B-4CACA7E117BA}"/>
    <cellStyle name="Normal 5 4 2 2 2 8" xfId="9063" xr:uid="{4C8CDE21-5135-44A5-ABBC-7C83B8B32654}"/>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76F0C433-2A24-40EF-A1F3-1A288AC1785A}"/>
    <cellStyle name="Normal 5 4 2 2 3 2 3" xfId="11620" xr:uid="{FAF9D9B8-9317-4DE8-8E06-391517D43EBA}"/>
    <cellStyle name="Normal 5 4 2 2 3 3" xfId="5243" xr:uid="{00000000-0005-0000-0000-0000C71A0000}"/>
    <cellStyle name="Normal 5 4 2 2 3 3 2" xfId="13693" xr:uid="{7D7562C5-78A7-453B-A5FA-CAF07F68129F}"/>
    <cellStyle name="Normal 5 4 2 2 3 4" xfId="9475" xr:uid="{6B8D2D34-4FF3-4AF7-9E5A-4DDB7441EA5D}"/>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79410B2C-C5B5-45D7-A946-68AB6F0E082C}"/>
    <cellStyle name="Normal 5 4 2 2 4 2 3" xfId="12033" xr:uid="{06A03757-ABBC-408D-800F-62CCB38A2F9B}"/>
    <cellStyle name="Normal 5 4 2 2 4 3" xfId="5656" xr:uid="{00000000-0005-0000-0000-0000CB1A0000}"/>
    <cellStyle name="Normal 5 4 2 2 4 3 2" xfId="14106" xr:uid="{96C5FF5E-3638-4914-AF36-949C22FEA1A4}"/>
    <cellStyle name="Normal 5 4 2 2 4 4" xfId="9888" xr:uid="{81054394-286C-4E29-8A73-AB8A0CC84C6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D8613F2F-FB8D-402B-A8DC-DC9627A60B7F}"/>
    <cellStyle name="Normal 5 4 2 2 5 2 3" xfId="12446" xr:uid="{8F2B1716-2E54-42E2-9EE1-A8282C463738}"/>
    <cellStyle name="Normal 5 4 2 2 5 3" xfId="6069" xr:uid="{00000000-0005-0000-0000-0000CF1A0000}"/>
    <cellStyle name="Normal 5 4 2 2 5 3 2" xfId="14519" xr:uid="{9D7B711B-6F62-4827-B379-7CAD0C503391}"/>
    <cellStyle name="Normal 5 4 2 2 5 4" xfId="10301" xr:uid="{BAD6FF85-1FF7-4BB2-89F0-8F83096FCBF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895E71A1-9DF1-492A-B492-6B35058803F1}"/>
    <cellStyle name="Normal 5 4 2 2 6 2 3" xfId="12859" xr:uid="{A9367306-159A-47F7-8EFC-625130097DA6}"/>
    <cellStyle name="Normal 5 4 2 2 6 3" xfId="6482" xr:uid="{00000000-0005-0000-0000-0000D31A0000}"/>
    <cellStyle name="Normal 5 4 2 2 6 3 2" xfId="14932" xr:uid="{CE85BFAE-01F6-43D9-99E3-CEBD79CA83EF}"/>
    <cellStyle name="Normal 5 4 2 2 6 4" xfId="10714" xr:uid="{B65A4193-12F9-4FDE-BBE6-301243DE5997}"/>
    <cellStyle name="Normal 5 4 2 2 7" xfId="2612" xr:uid="{00000000-0005-0000-0000-0000D41A0000}"/>
    <cellStyle name="Normal 5 4 2 2 7 2" xfId="6895" xr:uid="{00000000-0005-0000-0000-0000D51A0000}"/>
    <cellStyle name="Normal 5 4 2 2 7 2 2" xfId="15345" xr:uid="{D250A079-6658-4B41-B191-06A0023D72E9}"/>
    <cellStyle name="Normal 5 4 2 2 7 3" xfId="11127" xr:uid="{F057AD4B-BF34-47F7-9CBF-3CEA02E65A3D}"/>
    <cellStyle name="Normal 5 4 2 2 8" xfId="4830" xr:uid="{00000000-0005-0000-0000-0000D61A0000}"/>
    <cellStyle name="Normal 5 4 2 2 8 2" xfId="13280" xr:uid="{63AF215D-3E78-4AEE-A36C-F9DF8F283062}"/>
    <cellStyle name="Normal 5 4 2 2 9" xfId="9062" xr:uid="{27060DC0-3DB2-44A9-94A8-8D2D200F488B}"/>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72821E6E-679A-4793-879F-3E25EC86699D}"/>
    <cellStyle name="Normal 5 4 2 3 2 2 3" xfId="11622" xr:uid="{B119073F-8642-4A86-9135-D1E671778501}"/>
    <cellStyle name="Normal 5 4 2 3 2 3" xfId="5245" xr:uid="{00000000-0005-0000-0000-0000DB1A0000}"/>
    <cellStyle name="Normal 5 4 2 3 2 3 2" xfId="13695" xr:uid="{66F79562-016E-4AD0-AC30-38DCEB0B3B19}"/>
    <cellStyle name="Normal 5 4 2 3 2 4" xfId="9477" xr:uid="{9A037B7B-CEB6-4C06-83E5-1A5E15B5E792}"/>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2D4C2761-9307-492A-B7C5-7B25999CF647}"/>
    <cellStyle name="Normal 5 4 2 3 3 2 3" xfId="12035" xr:uid="{87FF5894-AFED-453D-BBD9-CC88E01231BA}"/>
    <cellStyle name="Normal 5 4 2 3 3 3" xfId="5658" xr:uid="{00000000-0005-0000-0000-0000DF1A0000}"/>
    <cellStyle name="Normal 5 4 2 3 3 3 2" xfId="14108" xr:uid="{C4F167D1-9AC9-443D-A3CC-E4F97EAD09E9}"/>
    <cellStyle name="Normal 5 4 2 3 3 4" xfId="9890" xr:uid="{6A735A01-1858-43EA-B72A-455F48D593D8}"/>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D2F1C3B0-F59D-47AD-A381-8E87CEF5D3E7}"/>
    <cellStyle name="Normal 5 4 2 3 4 2 3" xfId="12448" xr:uid="{DF13484E-0B24-47A0-9D02-F74C8DCBBBA2}"/>
    <cellStyle name="Normal 5 4 2 3 4 3" xfId="6071" xr:uid="{00000000-0005-0000-0000-0000E31A0000}"/>
    <cellStyle name="Normal 5 4 2 3 4 3 2" xfId="14521" xr:uid="{D47781F7-48EF-440C-AC6D-DAC51D25F9F0}"/>
    <cellStyle name="Normal 5 4 2 3 4 4" xfId="10303" xr:uid="{38BB66F4-F298-4163-B210-B877120D4E1B}"/>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D8CF7283-AC6C-48F0-B038-37733B27D3E4}"/>
    <cellStyle name="Normal 5 4 2 3 5 2 3" xfId="12861" xr:uid="{4A5E5B73-4215-4ECC-B329-E88D00ACFD4B}"/>
    <cellStyle name="Normal 5 4 2 3 5 3" xfId="6484" xr:uid="{00000000-0005-0000-0000-0000E71A0000}"/>
    <cellStyle name="Normal 5 4 2 3 5 3 2" xfId="14934" xr:uid="{5EDC8D90-840B-4A09-B594-2CF49DEE09DF}"/>
    <cellStyle name="Normal 5 4 2 3 5 4" xfId="10716" xr:uid="{73F73E17-7211-4097-8D92-DB74B4FF052A}"/>
    <cellStyle name="Normal 5 4 2 3 6" xfId="2614" xr:uid="{00000000-0005-0000-0000-0000E81A0000}"/>
    <cellStyle name="Normal 5 4 2 3 6 2" xfId="6897" xr:uid="{00000000-0005-0000-0000-0000E91A0000}"/>
    <cellStyle name="Normal 5 4 2 3 6 2 2" xfId="15347" xr:uid="{DD76DB1C-168D-46E3-B615-6088EB51C753}"/>
    <cellStyle name="Normal 5 4 2 3 6 3" xfId="11129" xr:uid="{37601CDF-DA0E-4D63-BA2D-F30821B4909C}"/>
    <cellStyle name="Normal 5 4 2 3 7" xfId="4832" xr:uid="{00000000-0005-0000-0000-0000EA1A0000}"/>
    <cellStyle name="Normal 5 4 2 3 7 2" xfId="13282" xr:uid="{40D8B134-42D2-4387-BE3C-B4BB5F553929}"/>
    <cellStyle name="Normal 5 4 2 3 8" xfId="9064" xr:uid="{541CE6C2-458A-4F90-BA59-C97AB640CF44}"/>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408D0FD3-4122-42AA-8E32-9563AA2D8B3D}"/>
    <cellStyle name="Normal 5 4 2 4 2 3" xfId="11619" xr:uid="{7C939E6D-038D-4E21-9BBA-21413DEAEED4}"/>
    <cellStyle name="Normal 5 4 2 4 3" xfId="5242" xr:uid="{00000000-0005-0000-0000-0000EE1A0000}"/>
    <cellStyle name="Normal 5 4 2 4 3 2" xfId="13692" xr:uid="{050A6240-66C3-4E0F-B0FC-2A66BF7E1AF1}"/>
    <cellStyle name="Normal 5 4 2 4 4" xfId="9474" xr:uid="{0B2C5DF1-DEEF-4FAD-9BAD-28968DE3D74D}"/>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E3A3970C-A719-49B6-8494-F2FB96EE7213}"/>
    <cellStyle name="Normal 5 4 2 5 2 3" xfId="12032" xr:uid="{54705E45-0935-4D2B-AC74-CE7D46C90E0C}"/>
    <cellStyle name="Normal 5 4 2 5 3" xfId="5655" xr:uid="{00000000-0005-0000-0000-0000F21A0000}"/>
    <cellStyle name="Normal 5 4 2 5 3 2" xfId="14105" xr:uid="{9AF91D48-39FB-4248-B003-CA02CAF9CEB5}"/>
    <cellStyle name="Normal 5 4 2 5 4" xfId="9887" xr:uid="{7DE35BCE-4F16-4362-90C1-C778A262CE35}"/>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90E08250-F6EC-4C3B-96D4-29F6C3328D5E}"/>
    <cellStyle name="Normal 5 4 2 6 2 3" xfId="12445" xr:uid="{ABB2A666-372F-4A9E-B3A5-FEE2DB632B43}"/>
    <cellStyle name="Normal 5 4 2 6 3" xfId="6068" xr:uid="{00000000-0005-0000-0000-0000F61A0000}"/>
    <cellStyle name="Normal 5 4 2 6 3 2" xfId="14518" xr:uid="{CFC66543-2D2D-4F59-9CEF-9FF33BCD0221}"/>
    <cellStyle name="Normal 5 4 2 6 4" xfId="10300" xr:uid="{7CFB9DCA-229C-4E09-93D8-3669953E6AC9}"/>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A6D30EC2-D08F-43EF-AA62-F21CBAD5297D}"/>
    <cellStyle name="Normal 5 4 2 7 2 3" xfId="12858" xr:uid="{8B2759E5-8CC0-46E4-82D9-276EA74D0D15}"/>
    <cellStyle name="Normal 5 4 2 7 3" xfId="6481" xr:uid="{00000000-0005-0000-0000-0000FA1A0000}"/>
    <cellStyle name="Normal 5 4 2 7 3 2" xfId="14931" xr:uid="{E6E6688D-6F7C-44C2-B947-8A092207348B}"/>
    <cellStyle name="Normal 5 4 2 7 4" xfId="10713" xr:uid="{D3628319-206E-4D93-B9ED-13C42996EDEC}"/>
    <cellStyle name="Normal 5 4 2 8" xfId="2611" xr:uid="{00000000-0005-0000-0000-0000FB1A0000}"/>
    <cellStyle name="Normal 5 4 2 8 2" xfId="6894" xr:uid="{00000000-0005-0000-0000-0000FC1A0000}"/>
    <cellStyle name="Normal 5 4 2 8 2 2" xfId="15344" xr:uid="{8D689AC4-0630-461B-90FD-EC8AF8189654}"/>
    <cellStyle name="Normal 5 4 2 8 3" xfId="11126" xr:uid="{7C27AC89-4208-4580-8C31-5B99BFF6FA03}"/>
    <cellStyle name="Normal 5 4 2 9" xfId="4829" xr:uid="{00000000-0005-0000-0000-0000FD1A0000}"/>
    <cellStyle name="Normal 5 4 2 9 2" xfId="13279" xr:uid="{7A2FD67B-7B7A-468E-A871-5719ADC9AC57}"/>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EC68F996-8193-4597-B251-B47E1FEDDE34}"/>
    <cellStyle name="Normal 5 4 3 2 2 2 3" xfId="11624" xr:uid="{3AF06688-A3C9-45FA-AAF2-87DCF64DB143}"/>
    <cellStyle name="Normal 5 4 3 2 2 3" xfId="5247" xr:uid="{00000000-0005-0000-0000-0000031B0000}"/>
    <cellStyle name="Normal 5 4 3 2 2 3 2" xfId="13697" xr:uid="{9320B0A6-7BE2-4130-AC3D-8618B1A606A2}"/>
    <cellStyle name="Normal 5 4 3 2 2 4" xfId="9479" xr:uid="{B6514C85-9808-4F66-A748-9AFF4D7D8D72}"/>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DA465672-BC87-4FF4-825A-CFD86DB4E0D6}"/>
    <cellStyle name="Normal 5 4 3 2 3 2 3" xfId="12037" xr:uid="{3954A14E-BB82-47B5-A6AC-B7124D0977C0}"/>
    <cellStyle name="Normal 5 4 3 2 3 3" xfId="5660" xr:uid="{00000000-0005-0000-0000-0000071B0000}"/>
    <cellStyle name="Normal 5 4 3 2 3 3 2" xfId="14110" xr:uid="{22B66D45-50FD-41DD-A3D4-8875F95F31CA}"/>
    <cellStyle name="Normal 5 4 3 2 3 4" xfId="9892" xr:uid="{737824DA-C22A-4B45-92E5-F99715292BD5}"/>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DA640CAC-D252-448B-A6FF-A7D429452751}"/>
    <cellStyle name="Normal 5 4 3 2 4 2 3" xfId="12450" xr:uid="{FF70A78D-9383-4DD1-B36D-DB81E7A4C74A}"/>
    <cellStyle name="Normal 5 4 3 2 4 3" xfId="6073" xr:uid="{00000000-0005-0000-0000-00000B1B0000}"/>
    <cellStyle name="Normal 5 4 3 2 4 3 2" xfId="14523" xr:uid="{D8429AD8-9591-4554-B5E6-A6FEDAE17E12}"/>
    <cellStyle name="Normal 5 4 3 2 4 4" xfId="10305" xr:uid="{2A4C68B8-9784-406E-B323-44124C05C559}"/>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4A217E78-2D32-4D42-B4CC-B896C4F5A05C}"/>
    <cellStyle name="Normal 5 4 3 2 5 2 3" xfId="12863" xr:uid="{8D3511DB-C583-490F-B6ED-4B9A38BD93B9}"/>
    <cellStyle name="Normal 5 4 3 2 5 3" xfId="6486" xr:uid="{00000000-0005-0000-0000-00000F1B0000}"/>
    <cellStyle name="Normal 5 4 3 2 5 3 2" xfId="14936" xr:uid="{777C7917-8B32-4A78-B3B0-2C26933267B9}"/>
    <cellStyle name="Normal 5 4 3 2 5 4" xfId="10718" xr:uid="{FF6F129F-3250-4511-86D9-9CDC9DBC35B4}"/>
    <cellStyle name="Normal 5 4 3 2 6" xfId="2616" xr:uid="{00000000-0005-0000-0000-0000101B0000}"/>
    <cellStyle name="Normal 5 4 3 2 6 2" xfId="6899" xr:uid="{00000000-0005-0000-0000-0000111B0000}"/>
    <cellStyle name="Normal 5 4 3 2 6 2 2" xfId="15349" xr:uid="{D8C8F7CB-9227-4757-AFAA-0452878C7430}"/>
    <cellStyle name="Normal 5 4 3 2 6 3" xfId="11131" xr:uid="{25254D06-AF0B-4EAC-97B9-14E4801EAB13}"/>
    <cellStyle name="Normal 5 4 3 2 7" xfId="4834" xr:uid="{00000000-0005-0000-0000-0000121B0000}"/>
    <cellStyle name="Normal 5 4 3 2 7 2" xfId="13284" xr:uid="{FD811D80-0EC5-4DC8-B633-B8BFC91F7839}"/>
    <cellStyle name="Normal 5 4 3 2 8" xfId="9066" xr:uid="{F71D9348-A05A-4985-8B5F-A756FF5A83DC}"/>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2F34BC9A-93A5-43F2-9F89-3B0A4BAF4690}"/>
    <cellStyle name="Normal 5 4 3 3 2 3" xfId="11623" xr:uid="{3BC2F459-951E-4872-AC45-46D728D8CAAB}"/>
    <cellStyle name="Normal 5 4 3 3 3" xfId="5246" xr:uid="{00000000-0005-0000-0000-0000161B0000}"/>
    <cellStyle name="Normal 5 4 3 3 3 2" xfId="13696" xr:uid="{2D308C09-ACB6-4C58-97F7-600078BECFE3}"/>
    <cellStyle name="Normal 5 4 3 3 4" xfId="9478" xr:uid="{BECA656A-CB98-4F11-A4BA-561FE254E189}"/>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D98E3C0E-7F44-43A1-9840-E7902F9A8F75}"/>
    <cellStyle name="Normal 5 4 3 4 2 3" xfId="12036" xr:uid="{B2C8C129-85DB-4F35-BD4C-FC119ACEB69B}"/>
    <cellStyle name="Normal 5 4 3 4 3" xfId="5659" xr:uid="{00000000-0005-0000-0000-00001A1B0000}"/>
    <cellStyle name="Normal 5 4 3 4 3 2" xfId="14109" xr:uid="{9724BCC4-ED07-465D-9F2C-95820B54F4B6}"/>
    <cellStyle name="Normal 5 4 3 4 4" xfId="9891" xr:uid="{0DA27DED-C240-4174-B3C8-FAFF2AB21E13}"/>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4589408B-3D0E-4AEA-8A2F-ADE598EA6EC7}"/>
    <cellStyle name="Normal 5 4 3 5 2 3" xfId="12449" xr:uid="{07D63877-9BA6-4D35-9859-036553E1460F}"/>
    <cellStyle name="Normal 5 4 3 5 3" xfId="6072" xr:uid="{00000000-0005-0000-0000-00001E1B0000}"/>
    <cellStyle name="Normal 5 4 3 5 3 2" xfId="14522" xr:uid="{AB6673D7-FFB7-4C75-8512-E006D8BA32EB}"/>
    <cellStyle name="Normal 5 4 3 5 4" xfId="10304" xr:uid="{773A767D-6D88-4E31-9927-87426AC4F2D4}"/>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E41CF9BF-AAF2-43D2-B099-E6C205792671}"/>
    <cellStyle name="Normal 5 4 3 6 2 3" xfId="12862" xr:uid="{E3E2B7BD-B30F-4244-ADEA-A71D6D40E0C4}"/>
    <cellStyle name="Normal 5 4 3 6 3" xfId="6485" xr:uid="{00000000-0005-0000-0000-0000221B0000}"/>
    <cellStyle name="Normal 5 4 3 6 3 2" xfId="14935" xr:uid="{02A618BA-2414-47BA-9DAD-2EF2EE894568}"/>
    <cellStyle name="Normal 5 4 3 6 4" xfId="10717" xr:uid="{93F4A9C1-878E-4C30-A5FA-78C8DAED0FC6}"/>
    <cellStyle name="Normal 5 4 3 7" xfId="2615" xr:uid="{00000000-0005-0000-0000-0000231B0000}"/>
    <cellStyle name="Normal 5 4 3 7 2" xfId="6898" xr:uid="{00000000-0005-0000-0000-0000241B0000}"/>
    <cellStyle name="Normal 5 4 3 7 2 2" xfId="15348" xr:uid="{A77424C5-3089-4927-B966-22C77A393874}"/>
    <cellStyle name="Normal 5 4 3 7 3" xfId="11130" xr:uid="{C0921A81-8E3D-4676-A0EE-25DE1FBC04A3}"/>
    <cellStyle name="Normal 5 4 3 8" xfId="4833" xr:uid="{00000000-0005-0000-0000-0000251B0000}"/>
    <cellStyle name="Normal 5 4 3 8 2" xfId="13283" xr:uid="{553BF348-2F0A-4C3D-97E0-4A6E612A05E2}"/>
    <cellStyle name="Normal 5 4 3 9" xfId="9065" xr:uid="{D743D40A-AC52-454E-894E-80F15884E0CB}"/>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13FDCEDE-5A2B-423B-8C5E-298400AC5F25}"/>
    <cellStyle name="Normal 5 4 4 2 2 3" xfId="11625" xr:uid="{D5D26E63-7013-4B75-9CF7-7EC8BFBC5F82}"/>
    <cellStyle name="Normal 5 4 4 2 3" xfId="5248" xr:uid="{00000000-0005-0000-0000-00002A1B0000}"/>
    <cellStyle name="Normal 5 4 4 2 3 2" xfId="13698" xr:uid="{5CACADF7-AE26-4FCE-BBBB-895294D59B1E}"/>
    <cellStyle name="Normal 5 4 4 2 4" xfId="9480" xr:uid="{6D03E419-7457-4699-B82C-F370F6A784A4}"/>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1CD70CCA-99A9-42EC-AB50-D332AF8741CA}"/>
    <cellStyle name="Normal 5 4 4 3 2 3" xfId="12038" xr:uid="{71C23ACB-64E5-4A0C-8B30-3D71595C7762}"/>
    <cellStyle name="Normal 5 4 4 3 3" xfId="5661" xr:uid="{00000000-0005-0000-0000-00002E1B0000}"/>
    <cellStyle name="Normal 5 4 4 3 3 2" xfId="14111" xr:uid="{1F17FC29-51DF-4ECB-9891-F67F9EBD821B}"/>
    <cellStyle name="Normal 5 4 4 3 4" xfId="9893" xr:uid="{3A4C26F0-540F-42BE-8242-9AE04291856B}"/>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B456602C-98B5-4198-AD4F-8F335C37BF3B}"/>
    <cellStyle name="Normal 5 4 4 4 2 3" xfId="12451" xr:uid="{B5640271-B92F-4A19-9444-5608BC94F2B2}"/>
    <cellStyle name="Normal 5 4 4 4 3" xfId="6074" xr:uid="{00000000-0005-0000-0000-0000321B0000}"/>
    <cellStyle name="Normal 5 4 4 4 3 2" xfId="14524" xr:uid="{B6160DF2-1645-4D7E-9CA5-4EA6E96F3214}"/>
    <cellStyle name="Normal 5 4 4 4 4" xfId="10306" xr:uid="{5A7B5966-2C3A-40AB-84E8-692668EF73B1}"/>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DFA1CC10-EC76-493E-9905-ADD15C06172A}"/>
    <cellStyle name="Normal 5 4 4 5 2 3" xfId="12864" xr:uid="{DD5BBB6D-059A-4320-8EDA-39A217950C61}"/>
    <cellStyle name="Normal 5 4 4 5 3" xfId="6487" xr:uid="{00000000-0005-0000-0000-0000361B0000}"/>
    <cellStyle name="Normal 5 4 4 5 3 2" xfId="14937" xr:uid="{91EF5A38-DC3F-4E82-B31A-838A56441A5A}"/>
    <cellStyle name="Normal 5 4 4 5 4" xfId="10719" xr:uid="{83B00C08-88D6-4D17-9EF1-E6C53566C80E}"/>
    <cellStyle name="Normal 5 4 4 6" xfId="2617" xr:uid="{00000000-0005-0000-0000-0000371B0000}"/>
    <cellStyle name="Normal 5 4 4 6 2" xfId="6900" xr:uid="{00000000-0005-0000-0000-0000381B0000}"/>
    <cellStyle name="Normal 5 4 4 6 2 2" xfId="15350" xr:uid="{D4DEE330-3CDF-4F2B-821F-6FA4FAE3198F}"/>
    <cellStyle name="Normal 5 4 4 6 3" xfId="11132" xr:uid="{08349C22-81E0-4F6D-AC01-398B342FE81F}"/>
    <cellStyle name="Normal 5 4 4 7" xfId="4835" xr:uid="{00000000-0005-0000-0000-0000391B0000}"/>
    <cellStyle name="Normal 5 4 4 7 2" xfId="13285" xr:uid="{6145E550-F878-494B-9FB7-22872C98424D}"/>
    <cellStyle name="Normal 5 4 4 8" xfId="9067" xr:uid="{34CED476-C490-4A5B-B59A-3F0504E7A79C}"/>
    <cellStyle name="Normal 5 4 5" xfId="930" xr:uid="{00000000-0005-0000-0000-00003A1B0000}"/>
    <cellStyle name="Normal 5 4 5 2" xfId="3164" xr:uid="{00000000-0005-0000-0000-00003B1B0000}"/>
    <cellStyle name="Normal 5 4 5 2 2" xfId="7386" xr:uid="{00000000-0005-0000-0000-00003C1B0000}"/>
    <cellStyle name="Normal 5 4 5 2 2 2" xfId="15836" xr:uid="{0B32EF64-8CC5-49C0-BFDF-EE599513DB53}"/>
    <cellStyle name="Normal 5 4 5 2 3" xfId="11618" xr:uid="{8C84D09E-3AFC-46E2-991C-6E27206675AA}"/>
    <cellStyle name="Normal 5 4 5 3" xfId="5241" xr:uid="{00000000-0005-0000-0000-00003D1B0000}"/>
    <cellStyle name="Normal 5 4 5 3 2" xfId="13691" xr:uid="{89186D3B-091E-4410-81FC-C344B0FBB947}"/>
    <cellStyle name="Normal 5 4 5 4" xfId="9473" xr:uid="{AA607723-0278-40A6-8D70-C7E1F3AC83AA}"/>
    <cellStyle name="Normal 5 4 6" xfId="1347" xr:uid="{00000000-0005-0000-0000-00003E1B0000}"/>
    <cellStyle name="Normal 5 4 6 2" xfId="3577" xr:uid="{00000000-0005-0000-0000-00003F1B0000}"/>
    <cellStyle name="Normal 5 4 6 2 2" xfId="7799" xr:uid="{00000000-0005-0000-0000-0000401B0000}"/>
    <cellStyle name="Normal 5 4 6 2 2 2" xfId="16249" xr:uid="{C35149F0-4842-4BC2-98C6-07FFCAFD26D5}"/>
    <cellStyle name="Normal 5 4 6 2 3" xfId="12031" xr:uid="{89F4255D-7472-4727-A2B4-A97ADFA5838E}"/>
    <cellStyle name="Normal 5 4 6 3" xfId="5654" xr:uid="{00000000-0005-0000-0000-0000411B0000}"/>
    <cellStyle name="Normal 5 4 6 3 2" xfId="14104" xr:uid="{CB5E5C7D-AC72-4DC9-98BC-B4919CC68E46}"/>
    <cellStyle name="Normal 5 4 6 4" xfId="9886" xr:uid="{1257D9CB-3603-4D08-A8B3-9E12DDA31815}"/>
    <cellStyle name="Normal 5 4 7" xfId="1760" xr:uid="{00000000-0005-0000-0000-0000421B0000}"/>
    <cellStyle name="Normal 5 4 7 2" xfId="3990" xr:uid="{00000000-0005-0000-0000-0000431B0000}"/>
    <cellStyle name="Normal 5 4 7 2 2" xfId="8212" xr:uid="{00000000-0005-0000-0000-0000441B0000}"/>
    <cellStyle name="Normal 5 4 7 2 2 2" xfId="16662" xr:uid="{2DEAC94F-79E7-4ECD-B74D-3F21F03004DE}"/>
    <cellStyle name="Normal 5 4 7 2 3" xfId="12444" xr:uid="{D331338C-60E0-4A2A-A428-6C2F47E8D3A0}"/>
    <cellStyle name="Normal 5 4 7 3" xfId="6067" xr:uid="{00000000-0005-0000-0000-0000451B0000}"/>
    <cellStyle name="Normal 5 4 7 3 2" xfId="14517" xr:uid="{47E44E5B-DA4D-4380-9C85-74A3F1F959DE}"/>
    <cellStyle name="Normal 5 4 7 4" xfId="10299" xr:uid="{71ACD6AC-A0AA-4B60-8366-D74503385BBC}"/>
    <cellStyle name="Normal 5 4 8" xfId="2174" xr:uid="{00000000-0005-0000-0000-0000461B0000}"/>
    <cellStyle name="Normal 5 4 8 2" xfId="4403" xr:uid="{00000000-0005-0000-0000-0000471B0000}"/>
    <cellStyle name="Normal 5 4 8 2 2" xfId="8625" xr:uid="{00000000-0005-0000-0000-0000481B0000}"/>
    <cellStyle name="Normal 5 4 8 2 2 2" xfId="17075" xr:uid="{C8A21563-62B9-4180-94DE-5E0E34111FE0}"/>
    <cellStyle name="Normal 5 4 8 2 3" xfId="12857" xr:uid="{9A227B8F-6204-4C9D-8B91-9A7DC5E67952}"/>
    <cellStyle name="Normal 5 4 8 3" xfId="6480" xr:uid="{00000000-0005-0000-0000-0000491B0000}"/>
    <cellStyle name="Normal 5 4 8 3 2" xfId="14930" xr:uid="{4B96A18D-9AE3-49F6-A02F-2D517254F5C8}"/>
    <cellStyle name="Normal 5 4 8 4" xfId="10712" xr:uid="{07945FF9-B453-451D-B30E-298D2E44882C}"/>
    <cellStyle name="Normal 5 4 9" xfId="2610" xr:uid="{00000000-0005-0000-0000-00004A1B0000}"/>
    <cellStyle name="Normal 5 4 9 2" xfId="6893" xr:uid="{00000000-0005-0000-0000-00004B1B0000}"/>
    <cellStyle name="Normal 5 4 9 2 2" xfId="15343" xr:uid="{BF6DDCF1-8D64-4E6B-8B97-7B1A19BEEDB8}"/>
    <cellStyle name="Normal 5 4 9 3" xfId="11125" xr:uid="{1B233DAC-22C8-480C-95DB-34378BBB5C06}"/>
    <cellStyle name="Normal 5 5" xfId="464" xr:uid="{00000000-0005-0000-0000-00004C1B0000}"/>
    <cellStyle name="Normal 5 5 10" xfId="9068" xr:uid="{30B847C4-A510-4E6E-BF33-E7C40E9E7F9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DCBB8885-6764-44AE-8A24-92A0E7102471}"/>
    <cellStyle name="Normal 5 5 2 2 2 2 3" xfId="11628" xr:uid="{80FEA2B3-C716-4A37-B8D2-CBE2E8C7D172}"/>
    <cellStyle name="Normal 5 5 2 2 2 3" xfId="5251" xr:uid="{00000000-0005-0000-0000-0000521B0000}"/>
    <cellStyle name="Normal 5 5 2 2 2 3 2" xfId="13701" xr:uid="{B53185B7-3EC7-4987-B4A2-406CE2DAF9AE}"/>
    <cellStyle name="Normal 5 5 2 2 2 4" xfId="9483" xr:uid="{6ACBBC12-0215-4594-99EB-CDA19FAFE0A6}"/>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A2E05333-8342-4C13-8198-0B394887746E}"/>
    <cellStyle name="Normal 5 5 2 2 3 2 3" xfId="12041" xr:uid="{D5C93101-49D4-4036-B462-ADCF765F4745}"/>
    <cellStyle name="Normal 5 5 2 2 3 3" xfId="5664" xr:uid="{00000000-0005-0000-0000-0000561B0000}"/>
    <cellStyle name="Normal 5 5 2 2 3 3 2" xfId="14114" xr:uid="{CEFA6303-056C-4B00-B581-94F18B28229A}"/>
    <cellStyle name="Normal 5 5 2 2 3 4" xfId="9896" xr:uid="{91920C64-ABB2-49DC-A315-AD34AFFBF145}"/>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927BE77F-3FCF-44AA-BA57-3CDDE8C1AF84}"/>
    <cellStyle name="Normal 5 5 2 2 4 2 3" xfId="12454" xr:uid="{50C6A606-7B44-4EDE-8AE0-D69AE7D54FEF}"/>
    <cellStyle name="Normal 5 5 2 2 4 3" xfId="6077" xr:uid="{00000000-0005-0000-0000-00005A1B0000}"/>
    <cellStyle name="Normal 5 5 2 2 4 3 2" xfId="14527" xr:uid="{F7AFB32E-7FD5-4A94-9A62-CE69EBBF2BE0}"/>
    <cellStyle name="Normal 5 5 2 2 4 4" xfId="10309" xr:uid="{356DA5D4-1727-4F64-8BFF-6B32701242BE}"/>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F77EC9AC-B97F-476E-BFCE-AB080D36A14F}"/>
    <cellStyle name="Normal 5 5 2 2 5 2 3" xfId="12867" xr:uid="{A0305C28-A27D-495A-A7C1-D7E763B0670A}"/>
    <cellStyle name="Normal 5 5 2 2 5 3" xfId="6490" xr:uid="{00000000-0005-0000-0000-00005E1B0000}"/>
    <cellStyle name="Normal 5 5 2 2 5 3 2" xfId="14940" xr:uid="{AB16F628-B361-46E0-AB1F-8EDAE687EB0B}"/>
    <cellStyle name="Normal 5 5 2 2 5 4" xfId="10722" xr:uid="{E21951DB-D160-4524-80A9-5988B9819827}"/>
    <cellStyle name="Normal 5 5 2 2 6" xfId="2620" xr:uid="{00000000-0005-0000-0000-00005F1B0000}"/>
    <cellStyle name="Normal 5 5 2 2 6 2" xfId="6903" xr:uid="{00000000-0005-0000-0000-0000601B0000}"/>
    <cellStyle name="Normal 5 5 2 2 6 2 2" xfId="15353" xr:uid="{C504F0B2-10B8-40E7-89FB-D058CCF3D561}"/>
    <cellStyle name="Normal 5 5 2 2 6 3" xfId="11135" xr:uid="{9D3747D8-606E-4A0B-963C-27C498D171A9}"/>
    <cellStyle name="Normal 5 5 2 2 7" xfId="4838" xr:uid="{00000000-0005-0000-0000-0000611B0000}"/>
    <cellStyle name="Normal 5 5 2 2 7 2" xfId="13288" xr:uid="{FB86F730-F2DC-4ADA-875C-9C4A69C73501}"/>
    <cellStyle name="Normal 5 5 2 2 8" xfId="9070" xr:uid="{35E3C94A-5188-44DB-9618-BC4E96F1AF7B}"/>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7E7A3306-20B0-4663-83F9-F0C054FC24AB}"/>
    <cellStyle name="Normal 5 5 2 3 2 3" xfId="11627" xr:uid="{6F1883E1-13B2-4845-99D9-F5C498D99140}"/>
    <cellStyle name="Normal 5 5 2 3 3" xfId="5250" xr:uid="{00000000-0005-0000-0000-0000651B0000}"/>
    <cellStyle name="Normal 5 5 2 3 3 2" xfId="13700" xr:uid="{64226F63-28FE-43DD-B6CA-81DB84EAACD6}"/>
    <cellStyle name="Normal 5 5 2 3 4" xfId="9482" xr:uid="{1F9D3D46-A170-4AE5-B5EF-421145B3091C}"/>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35B1DBF5-484F-4859-A170-4B3236F3072D}"/>
    <cellStyle name="Normal 5 5 2 4 2 3" xfId="12040" xr:uid="{CAC420F8-652F-45CE-A211-F22471C16524}"/>
    <cellStyle name="Normal 5 5 2 4 3" xfId="5663" xr:uid="{00000000-0005-0000-0000-0000691B0000}"/>
    <cellStyle name="Normal 5 5 2 4 3 2" xfId="14113" xr:uid="{9EAE2CFB-F228-41FB-A5D9-51E7F05B3BE8}"/>
    <cellStyle name="Normal 5 5 2 4 4" xfId="9895" xr:uid="{92535FEE-9EE4-4C22-8F04-57B10373B77C}"/>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E2EBD7B2-ED88-42EA-8486-7E0D48290726}"/>
    <cellStyle name="Normal 5 5 2 5 2 3" xfId="12453" xr:uid="{ED60810F-CF44-417A-853E-3009CC83C239}"/>
    <cellStyle name="Normal 5 5 2 5 3" xfId="6076" xr:uid="{00000000-0005-0000-0000-00006D1B0000}"/>
    <cellStyle name="Normal 5 5 2 5 3 2" xfId="14526" xr:uid="{34627939-FAD8-410F-99AE-3C0A49E44602}"/>
    <cellStyle name="Normal 5 5 2 5 4" xfId="10308" xr:uid="{069EA635-EFC7-43A6-9D58-50BC06650E9A}"/>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D2B52DCB-9546-4564-BD94-A05213E85330}"/>
    <cellStyle name="Normal 5 5 2 6 2 3" xfId="12866" xr:uid="{012158ED-E3B2-46D9-9378-B756880C2484}"/>
    <cellStyle name="Normal 5 5 2 6 3" xfId="6489" xr:uid="{00000000-0005-0000-0000-0000711B0000}"/>
    <cellStyle name="Normal 5 5 2 6 3 2" xfId="14939" xr:uid="{89CAA4AA-59ED-4AB8-8E2E-1253EC23C5A0}"/>
    <cellStyle name="Normal 5 5 2 6 4" xfId="10721" xr:uid="{FF40A200-ED8F-4677-8039-EDEA9315406D}"/>
    <cellStyle name="Normal 5 5 2 7" xfId="2619" xr:uid="{00000000-0005-0000-0000-0000721B0000}"/>
    <cellStyle name="Normal 5 5 2 7 2" xfId="6902" xr:uid="{00000000-0005-0000-0000-0000731B0000}"/>
    <cellStyle name="Normal 5 5 2 7 2 2" xfId="15352" xr:uid="{29FF5785-2A8B-4CE3-BC5E-316563AFE5B3}"/>
    <cellStyle name="Normal 5 5 2 7 3" xfId="11134" xr:uid="{A82ACDDA-01C0-4997-B959-222E37C83D69}"/>
    <cellStyle name="Normal 5 5 2 8" xfId="4837" xr:uid="{00000000-0005-0000-0000-0000741B0000}"/>
    <cellStyle name="Normal 5 5 2 8 2" xfId="13287" xr:uid="{EC20B116-FC8C-4056-BBEF-D1F0225D38C8}"/>
    <cellStyle name="Normal 5 5 2 9" xfId="9069" xr:uid="{865BEDEA-6ECD-4DE9-B889-274CC27FB872}"/>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3E834927-13F8-4B42-8F6C-770A1860E660}"/>
    <cellStyle name="Normal 5 5 3 2 2 3" xfId="11629" xr:uid="{808FDEE2-A230-4C5B-903F-B89D1906F452}"/>
    <cellStyle name="Normal 5 5 3 2 3" xfId="5252" xr:uid="{00000000-0005-0000-0000-0000791B0000}"/>
    <cellStyle name="Normal 5 5 3 2 3 2" xfId="13702" xr:uid="{CFA842DE-D397-454B-9FCE-96498DB55641}"/>
    <cellStyle name="Normal 5 5 3 2 4" xfId="9484" xr:uid="{B6D28AB2-BB7E-4263-A4A2-9F994D10D7FF}"/>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BDD7F293-8400-40B2-8417-05568E949CC5}"/>
    <cellStyle name="Normal 5 5 3 3 2 3" xfId="12042" xr:uid="{8CF7D504-DDCD-4FD6-BE12-9B40522B2AB5}"/>
    <cellStyle name="Normal 5 5 3 3 3" xfId="5665" xr:uid="{00000000-0005-0000-0000-00007D1B0000}"/>
    <cellStyle name="Normal 5 5 3 3 3 2" xfId="14115" xr:uid="{0BFC2A7C-2DE3-4567-B1DA-354654E35490}"/>
    <cellStyle name="Normal 5 5 3 3 4" xfId="9897" xr:uid="{3436CD2F-BE6F-4185-988E-F6BA275B7E8F}"/>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FD44D70B-8B5E-4499-B602-183F3A115A01}"/>
    <cellStyle name="Normal 5 5 3 4 2 3" xfId="12455" xr:uid="{9B3248FD-0C50-4CB9-A3D3-3E29DFB20216}"/>
    <cellStyle name="Normal 5 5 3 4 3" xfId="6078" xr:uid="{00000000-0005-0000-0000-0000811B0000}"/>
    <cellStyle name="Normal 5 5 3 4 3 2" xfId="14528" xr:uid="{7141808F-3873-45DF-9F61-25B0F0315238}"/>
    <cellStyle name="Normal 5 5 3 4 4" xfId="10310" xr:uid="{2CB91D63-B33D-4E7D-A847-1258475F4D24}"/>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A536444E-F4E0-4931-B765-27271D247478}"/>
    <cellStyle name="Normal 5 5 3 5 2 3" xfId="12868" xr:uid="{DF5B44EB-AD7D-489F-B183-2170ED482A9B}"/>
    <cellStyle name="Normal 5 5 3 5 3" xfId="6491" xr:uid="{00000000-0005-0000-0000-0000851B0000}"/>
    <cellStyle name="Normal 5 5 3 5 3 2" xfId="14941" xr:uid="{46D2AA35-47E7-44E9-BD2D-2B733E8844B2}"/>
    <cellStyle name="Normal 5 5 3 5 4" xfId="10723" xr:uid="{5E06328F-657C-4819-B0F5-D336CFB30156}"/>
    <cellStyle name="Normal 5 5 3 6" xfId="2621" xr:uid="{00000000-0005-0000-0000-0000861B0000}"/>
    <cellStyle name="Normal 5 5 3 6 2" xfId="6904" xr:uid="{00000000-0005-0000-0000-0000871B0000}"/>
    <cellStyle name="Normal 5 5 3 6 2 2" xfId="15354" xr:uid="{808337AB-5516-4D28-8CF8-1CB3D4EB57E0}"/>
    <cellStyle name="Normal 5 5 3 6 3" xfId="11136" xr:uid="{1A15F6D5-0399-4D7A-B6C3-4526B43A428D}"/>
    <cellStyle name="Normal 5 5 3 7" xfId="4839" xr:uid="{00000000-0005-0000-0000-0000881B0000}"/>
    <cellStyle name="Normal 5 5 3 7 2" xfId="13289" xr:uid="{61B7AEF0-C4A2-4EF5-863E-DB3FBBEDB046}"/>
    <cellStyle name="Normal 5 5 3 8" xfId="9071" xr:uid="{7ACD5832-5C71-42F3-9648-95820882AFFD}"/>
    <cellStyle name="Normal 5 5 4" xfId="938" xr:uid="{00000000-0005-0000-0000-0000891B0000}"/>
    <cellStyle name="Normal 5 5 4 2" xfId="3172" xr:uid="{00000000-0005-0000-0000-00008A1B0000}"/>
    <cellStyle name="Normal 5 5 4 2 2" xfId="7394" xr:uid="{00000000-0005-0000-0000-00008B1B0000}"/>
    <cellStyle name="Normal 5 5 4 2 2 2" xfId="15844" xr:uid="{8078B987-98AF-454D-BF04-2B45B3E1448E}"/>
    <cellStyle name="Normal 5 5 4 2 3" xfId="11626" xr:uid="{42AF39E3-8AE3-4BB5-BEFD-A0B8CBFC50C9}"/>
    <cellStyle name="Normal 5 5 4 3" xfId="5249" xr:uid="{00000000-0005-0000-0000-00008C1B0000}"/>
    <cellStyle name="Normal 5 5 4 3 2" xfId="13699" xr:uid="{B7C134F1-399A-4E34-8795-18F6DF7EBBD7}"/>
    <cellStyle name="Normal 5 5 4 4" xfId="9481" xr:uid="{49564998-B619-4BA8-AE50-396F98699E40}"/>
    <cellStyle name="Normal 5 5 5" xfId="1355" xr:uid="{00000000-0005-0000-0000-00008D1B0000}"/>
    <cellStyle name="Normal 5 5 5 2" xfId="3585" xr:uid="{00000000-0005-0000-0000-00008E1B0000}"/>
    <cellStyle name="Normal 5 5 5 2 2" xfId="7807" xr:uid="{00000000-0005-0000-0000-00008F1B0000}"/>
    <cellStyle name="Normal 5 5 5 2 2 2" xfId="16257" xr:uid="{DA7E6286-424E-41B3-8321-E0195885D7F1}"/>
    <cellStyle name="Normal 5 5 5 2 3" xfId="12039" xr:uid="{4E8DAC1A-4271-4FC8-994A-29EE0655B0AA}"/>
    <cellStyle name="Normal 5 5 5 3" xfId="5662" xr:uid="{00000000-0005-0000-0000-0000901B0000}"/>
    <cellStyle name="Normal 5 5 5 3 2" xfId="14112" xr:uid="{1405D52B-A413-4D19-BCD6-CBAEA60F0589}"/>
    <cellStyle name="Normal 5 5 5 4" xfId="9894" xr:uid="{6197B521-65ED-4235-99D0-C36A22DB329A}"/>
    <cellStyle name="Normal 5 5 6" xfId="1768" xr:uid="{00000000-0005-0000-0000-0000911B0000}"/>
    <cellStyle name="Normal 5 5 6 2" xfId="3998" xr:uid="{00000000-0005-0000-0000-0000921B0000}"/>
    <cellStyle name="Normal 5 5 6 2 2" xfId="8220" xr:uid="{00000000-0005-0000-0000-0000931B0000}"/>
    <cellStyle name="Normal 5 5 6 2 2 2" xfId="16670" xr:uid="{6E0850DD-6729-458A-B8E9-306E48AF052E}"/>
    <cellStyle name="Normal 5 5 6 2 3" xfId="12452" xr:uid="{8DAF653C-39CC-427B-ABF6-86E47FBDDE69}"/>
    <cellStyle name="Normal 5 5 6 3" xfId="6075" xr:uid="{00000000-0005-0000-0000-0000941B0000}"/>
    <cellStyle name="Normal 5 5 6 3 2" xfId="14525" xr:uid="{64305D3A-D4D9-4DEF-AA7C-951CC93AA245}"/>
    <cellStyle name="Normal 5 5 6 4" xfId="10307" xr:uid="{F13B9A7C-5090-4EAF-A0A9-28FAE5736E59}"/>
    <cellStyle name="Normal 5 5 7" xfId="2182" xr:uid="{00000000-0005-0000-0000-0000951B0000}"/>
    <cellStyle name="Normal 5 5 7 2" xfId="4411" xr:uid="{00000000-0005-0000-0000-0000961B0000}"/>
    <cellStyle name="Normal 5 5 7 2 2" xfId="8633" xr:uid="{00000000-0005-0000-0000-0000971B0000}"/>
    <cellStyle name="Normal 5 5 7 2 2 2" xfId="17083" xr:uid="{1C7E4312-9B11-4670-9022-09FB759B6BDD}"/>
    <cellStyle name="Normal 5 5 7 2 3" xfId="12865" xr:uid="{9AA393E3-2751-41D0-A555-27F4FFACA6A5}"/>
    <cellStyle name="Normal 5 5 7 3" xfId="6488" xr:uid="{00000000-0005-0000-0000-0000981B0000}"/>
    <cellStyle name="Normal 5 5 7 3 2" xfId="14938" xr:uid="{339F8CA2-86F6-403A-BE11-DA66BE7C8435}"/>
    <cellStyle name="Normal 5 5 7 4" xfId="10720" xr:uid="{390F4E40-4E44-473A-A66B-97707DE72B9E}"/>
    <cellStyle name="Normal 5 5 8" xfId="2618" xr:uid="{00000000-0005-0000-0000-0000991B0000}"/>
    <cellStyle name="Normal 5 5 8 2" xfId="6901" xr:uid="{00000000-0005-0000-0000-00009A1B0000}"/>
    <cellStyle name="Normal 5 5 8 2 2" xfId="15351" xr:uid="{3C0B646B-F78F-485C-B49B-22C6117410DD}"/>
    <cellStyle name="Normal 5 5 8 3" xfId="11133" xr:uid="{5B4AD470-FAA0-4B4F-999A-41623572ED25}"/>
    <cellStyle name="Normal 5 5 9" xfId="4836" xr:uid="{00000000-0005-0000-0000-00009B1B0000}"/>
    <cellStyle name="Normal 5 5 9 2" xfId="13286" xr:uid="{5A288C13-E9F0-46C5-AB74-7C8EAF746E15}"/>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14BCF40C-5951-489D-AB28-FD232E903B40}"/>
    <cellStyle name="Normal 5 6 2 2 2 3" xfId="11631" xr:uid="{0E372EA6-11ED-469A-9A0D-402E77055FF5}"/>
    <cellStyle name="Normal 5 6 2 2 3" xfId="5254" xr:uid="{00000000-0005-0000-0000-0000A11B0000}"/>
    <cellStyle name="Normal 5 6 2 2 3 2" xfId="13704" xr:uid="{00E366C7-607C-4384-ACB7-6316FDA9B1EE}"/>
    <cellStyle name="Normal 5 6 2 2 4" xfId="9486" xr:uid="{AC292FAE-533C-48D2-BD32-93896139A842}"/>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FD672F12-78A7-4433-991D-32419D41D47E}"/>
    <cellStyle name="Normal 5 6 2 3 2 3" xfId="12044" xr:uid="{C17371AA-834F-4FCE-B175-7F948DC482BA}"/>
    <cellStyle name="Normal 5 6 2 3 3" xfId="5667" xr:uid="{00000000-0005-0000-0000-0000A51B0000}"/>
    <cellStyle name="Normal 5 6 2 3 3 2" xfId="14117" xr:uid="{2A084F82-0229-4C5C-87B5-99794342D17D}"/>
    <cellStyle name="Normal 5 6 2 3 4" xfId="9899" xr:uid="{17EDFA12-58EE-4F85-9DF3-EFA9065F0249}"/>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A15248F1-433A-47EB-AA3C-68599C62A844}"/>
    <cellStyle name="Normal 5 6 2 4 2 3" xfId="12457" xr:uid="{4DF6628F-E9E5-4E73-87F3-55902504DA47}"/>
    <cellStyle name="Normal 5 6 2 4 3" xfId="6080" xr:uid="{00000000-0005-0000-0000-0000A91B0000}"/>
    <cellStyle name="Normal 5 6 2 4 3 2" xfId="14530" xr:uid="{CEC5DC2F-D6AD-43D4-8791-AF3D65CE3007}"/>
    <cellStyle name="Normal 5 6 2 4 4" xfId="10312" xr:uid="{5B4F7420-4F4A-438F-86B8-76E6C5332101}"/>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4EE31012-7BEF-468C-B854-42A722350A23}"/>
    <cellStyle name="Normal 5 6 2 5 2 3" xfId="12870" xr:uid="{8F44EB01-D61E-4669-A8D2-A87DFE5E7773}"/>
    <cellStyle name="Normal 5 6 2 5 3" xfId="6493" xr:uid="{00000000-0005-0000-0000-0000AD1B0000}"/>
    <cellStyle name="Normal 5 6 2 5 3 2" xfId="14943" xr:uid="{717F963A-9470-4DEA-8B76-37016991E2DB}"/>
    <cellStyle name="Normal 5 6 2 5 4" xfId="10725" xr:uid="{71810659-6144-43CA-B839-2030A7BF12B6}"/>
    <cellStyle name="Normal 5 6 2 6" xfId="2623" xr:uid="{00000000-0005-0000-0000-0000AE1B0000}"/>
    <cellStyle name="Normal 5 6 2 6 2" xfId="6906" xr:uid="{00000000-0005-0000-0000-0000AF1B0000}"/>
    <cellStyle name="Normal 5 6 2 6 2 2" xfId="15356" xr:uid="{2CEA6975-CBEC-4CC7-87FB-16FA563ED5C0}"/>
    <cellStyle name="Normal 5 6 2 6 3" xfId="11138" xr:uid="{25ECF5C0-FAD1-4278-8D5C-C55B9F555B74}"/>
    <cellStyle name="Normal 5 6 2 7" xfId="4841" xr:uid="{00000000-0005-0000-0000-0000B01B0000}"/>
    <cellStyle name="Normal 5 6 2 7 2" xfId="13291" xr:uid="{49D6F730-70A9-4F3A-8E6E-F936A308CD97}"/>
    <cellStyle name="Normal 5 6 2 8" xfId="9073" xr:uid="{4DF0D591-EFA3-4955-8A24-23EA145FB81A}"/>
    <cellStyle name="Normal 5 6 3" xfId="942" xr:uid="{00000000-0005-0000-0000-0000B11B0000}"/>
    <cellStyle name="Normal 5 6 3 2" xfId="3176" xr:uid="{00000000-0005-0000-0000-0000B21B0000}"/>
    <cellStyle name="Normal 5 6 3 2 2" xfId="7398" xr:uid="{00000000-0005-0000-0000-0000B31B0000}"/>
    <cellStyle name="Normal 5 6 3 2 2 2" xfId="15848" xr:uid="{3622F269-7E0C-4E36-8A49-C40B30F7916F}"/>
    <cellStyle name="Normal 5 6 3 2 3" xfId="11630" xr:uid="{47CB3468-03B6-408E-B8AC-FC93C956082C}"/>
    <cellStyle name="Normal 5 6 3 3" xfId="5253" xr:uid="{00000000-0005-0000-0000-0000B41B0000}"/>
    <cellStyle name="Normal 5 6 3 3 2" xfId="13703" xr:uid="{105DB9C2-B1EE-4202-8FD3-CCFD069388F3}"/>
    <cellStyle name="Normal 5 6 3 4" xfId="9485" xr:uid="{FAA0BF4D-8032-4B95-9E37-4FC60093FF38}"/>
    <cellStyle name="Normal 5 6 4" xfId="1359" xr:uid="{00000000-0005-0000-0000-0000B51B0000}"/>
    <cellStyle name="Normal 5 6 4 2" xfId="3589" xr:uid="{00000000-0005-0000-0000-0000B61B0000}"/>
    <cellStyle name="Normal 5 6 4 2 2" xfId="7811" xr:uid="{00000000-0005-0000-0000-0000B71B0000}"/>
    <cellStyle name="Normal 5 6 4 2 2 2" xfId="16261" xr:uid="{E694BC58-E512-4587-A80E-EA6A77654663}"/>
    <cellStyle name="Normal 5 6 4 2 3" xfId="12043" xr:uid="{5B92BCF9-F01B-48E0-89F3-8E64F9659DAC}"/>
    <cellStyle name="Normal 5 6 4 3" xfId="5666" xr:uid="{00000000-0005-0000-0000-0000B81B0000}"/>
    <cellStyle name="Normal 5 6 4 3 2" xfId="14116" xr:uid="{DB777340-A1EF-4954-995B-F46728437257}"/>
    <cellStyle name="Normal 5 6 4 4" xfId="9898" xr:uid="{63B2B346-3D55-4E9C-B56A-3593649BEDF1}"/>
    <cellStyle name="Normal 5 6 5" xfId="1772" xr:uid="{00000000-0005-0000-0000-0000B91B0000}"/>
    <cellStyle name="Normal 5 6 5 2" xfId="4002" xr:uid="{00000000-0005-0000-0000-0000BA1B0000}"/>
    <cellStyle name="Normal 5 6 5 2 2" xfId="8224" xr:uid="{00000000-0005-0000-0000-0000BB1B0000}"/>
    <cellStyle name="Normal 5 6 5 2 2 2" xfId="16674" xr:uid="{A2B5A4A1-06A3-409D-A2F2-8CF9CF11C49A}"/>
    <cellStyle name="Normal 5 6 5 2 3" xfId="12456" xr:uid="{EF163BE7-DBD8-49B5-8BD5-CCA0E021B728}"/>
    <cellStyle name="Normal 5 6 5 3" xfId="6079" xr:uid="{00000000-0005-0000-0000-0000BC1B0000}"/>
    <cellStyle name="Normal 5 6 5 3 2" xfId="14529" xr:uid="{2364BCCC-1570-456F-906A-C67A1C9CCE84}"/>
    <cellStyle name="Normal 5 6 5 4" xfId="10311" xr:uid="{9EB88667-434D-4729-9690-421E21E137B3}"/>
    <cellStyle name="Normal 5 6 6" xfId="2186" xr:uid="{00000000-0005-0000-0000-0000BD1B0000}"/>
    <cellStyle name="Normal 5 6 6 2" xfId="4415" xr:uid="{00000000-0005-0000-0000-0000BE1B0000}"/>
    <cellStyle name="Normal 5 6 6 2 2" xfId="8637" xr:uid="{00000000-0005-0000-0000-0000BF1B0000}"/>
    <cellStyle name="Normal 5 6 6 2 2 2" xfId="17087" xr:uid="{7A3AEE49-F327-4AC9-BE6D-AF630D0810B8}"/>
    <cellStyle name="Normal 5 6 6 2 3" xfId="12869" xr:uid="{3A27CACC-0344-45B6-A5FD-6F6354AB89C8}"/>
    <cellStyle name="Normal 5 6 6 3" xfId="6492" xr:uid="{00000000-0005-0000-0000-0000C01B0000}"/>
    <cellStyle name="Normal 5 6 6 3 2" xfId="14942" xr:uid="{B5058A8F-0B9A-4456-B88B-DAC440BDE4A7}"/>
    <cellStyle name="Normal 5 6 6 4" xfId="10724" xr:uid="{134FD7E9-1B54-44DA-A848-70E186B5B55C}"/>
    <cellStyle name="Normal 5 6 7" xfId="2622" xr:uid="{00000000-0005-0000-0000-0000C11B0000}"/>
    <cellStyle name="Normal 5 6 7 2" xfId="6905" xr:uid="{00000000-0005-0000-0000-0000C21B0000}"/>
    <cellStyle name="Normal 5 6 7 2 2" xfId="15355" xr:uid="{FF2AB1AD-54A6-4044-84E2-865D6DFC5B8C}"/>
    <cellStyle name="Normal 5 6 7 3" xfId="11137" xr:uid="{2D319D27-DC43-460D-A5C7-3363BE4157A4}"/>
    <cellStyle name="Normal 5 6 8" xfId="4840" xr:uid="{00000000-0005-0000-0000-0000C31B0000}"/>
    <cellStyle name="Normal 5 6 8 2" xfId="13290" xr:uid="{35B81624-307C-423C-8BA1-95E9341DE4CD}"/>
    <cellStyle name="Normal 5 6 9" xfId="9072" xr:uid="{BD893AAB-A681-436A-9A40-F722F6CFCDF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34E32AD9-E516-4746-BDC6-030D0EE4B5D1}"/>
    <cellStyle name="Normal 5 7 2 2 3" xfId="11632" xr:uid="{7D99B4EE-C516-42F4-AE77-FEF593B3A8E2}"/>
    <cellStyle name="Normal 5 7 2 3" xfId="5255" xr:uid="{00000000-0005-0000-0000-0000C81B0000}"/>
    <cellStyle name="Normal 5 7 2 3 2" xfId="13705" xr:uid="{87D757A8-E796-4690-96CE-891042DBC244}"/>
    <cellStyle name="Normal 5 7 2 4" xfId="9487" xr:uid="{F827C86F-B50F-4B94-ADD0-10CB6033037C}"/>
    <cellStyle name="Normal 5 7 3" xfId="1361" xr:uid="{00000000-0005-0000-0000-0000C91B0000}"/>
    <cellStyle name="Normal 5 7 3 2" xfId="3591" xr:uid="{00000000-0005-0000-0000-0000CA1B0000}"/>
    <cellStyle name="Normal 5 7 3 2 2" xfId="7813" xr:uid="{00000000-0005-0000-0000-0000CB1B0000}"/>
    <cellStyle name="Normal 5 7 3 2 2 2" xfId="16263" xr:uid="{F7ED8079-5CB0-49D8-AB83-1C950BD57F11}"/>
    <cellStyle name="Normal 5 7 3 2 3" xfId="12045" xr:uid="{03B3C398-2924-4C60-AF31-BA1D6EF52CFA}"/>
    <cellStyle name="Normal 5 7 3 3" xfId="5668" xr:uid="{00000000-0005-0000-0000-0000CC1B0000}"/>
    <cellStyle name="Normal 5 7 3 3 2" xfId="14118" xr:uid="{654B1D75-341C-4E0A-9220-CBD69EDD10E9}"/>
    <cellStyle name="Normal 5 7 3 4" xfId="9900" xr:uid="{866195D1-E798-4821-AAD8-F1EB6B92BC59}"/>
    <cellStyle name="Normal 5 7 4" xfId="1774" xr:uid="{00000000-0005-0000-0000-0000CD1B0000}"/>
    <cellStyle name="Normal 5 7 4 2" xfId="4004" xr:uid="{00000000-0005-0000-0000-0000CE1B0000}"/>
    <cellStyle name="Normal 5 7 4 2 2" xfId="8226" xr:uid="{00000000-0005-0000-0000-0000CF1B0000}"/>
    <cellStyle name="Normal 5 7 4 2 2 2" xfId="16676" xr:uid="{8AFAADE5-AA8D-4801-BDCE-BCC2F5088359}"/>
    <cellStyle name="Normal 5 7 4 2 3" xfId="12458" xr:uid="{776A732E-E879-457A-BCA8-A06DE7ECBCEF}"/>
    <cellStyle name="Normal 5 7 4 3" xfId="6081" xr:uid="{00000000-0005-0000-0000-0000D01B0000}"/>
    <cellStyle name="Normal 5 7 4 3 2" xfId="14531" xr:uid="{60765732-6AE2-465A-8CFD-C0C7D4BCEF7D}"/>
    <cellStyle name="Normal 5 7 4 4" xfId="10313" xr:uid="{9DC0BB20-816B-4D8B-9B15-A3462394CC5B}"/>
    <cellStyle name="Normal 5 7 5" xfId="2188" xr:uid="{00000000-0005-0000-0000-0000D11B0000}"/>
    <cellStyle name="Normal 5 7 5 2" xfId="4417" xr:uid="{00000000-0005-0000-0000-0000D21B0000}"/>
    <cellStyle name="Normal 5 7 5 2 2" xfId="8639" xr:uid="{00000000-0005-0000-0000-0000D31B0000}"/>
    <cellStyle name="Normal 5 7 5 2 2 2" xfId="17089" xr:uid="{9F62A2B3-AE64-4CF2-BF02-B8F8165AD06C}"/>
    <cellStyle name="Normal 5 7 5 2 3" xfId="12871" xr:uid="{702A4B80-B27D-4ABB-86A6-4CFFB570260C}"/>
    <cellStyle name="Normal 5 7 5 3" xfId="6494" xr:uid="{00000000-0005-0000-0000-0000D41B0000}"/>
    <cellStyle name="Normal 5 7 5 3 2" xfId="14944" xr:uid="{DF5A50D9-1072-4782-B725-B941D5B6D309}"/>
    <cellStyle name="Normal 5 7 5 4" xfId="10726" xr:uid="{A8956B14-5423-4BB2-9262-0CD36F34C012}"/>
    <cellStyle name="Normal 5 7 6" xfId="2624" xr:uid="{00000000-0005-0000-0000-0000D51B0000}"/>
    <cellStyle name="Normal 5 7 6 2" xfId="6907" xr:uid="{00000000-0005-0000-0000-0000D61B0000}"/>
    <cellStyle name="Normal 5 7 6 2 2" xfId="15357" xr:uid="{63C4B64F-8A17-49B9-AC77-C6C016D72CCC}"/>
    <cellStyle name="Normal 5 7 6 3" xfId="11139" xr:uid="{39D12F8D-335F-4BF6-9870-624F1C53A21C}"/>
    <cellStyle name="Normal 5 7 7" xfId="4842" xr:uid="{00000000-0005-0000-0000-0000D71B0000}"/>
    <cellStyle name="Normal 5 7 7 2" xfId="13292" xr:uid="{C3AA7774-14C3-46E4-B9AB-84407000DD3F}"/>
    <cellStyle name="Normal 5 7 8" xfId="9074" xr:uid="{FA5F5B3F-4DEF-4E76-9647-D8C46ED95C78}"/>
    <cellStyle name="Normal 5 8" xfId="880" xr:uid="{00000000-0005-0000-0000-0000D81B0000}"/>
    <cellStyle name="Normal 5 8 2" xfId="3115" xr:uid="{00000000-0005-0000-0000-0000D91B0000}"/>
    <cellStyle name="Normal 5 8 2 2" xfId="7337" xr:uid="{00000000-0005-0000-0000-0000DA1B0000}"/>
    <cellStyle name="Normal 5 8 2 2 2" xfId="15787" xr:uid="{2734C0AE-B3E9-4F39-9E0C-60825FB7580C}"/>
    <cellStyle name="Normal 5 8 2 3" xfId="11569" xr:uid="{414C58D3-1909-4F6E-A75D-857F5C3C1076}"/>
    <cellStyle name="Normal 5 8 3" xfId="5192" xr:uid="{00000000-0005-0000-0000-0000DB1B0000}"/>
    <cellStyle name="Normal 5 8 3 2" xfId="13642" xr:uid="{A2CB6AE9-4B09-41D3-9D40-B88020D58A9D}"/>
    <cellStyle name="Normal 5 8 4" xfId="9424" xr:uid="{D7225A5F-57DE-4809-86EC-09AFB2CF46BB}"/>
    <cellStyle name="Normal 5 9" xfId="1298" xr:uid="{00000000-0005-0000-0000-0000DC1B0000}"/>
    <cellStyle name="Normal 5 9 2" xfId="3528" xr:uid="{00000000-0005-0000-0000-0000DD1B0000}"/>
    <cellStyle name="Normal 5 9 2 2" xfId="7750" xr:uid="{00000000-0005-0000-0000-0000DE1B0000}"/>
    <cellStyle name="Normal 5 9 2 2 2" xfId="16200" xr:uid="{6DE8700A-FEB7-4499-884C-84F657A119A1}"/>
    <cellStyle name="Normal 5 9 2 3" xfId="11982" xr:uid="{1CDE1D5B-001E-4798-917E-15206B5A50E7}"/>
    <cellStyle name="Normal 5 9 3" xfId="5605" xr:uid="{00000000-0005-0000-0000-0000DF1B0000}"/>
    <cellStyle name="Normal 5 9 3 2" xfId="14055" xr:uid="{74D149AC-129A-40F1-943C-6A9E15EC1F54}"/>
    <cellStyle name="Normal 5 9 4" xfId="9837" xr:uid="{7AC457F3-2055-4E40-B30F-48670A30F00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6EA4A6BC-710F-4786-AC64-A6A3102774A7}"/>
    <cellStyle name="Normal 8 10 2 3" xfId="12872" xr:uid="{03156C44-1C1C-4243-BCBA-D6EC69D6831A}"/>
    <cellStyle name="Normal 8 10 3" xfId="6495" xr:uid="{00000000-0005-0000-0000-0000EB1B0000}"/>
    <cellStyle name="Normal 8 10 3 2" xfId="14945" xr:uid="{10205BE6-3D1B-41DC-9CEE-27491B836456}"/>
    <cellStyle name="Normal 8 10 4" xfId="10727" xr:uid="{E12440BF-69E2-40EA-A010-AB7DD98C8F6C}"/>
    <cellStyle name="Normal 8 11" xfId="2625" xr:uid="{00000000-0005-0000-0000-0000EC1B0000}"/>
    <cellStyle name="Normal 8 11 2" xfId="6908" xr:uid="{00000000-0005-0000-0000-0000ED1B0000}"/>
    <cellStyle name="Normal 8 11 2 2" xfId="15358" xr:uid="{152F8A65-ED47-4FD1-9C07-A0211BA62C34}"/>
    <cellStyle name="Normal 8 11 3" xfId="11140" xr:uid="{0E0FF4F7-B850-495B-9AE6-373E3F81CFAF}"/>
    <cellStyle name="Normal 8 12" xfId="4843" xr:uid="{00000000-0005-0000-0000-0000EE1B0000}"/>
    <cellStyle name="Normal 8 12 2" xfId="13293" xr:uid="{5C6A28F6-5067-4B42-8547-DC882AEF2944}"/>
    <cellStyle name="Normal 8 13" xfId="9075" xr:uid="{FE0D6DDD-8976-484B-A14D-AB31E04AB8ED}"/>
    <cellStyle name="Normal 8 2" xfId="479" xr:uid="{00000000-0005-0000-0000-0000EF1B0000}"/>
    <cellStyle name="Normal 8 2 10" xfId="2626" xr:uid="{00000000-0005-0000-0000-0000F01B0000}"/>
    <cellStyle name="Normal 8 2 10 2" xfId="6909" xr:uid="{00000000-0005-0000-0000-0000F11B0000}"/>
    <cellStyle name="Normal 8 2 10 2 2" xfId="15359" xr:uid="{DDC60E42-89C8-4DD9-8B57-FA5206BB664F}"/>
    <cellStyle name="Normal 8 2 10 3" xfId="11141" xr:uid="{D8233FD6-CC09-43F4-990D-12A7FB02887C}"/>
    <cellStyle name="Normal 8 2 11" xfId="4844" xr:uid="{00000000-0005-0000-0000-0000F21B0000}"/>
    <cellStyle name="Normal 8 2 11 2" xfId="13294" xr:uid="{C968EBCB-223B-4819-AED0-AA20D77AA338}"/>
    <cellStyle name="Normal 8 2 12" xfId="9076" xr:uid="{C831EB4B-8510-4257-9982-826A13F9851F}"/>
    <cellStyle name="Normal 8 2 2" xfId="480" xr:uid="{00000000-0005-0000-0000-0000F31B0000}"/>
    <cellStyle name="Normal 8 2 2 10" xfId="4845" xr:uid="{00000000-0005-0000-0000-0000F41B0000}"/>
    <cellStyle name="Normal 8 2 2 10 2" xfId="13295" xr:uid="{D32EF7BA-0AC1-4C5E-8248-55FB5CFA1C7F}"/>
    <cellStyle name="Normal 8 2 2 11" xfId="9077" xr:uid="{DF139552-E42A-4E63-8BE1-6DA8A240FDC9}"/>
    <cellStyle name="Normal 8 2 2 2" xfId="481" xr:uid="{00000000-0005-0000-0000-0000F51B0000}"/>
    <cellStyle name="Normal 8 2 2 2 10" xfId="9078" xr:uid="{7E815918-0E95-4412-94EF-6D3CE0D4FC22}"/>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6ED069DC-35E2-449E-AE76-76A34D63EE35}"/>
    <cellStyle name="Normal 8 2 2 2 2 2 2 2 3" xfId="11638" xr:uid="{0A43B3DC-5A9F-4B66-99E8-B5C942899ACB}"/>
    <cellStyle name="Normal 8 2 2 2 2 2 2 3" xfId="5261" xr:uid="{00000000-0005-0000-0000-0000FB1B0000}"/>
    <cellStyle name="Normal 8 2 2 2 2 2 2 3 2" xfId="13711" xr:uid="{A839E432-31CE-4C04-AA2D-AF55589B5A1F}"/>
    <cellStyle name="Normal 8 2 2 2 2 2 2 4" xfId="9493" xr:uid="{D73A50B2-4EFD-42DF-9F5A-3350CC569A3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DD65200A-F427-4757-B464-47DD2868B850}"/>
    <cellStyle name="Normal 8 2 2 2 2 2 3 2 3" xfId="12051" xr:uid="{65E111CC-2747-4E8A-9B9B-B3C55907454A}"/>
    <cellStyle name="Normal 8 2 2 2 2 2 3 3" xfId="5674" xr:uid="{00000000-0005-0000-0000-0000FF1B0000}"/>
    <cellStyle name="Normal 8 2 2 2 2 2 3 3 2" xfId="14124" xr:uid="{40A176EC-F16E-40EF-B65C-1087F2E65439}"/>
    <cellStyle name="Normal 8 2 2 2 2 2 3 4" xfId="9906" xr:uid="{7E26699D-6842-45CE-B9D3-7B09D00ED2BB}"/>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BCAD7DF2-6379-4680-8835-359C1B8249BC}"/>
    <cellStyle name="Normal 8 2 2 2 2 2 4 2 3" xfId="12464" xr:uid="{112E0EF3-1A1C-44F2-9693-C4495E46C391}"/>
    <cellStyle name="Normal 8 2 2 2 2 2 4 3" xfId="6087" xr:uid="{00000000-0005-0000-0000-0000031C0000}"/>
    <cellStyle name="Normal 8 2 2 2 2 2 4 3 2" xfId="14537" xr:uid="{B552A225-BB6A-4C7F-BD4F-BA9C1AD81759}"/>
    <cellStyle name="Normal 8 2 2 2 2 2 4 4" xfId="10319" xr:uid="{56E87FF8-7B02-4C5D-996B-E21EAE9A3653}"/>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E5F83D64-8CAF-427D-B90C-382B2C2204D8}"/>
    <cellStyle name="Normal 8 2 2 2 2 2 5 2 3" xfId="12877" xr:uid="{FB439A08-6F60-423B-BCC6-7E2136F6CEA8}"/>
    <cellStyle name="Normal 8 2 2 2 2 2 5 3" xfId="6500" xr:uid="{00000000-0005-0000-0000-0000071C0000}"/>
    <cellStyle name="Normal 8 2 2 2 2 2 5 3 2" xfId="14950" xr:uid="{E45A6B0B-96A5-4CAB-B604-2B74DD02DE7B}"/>
    <cellStyle name="Normal 8 2 2 2 2 2 5 4" xfId="10732" xr:uid="{A44D49F6-0532-4EA6-AE29-F5E42124C95B}"/>
    <cellStyle name="Normal 8 2 2 2 2 2 6" xfId="2630" xr:uid="{00000000-0005-0000-0000-0000081C0000}"/>
    <cellStyle name="Normal 8 2 2 2 2 2 6 2" xfId="6913" xr:uid="{00000000-0005-0000-0000-0000091C0000}"/>
    <cellStyle name="Normal 8 2 2 2 2 2 6 2 2" xfId="15363" xr:uid="{FDD06307-68CF-49DB-8D25-392121EACC42}"/>
    <cellStyle name="Normal 8 2 2 2 2 2 6 3" xfId="11145" xr:uid="{D63F9B50-01B6-46A4-8C39-69FA3AC3E181}"/>
    <cellStyle name="Normal 8 2 2 2 2 2 7" xfId="4848" xr:uid="{00000000-0005-0000-0000-00000A1C0000}"/>
    <cellStyle name="Normal 8 2 2 2 2 2 7 2" xfId="13298" xr:uid="{789130D2-D88B-4CBC-A16F-88C4C3FA3436}"/>
    <cellStyle name="Normal 8 2 2 2 2 2 8" xfId="9080" xr:uid="{42BA73D4-0748-437A-981F-7FDBA0DC1973}"/>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2D4996D0-4009-4E60-B82E-4BE8222B884A}"/>
    <cellStyle name="Normal 8 2 2 2 2 3 2 3" xfId="11637" xr:uid="{C43B6C41-709B-4371-B1F0-020C263CE252}"/>
    <cellStyle name="Normal 8 2 2 2 2 3 3" xfId="5260" xr:uid="{00000000-0005-0000-0000-00000E1C0000}"/>
    <cellStyle name="Normal 8 2 2 2 2 3 3 2" xfId="13710" xr:uid="{AD9CBEA0-EBA4-481E-96A8-AB475FE75303}"/>
    <cellStyle name="Normal 8 2 2 2 2 3 4" xfId="9492" xr:uid="{1A654741-1FE9-4799-8C77-D7AFF1D7FA6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F4054DCE-5585-45E3-9B17-0BD92FAE1665}"/>
    <cellStyle name="Normal 8 2 2 2 2 4 2 3" xfId="12050" xr:uid="{E4A1F6B1-F9DA-4829-8BDF-F1F352E6FB54}"/>
    <cellStyle name="Normal 8 2 2 2 2 4 3" xfId="5673" xr:uid="{00000000-0005-0000-0000-0000121C0000}"/>
    <cellStyle name="Normal 8 2 2 2 2 4 3 2" xfId="14123" xr:uid="{65685544-049D-41F9-A4B4-21DA3B72FB8C}"/>
    <cellStyle name="Normal 8 2 2 2 2 4 4" xfId="9905" xr:uid="{8FEC81D9-A68C-4956-8F7E-61D2DB1C7DE2}"/>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3AA043E3-A88F-4B02-B54B-8B7306C687FE}"/>
    <cellStyle name="Normal 8 2 2 2 2 5 2 3" xfId="12463" xr:uid="{69CA7FF5-0541-4313-ACFB-BEE1A3D931E2}"/>
    <cellStyle name="Normal 8 2 2 2 2 5 3" xfId="6086" xr:uid="{00000000-0005-0000-0000-0000161C0000}"/>
    <cellStyle name="Normal 8 2 2 2 2 5 3 2" xfId="14536" xr:uid="{06B39A14-FFE2-4DC7-B07A-89D262E7FCBD}"/>
    <cellStyle name="Normal 8 2 2 2 2 5 4" xfId="10318" xr:uid="{4F421A26-A1BC-4C2E-87DD-FF354FE73EED}"/>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8CBF0FE7-11EF-47EC-ADDF-6A0BD5F878C5}"/>
    <cellStyle name="Normal 8 2 2 2 2 6 2 3" xfId="12876" xr:uid="{88C56961-E44F-42F9-9F63-DC64DA3AECDB}"/>
    <cellStyle name="Normal 8 2 2 2 2 6 3" xfId="6499" xr:uid="{00000000-0005-0000-0000-00001A1C0000}"/>
    <cellStyle name="Normal 8 2 2 2 2 6 3 2" xfId="14949" xr:uid="{3686F66A-CF5B-41CE-8CEC-323172D65271}"/>
    <cellStyle name="Normal 8 2 2 2 2 6 4" xfId="10731" xr:uid="{EAB73FDC-15A0-464D-BED9-535D53517CB2}"/>
    <cellStyle name="Normal 8 2 2 2 2 7" xfId="2629" xr:uid="{00000000-0005-0000-0000-00001B1C0000}"/>
    <cellStyle name="Normal 8 2 2 2 2 7 2" xfId="6912" xr:uid="{00000000-0005-0000-0000-00001C1C0000}"/>
    <cellStyle name="Normal 8 2 2 2 2 7 2 2" xfId="15362" xr:uid="{2638B2FC-2C82-4A38-B831-04D2E37A2EA1}"/>
    <cellStyle name="Normal 8 2 2 2 2 7 3" xfId="11144" xr:uid="{31DAEB2E-F51F-4D3A-A557-36E7A13FC9F1}"/>
    <cellStyle name="Normal 8 2 2 2 2 8" xfId="4847" xr:uid="{00000000-0005-0000-0000-00001D1C0000}"/>
    <cellStyle name="Normal 8 2 2 2 2 8 2" xfId="13297" xr:uid="{4C5A8E08-6405-4892-8CFA-3026D3CCED12}"/>
    <cellStyle name="Normal 8 2 2 2 2 9" xfId="9079" xr:uid="{AA08C799-3CB9-4683-BCE9-19110244B0E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F8C545C9-59DE-4F89-9DCB-3C9507A3CDB7}"/>
    <cellStyle name="Normal 8 2 2 2 3 2 2 3" xfId="11639" xr:uid="{D339B050-E364-4FBA-8B23-9C61DC816379}"/>
    <cellStyle name="Normal 8 2 2 2 3 2 3" xfId="5262" xr:uid="{00000000-0005-0000-0000-0000221C0000}"/>
    <cellStyle name="Normal 8 2 2 2 3 2 3 2" xfId="13712" xr:uid="{53D516B0-10A2-4691-AF18-D3A3FCC6CBE0}"/>
    <cellStyle name="Normal 8 2 2 2 3 2 4" xfId="9494" xr:uid="{806FBA90-3A7E-41FF-8E95-1BD4D4883C0F}"/>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6D4FD065-6377-4483-BACD-D24641ECC095}"/>
    <cellStyle name="Normal 8 2 2 2 3 3 2 3" xfId="12052" xr:uid="{B9BCBF5D-32BE-4051-B450-D7525F9CB165}"/>
    <cellStyle name="Normal 8 2 2 2 3 3 3" xfId="5675" xr:uid="{00000000-0005-0000-0000-0000261C0000}"/>
    <cellStyle name="Normal 8 2 2 2 3 3 3 2" xfId="14125" xr:uid="{B2391BEC-40E2-4149-A357-DC0DA95E37CF}"/>
    <cellStyle name="Normal 8 2 2 2 3 3 4" xfId="9907" xr:uid="{6816BB2D-BD0D-4AB1-B9A7-78CDD3DCD1BD}"/>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461BA9F4-9351-4EFB-9D7E-616F4A4DA790}"/>
    <cellStyle name="Normal 8 2 2 2 3 4 2 3" xfId="12465" xr:uid="{2C586446-3A77-4E26-8AB4-82B36580CDA1}"/>
    <cellStyle name="Normal 8 2 2 2 3 4 3" xfId="6088" xr:uid="{00000000-0005-0000-0000-00002A1C0000}"/>
    <cellStyle name="Normal 8 2 2 2 3 4 3 2" xfId="14538" xr:uid="{2C7EE5AB-F1FA-43F1-BA5A-72C217CF0894}"/>
    <cellStyle name="Normal 8 2 2 2 3 4 4" xfId="10320" xr:uid="{F6DB1DBD-7644-49D3-833E-E5A06465E38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741A8E41-8415-4FE9-B271-4F51DB7F34EC}"/>
    <cellStyle name="Normal 8 2 2 2 3 5 2 3" xfId="12878" xr:uid="{39CA6230-4CBE-488C-B4DC-231A0D9C2BC6}"/>
    <cellStyle name="Normal 8 2 2 2 3 5 3" xfId="6501" xr:uid="{00000000-0005-0000-0000-00002E1C0000}"/>
    <cellStyle name="Normal 8 2 2 2 3 5 3 2" xfId="14951" xr:uid="{395D841A-BC44-4526-856C-BAB36BAE491F}"/>
    <cellStyle name="Normal 8 2 2 2 3 5 4" xfId="10733" xr:uid="{077C2278-E778-4AE0-91A4-E89A57BBCDFF}"/>
    <cellStyle name="Normal 8 2 2 2 3 6" xfId="2631" xr:uid="{00000000-0005-0000-0000-00002F1C0000}"/>
    <cellStyle name="Normal 8 2 2 2 3 6 2" xfId="6914" xr:uid="{00000000-0005-0000-0000-0000301C0000}"/>
    <cellStyle name="Normal 8 2 2 2 3 6 2 2" xfId="15364" xr:uid="{48186221-4A8A-4280-A2FE-B366A62CB76F}"/>
    <cellStyle name="Normal 8 2 2 2 3 6 3" xfId="11146" xr:uid="{40C2F806-FA0E-461C-8437-C775C7D699B1}"/>
    <cellStyle name="Normal 8 2 2 2 3 7" xfId="4849" xr:uid="{00000000-0005-0000-0000-0000311C0000}"/>
    <cellStyle name="Normal 8 2 2 2 3 7 2" xfId="13299" xr:uid="{56D61C66-0A46-4EFB-8606-0CC1D5FD104A}"/>
    <cellStyle name="Normal 8 2 2 2 3 8" xfId="9081" xr:uid="{83427C23-C335-4906-BDA2-03BF6044398A}"/>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B56DFB6E-ABE0-4B19-B553-0970866925CC}"/>
    <cellStyle name="Normal 8 2 2 2 4 2 3" xfId="11636" xr:uid="{F02B19B1-7CD5-42C1-98E8-E41F8666B65B}"/>
    <cellStyle name="Normal 8 2 2 2 4 3" xfId="5259" xr:uid="{00000000-0005-0000-0000-0000351C0000}"/>
    <cellStyle name="Normal 8 2 2 2 4 3 2" xfId="13709" xr:uid="{E1DA7345-4E8E-45EF-BB93-FB3B945D3D45}"/>
    <cellStyle name="Normal 8 2 2 2 4 4" xfId="9491" xr:uid="{2D40992F-BE2C-4048-A981-0338B4554166}"/>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E6DACF5F-F322-4B30-92B4-2AF8697EE333}"/>
    <cellStyle name="Normal 8 2 2 2 5 2 3" xfId="12049" xr:uid="{6E5D40D1-7F7F-445E-8E95-BD571203C57A}"/>
    <cellStyle name="Normal 8 2 2 2 5 3" xfId="5672" xr:uid="{00000000-0005-0000-0000-0000391C0000}"/>
    <cellStyle name="Normal 8 2 2 2 5 3 2" xfId="14122" xr:uid="{224B986F-81EA-4DBC-86D2-4996CA1253CD}"/>
    <cellStyle name="Normal 8 2 2 2 5 4" xfId="9904" xr:uid="{817042E6-DCB8-4D28-BD1F-DFD9593C985B}"/>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513FD1C8-FACD-41CB-A172-F5C0A66DCDB2}"/>
    <cellStyle name="Normal 8 2 2 2 6 2 3" xfId="12462" xr:uid="{3CB0FA39-E6A5-456A-90C9-7662D4CEE25B}"/>
    <cellStyle name="Normal 8 2 2 2 6 3" xfId="6085" xr:uid="{00000000-0005-0000-0000-00003D1C0000}"/>
    <cellStyle name="Normal 8 2 2 2 6 3 2" xfId="14535" xr:uid="{4DB4D76F-21F6-481A-88A7-0AB967EA9F66}"/>
    <cellStyle name="Normal 8 2 2 2 6 4" xfId="10317" xr:uid="{C5A47C9C-4624-46AB-A95A-16106679C615}"/>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0CF42986-34E0-4E6A-99A7-B40F681648A0}"/>
    <cellStyle name="Normal 8 2 2 2 7 2 3" xfId="12875" xr:uid="{603FF62B-F578-43BC-BFEC-E7CAFAEBD967}"/>
    <cellStyle name="Normal 8 2 2 2 7 3" xfId="6498" xr:uid="{00000000-0005-0000-0000-0000411C0000}"/>
    <cellStyle name="Normal 8 2 2 2 7 3 2" xfId="14948" xr:uid="{F920E43B-1389-4C08-9B6D-8E5731AD3DE8}"/>
    <cellStyle name="Normal 8 2 2 2 7 4" xfId="10730" xr:uid="{C26E7C1E-C1F8-45C4-9F50-BD53E35815C1}"/>
    <cellStyle name="Normal 8 2 2 2 8" xfId="2628" xr:uid="{00000000-0005-0000-0000-0000421C0000}"/>
    <cellStyle name="Normal 8 2 2 2 8 2" xfId="6911" xr:uid="{00000000-0005-0000-0000-0000431C0000}"/>
    <cellStyle name="Normal 8 2 2 2 8 2 2" xfId="15361" xr:uid="{D7438D07-B724-45DC-AA08-B85E451425F8}"/>
    <cellStyle name="Normal 8 2 2 2 8 3" xfId="11143" xr:uid="{929FF4A2-0BFF-44AB-8790-508BCF54B7A1}"/>
    <cellStyle name="Normal 8 2 2 2 9" xfId="4846" xr:uid="{00000000-0005-0000-0000-0000441C0000}"/>
    <cellStyle name="Normal 8 2 2 2 9 2" xfId="13296" xr:uid="{685B05C4-E934-4ABA-80D4-B192D98BCBE5}"/>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10ED0C65-5CBB-45AC-9F33-EB27447FCC41}"/>
    <cellStyle name="Normal 8 2 2 3 2 2 2 3" xfId="11641" xr:uid="{5B1F9721-6D6C-43DC-84D5-04724E0FE52A}"/>
    <cellStyle name="Normal 8 2 2 3 2 2 3" xfId="5264" xr:uid="{00000000-0005-0000-0000-00004A1C0000}"/>
    <cellStyle name="Normal 8 2 2 3 2 2 3 2" xfId="13714" xr:uid="{4AE4E83F-19F3-4EFA-AEE8-8C775396CB07}"/>
    <cellStyle name="Normal 8 2 2 3 2 2 4" xfId="9496" xr:uid="{9EB5C60F-9BE0-433F-A230-F4EB3E2CC9D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DC93B049-BDA0-4AE2-8C85-5C4EA1E5A634}"/>
    <cellStyle name="Normal 8 2 2 3 2 3 2 3" xfId="12054" xr:uid="{AF1F731E-FD67-4F0D-ADBF-C53C218317E8}"/>
    <cellStyle name="Normal 8 2 2 3 2 3 3" xfId="5677" xr:uid="{00000000-0005-0000-0000-00004E1C0000}"/>
    <cellStyle name="Normal 8 2 2 3 2 3 3 2" xfId="14127" xr:uid="{4985FE48-411C-401F-98DD-184AB27A845B}"/>
    <cellStyle name="Normal 8 2 2 3 2 3 4" xfId="9909" xr:uid="{662D7924-6D0C-4975-9320-5CF955AE44EE}"/>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5ED0F1E9-7307-49C0-8A5B-F321C5FDBA33}"/>
    <cellStyle name="Normal 8 2 2 3 2 4 2 3" xfId="12467" xr:uid="{421C361B-A31D-4940-BF60-C936D5D7AAAC}"/>
    <cellStyle name="Normal 8 2 2 3 2 4 3" xfId="6090" xr:uid="{00000000-0005-0000-0000-0000521C0000}"/>
    <cellStyle name="Normal 8 2 2 3 2 4 3 2" xfId="14540" xr:uid="{F2D9633C-F45F-4765-89BA-DDF28E1A1726}"/>
    <cellStyle name="Normal 8 2 2 3 2 4 4" xfId="10322" xr:uid="{CD18A6A9-9BE9-4385-BD58-18A47EBEF918}"/>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0587078F-EE1E-4D62-B68C-9F6783D6E638}"/>
    <cellStyle name="Normal 8 2 2 3 2 5 2 3" xfId="12880" xr:uid="{3F164CF5-AE53-4856-BF41-FCD9BF6AEC75}"/>
    <cellStyle name="Normal 8 2 2 3 2 5 3" xfId="6503" xr:uid="{00000000-0005-0000-0000-0000561C0000}"/>
    <cellStyle name="Normal 8 2 2 3 2 5 3 2" xfId="14953" xr:uid="{B3D66725-8999-43DA-AA70-3D669916B7A4}"/>
    <cellStyle name="Normal 8 2 2 3 2 5 4" xfId="10735" xr:uid="{C4689F06-85C0-4894-9EF6-3BBFB03EF3B9}"/>
    <cellStyle name="Normal 8 2 2 3 2 6" xfId="2633" xr:uid="{00000000-0005-0000-0000-0000571C0000}"/>
    <cellStyle name="Normal 8 2 2 3 2 6 2" xfId="6916" xr:uid="{00000000-0005-0000-0000-0000581C0000}"/>
    <cellStyle name="Normal 8 2 2 3 2 6 2 2" xfId="15366" xr:uid="{53C7F94C-69FD-4A9B-BA09-7DA5258D0872}"/>
    <cellStyle name="Normal 8 2 2 3 2 6 3" xfId="11148" xr:uid="{B4148400-6EDA-4C27-9F8C-72DA2737A04D}"/>
    <cellStyle name="Normal 8 2 2 3 2 7" xfId="4851" xr:uid="{00000000-0005-0000-0000-0000591C0000}"/>
    <cellStyle name="Normal 8 2 2 3 2 7 2" xfId="13301" xr:uid="{BFFFD409-F08A-4073-A56A-FF368CC48E50}"/>
    <cellStyle name="Normal 8 2 2 3 2 8" xfId="9083" xr:uid="{09365D55-7116-4069-AAE9-6CAA7D53BE70}"/>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9254B1F8-B696-4F98-995B-4208ECB8DF88}"/>
    <cellStyle name="Normal 8 2 2 3 3 2 3" xfId="11640" xr:uid="{AC81830D-0F79-4E4C-8F77-9E405BE1EDEA}"/>
    <cellStyle name="Normal 8 2 2 3 3 3" xfId="5263" xr:uid="{00000000-0005-0000-0000-00005D1C0000}"/>
    <cellStyle name="Normal 8 2 2 3 3 3 2" xfId="13713" xr:uid="{B248F724-8C0F-4363-88F2-5D0223500B19}"/>
    <cellStyle name="Normal 8 2 2 3 3 4" xfId="9495" xr:uid="{AC9B3F3F-2E75-4A55-822B-9FC4D08BD096}"/>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A132ED9F-DD8B-4722-B05C-6D5F8550DC11}"/>
    <cellStyle name="Normal 8 2 2 3 4 2 3" xfId="12053" xr:uid="{2E833C96-74BE-4F1B-B579-028651A85DF9}"/>
    <cellStyle name="Normal 8 2 2 3 4 3" xfId="5676" xr:uid="{00000000-0005-0000-0000-0000611C0000}"/>
    <cellStyle name="Normal 8 2 2 3 4 3 2" xfId="14126" xr:uid="{0D2775BB-0F75-493D-B51C-3F14485C5595}"/>
    <cellStyle name="Normal 8 2 2 3 4 4" xfId="9908" xr:uid="{075746ED-3382-46EC-BEFB-838421422393}"/>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084B0E1D-C61E-424B-AC5C-E4267601E03E}"/>
    <cellStyle name="Normal 8 2 2 3 5 2 3" xfId="12466" xr:uid="{DDA9FC0E-425C-4416-86AA-7BF4549F77E7}"/>
    <cellStyle name="Normal 8 2 2 3 5 3" xfId="6089" xr:uid="{00000000-0005-0000-0000-0000651C0000}"/>
    <cellStyle name="Normal 8 2 2 3 5 3 2" xfId="14539" xr:uid="{ACB9D5C0-EF0D-49E4-BB8C-DC3A7A599AE6}"/>
    <cellStyle name="Normal 8 2 2 3 5 4" xfId="10321" xr:uid="{6D70F134-DBD1-48C1-A2D4-37E2F2D37687}"/>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934B2D78-9BBA-4ED7-8F88-22AC8B7F2860}"/>
    <cellStyle name="Normal 8 2 2 3 6 2 3" xfId="12879" xr:uid="{99647EF3-FE47-47B9-9F37-F0E85334BE08}"/>
    <cellStyle name="Normal 8 2 2 3 6 3" xfId="6502" xr:uid="{00000000-0005-0000-0000-0000691C0000}"/>
    <cellStyle name="Normal 8 2 2 3 6 3 2" xfId="14952" xr:uid="{EEE69DA9-0465-485A-A8E1-50BFF8D125DD}"/>
    <cellStyle name="Normal 8 2 2 3 6 4" xfId="10734" xr:uid="{EE80E071-1572-4108-93E0-FA706EE05ACD}"/>
    <cellStyle name="Normal 8 2 2 3 7" xfId="2632" xr:uid="{00000000-0005-0000-0000-00006A1C0000}"/>
    <cellStyle name="Normal 8 2 2 3 7 2" xfId="6915" xr:uid="{00000000-0005-0000-0000-00006B1C0000}"/>
    <cellStyle name="Normal 8 2 2 3 7 2 2" xfId="15365" xr:uid="{89A8597B-2B02-41B5-84FC-B0C8D259C70F}"/>
    <cellStyle name="Normal 8 2 2 3 7 3" xfId="11147" xr:uid="{5FF033EC-65E2-4EC9-8BA7-67C164A4099A}"/>
    <cellStyle name="Normal 8 2 2 3 8" xfId="4850" xr:uid="{00000000-0005-0000-0000-00006C1C0000}"/>
    <cellStyle name="Normal 8 2 2 3 8 2" xfId="13300" xr:uid="{BC7AE338-2B90-49F8-9E48-7F9B927CEAF7}"/>
    <cellStyle name="Normal 8 2 2 3 9" xfId="9082" xr:uid="{77686BF4-CAD0-444C-B154-2EB0271ECF4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64179779-7281-40BB-AF1E-A8134FEEE834}"/>
    <cellStyle name="Normal 8 2 2 4 2 2 3" xfId="11642" xr:uid="{10EB3F6D-9C98-4D95-95D5-AD7589C190B1}"/>
    <cellStyle name="Normal 8 2 2 4 2 3" xfId="5265" xr:uid="{00000000-0005-0000-0000-0000711C0000}"/>
    <cellStyle name="Normal 8 2 2 4 2 3 2" xfId="13715" xr:uid="{6E78221F-E8B5-4044-87F2-D35CB758F35D}"/>
    <cellStyle name="Normal 8 2 2 4 2 4" xfId="9497" xr:uid="{A2BE28C2-88DE-4D7A-9F49-DE0CD4E9F9C4}"/>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BBB56A6E-CC69-42C0-90DE-74AA607262F3}"/>
    <cellStyle name="Normal 8 2 2 4 3 2 3" xfId="12055" xr:uid="{8C809CCE-A280-410F-A799-96A18464A84B}"/>
    <cellStyle name="Normal 8 2 2 4 3 3" xfId="5678" xr:uid="{00000000-0005-0000-0000-0000751C0000}"/>
    <cellStyle name="Normal 8 2 2 4 3 3 2" xfId="14128" xr:uid="{EE392AAC-50C5-4FAF-B0C9-E9DD17494DBB}"/>
    <cellStyle name="Normal 8 2 2 4 3 4" xfId="9910" xr:uid="{CEAFE1AA-BC97-4A22-A674-C58BB9B17756}"/>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555A69F3-4B52-49F3-8251-C2511EB00C3F}"/>
    <cellStyle name="Normal 8 2 2 4 4 2 3" xfId="12468" xr:uid="{62D6ECEE-9532-442D-BAE0-F262B9462931}"/>
    <cellStyle name="Normal 8 2 2 4 4 3" xfId="6091" xr:uid="{00000000-0005-0000-0000-0000791C0000}"/>
    <cellStyle name="Normal 8 2 2 4 4 3 2" xfId="14541" xr:uid="{6809BB10-1302-45AC-9805-81CC0DFB69EB}"/>
    <cellStyle name="Normal 8 2 2 4 4 4" xfId="10323" xr:uid="{4BFCA354-1859-4795-9AFB-959C63CD99D2}"/>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A458AC63-42DF-4F89-A11E-078074BC3BA5}"/>
    <cellStyle name="Normal 8 2 2 4 5 2 3" xfId="12881" xr:uid="{435264F1-2C26-44EE-BC2C-84E8FB6F2A14}"/>
    <cellStyle name="Normal 8 2 2 4 5 3" xfId="6504" xr:uid="{00000000-0005-0000-0000-00007D1C0000}"/>
    <cellStyle name="Normal 8 2 2 4 5 3 2" xfId="14954" xr:uid="{4A507DE0-BBCC-4F0F-8C1F-B2C66E4FC409}"/>
    <cellStyle name="Normal 8 2 2 4 5 4" xfId="10736" xr:uid="{DEE3022D-EE7B-4F39-9BE3-9E598739AE65}"/>
    <cellStyle name="Normal 8 2 2 4 6" xfId="2634" xr:uid="{00000000-0005-0000-0000-00007E1C0000}"/>
    <cellStyle name="Normal 8 2 2 4 6 2" xfId="6917" xr:uid="{00000000-0005-0000-0000-00007F1C0000}"/>
    <cellStyle name="Normal 8 2 2 4 6 2 2" xfId="15367" xr:uid="{65AD1316-13C5-4907-AC73-3A1F04B7BEE5}"/>
    <cellStyle name="Normal 8 2 2 4 6 3" xfId="11149" xr:uid="{A3F417F9-D24B-48C8-9391-B816125F59D3}"/>
    <cellStyle name="Normal 8 2 2 4 7" xfId="4852" xr:uid="{00000000-0005-0000-0000-0000801C0000}"/>
    <cellStyle name="Normal 8 2 2 4 7 2" xfId="13302" xr:uid="{94F238D9-28EF-4615-ADCB-26B5BCCF138E}"/>
    <cellStyle name="Normal 8 2 2 4 8" xfId="9084" xr:uid="{4F71E1A6-6A1D-4549-92F1-6FD2B162E50B}"/>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EB574CAF-B8E1-45B2-82C9-9B38A2B234F3}"/>
    <cellStyle name="Normal 8 2 2 5 2 3" xfId="11635" xr:uid="{72F30D05-E0A9-40A9-A3A4-D8FECA059F79}"/>
    <cellStyle name="Normal 8 2 2 5 3" xfId="5258" xr:uid="{00000000-0005-0000-0000-0000841C0000}"/>
    <cellStyle name="Normal 8 2 2 5 3 2" xfId="13708" xr:uid="{FB093D02-6539-4C3B-946C-72224D7E3FA0}"/>
    <cellStyle name="Normal 8 2 2 5 4" xfId="9490" xr:uid="{F6B7CEBA-9FCC-4714-AB14-9F12AF7C0553}"/>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E9836BC1-BE9B-443C-8F8E-05E0C2C2FB03}"/>
    <cellStyle name="Normal 8 2 2 6 2 3" xfId="12048" xr:uid="{71750286-F9E9-4B42-8895-13B3F4CFE373}"/>
    <cellStyle name="Normal 8 2 2 6 3" xfId="5671" xr:uid="{00000000-0005-0000-0000-0000881C0000}"/>
    <cellStyle name="Normal 8 2 2 6 3 2" xfId="14121" xr:uid="{1145734C-BC2F-4E21-A540-2DBC29612180}"/>
    <cellStyle name="Normal 8 2 2 6 4" xfId="9903" xr:uid="{4F9E4576-344C-4284-A1C7-170BEEC24B80}"/>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F48309F6-F270-48DE-8281-A1C3621DE7A0}"/>
    <cellStyle name="Normal 8 2 2 7 2 3" xfId="12461" xr:uid="{E44B8405-7A20-4877-90E9-C360993F0A11}"/>
    <cellStyle name="Normal 8 2 2 7 3" xfId="6084" xr:uid="{00000000-0005-0000-0000-00008C1C0000}"/>
    <cellStyle name="Normal 8 2 2 7 3 2" xfId="14534" xr:uid="{7BC9E195-69FE-4BD4-99BC-C0F60F5221D8}"/>
    <cellStyle name="Normal 8 2 2 7 4" xfId="10316" xr:uid="{025D995D-FB3D-4549-9EB7-625CF276CD8E}"/>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47F3AE33-88DE-4DF4-880A-255E835EF861}"/>
    <cellStyle name="Normal 8 2 2 8 2 3" xfId="12874" xr:uid="{CD026FA0-620B-4B96-9FF2-6BDBC0CB48ED}"/>
    <cellStyle name="Normal 8 2 2 8 3" xfId="6497" xr:uid="{00000000-0005-0000-0000-0000901C0000}"/>
    <cellStyle name="Normal 8 2 2 8 3 2" xfId="14947" xr:uid="{DC32A9F1-3E84-4CA5-A104-E686DFF19894}"/>
    <cellStyle name="Normal 8 2 2 8 4" xfId="10729" xr:uid="{CC4E637C-718C-43F0-9EE6-D49A6971F774}"/>
    <cellStyle name="Normal 8 2 2 9" xfId="2627" xr:uid="{00000000-0005-0000-0000-0000911C0000}"/>
    <cellStyle name="Normal 8 2 2 9 2" xfId="6910" xr:uid="{00000000-0005-0000-0000-0000921C0000}"/>
    <cellStyle name="Normal 8 2 2 9 2 2" xfId="15360" xr:uid="{D3F8A69A-9225-437B-A61F-02BD01813E03}"/>
    <cellStyle name="Normal 8 2 2 9 3" xfId="11142" xr:uid="{79906947-6888-4B4A-AF21-F9608BE37F53}"/>
    <cellStyle name="Normal 8 2 3" xfId="488" xr:uid="{00000000-0005-0000-0000-0000931C0000}"/>
    <cellStyle name="Normal 8 2 3 10" xfId="9085" xr:uid="{EE467BE9-472F-47D4-B214-9B394322C6B1}"/>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2CDA4101-F69E-417C-9909-1E79864A98DA}"/>
    <cellStyle name="Normal 8 2 3 2 2 2 2 3" xfId="11645" xr:uid="{A34134B1-2763-4067-8F1F-43093025D584}"/>
    <cellStyle name="Normal 8 2 3 2 2 2 3" xfId="5268" xr:uid="{00000000-0005-0000-0000-0000991C0000}"/>
    <cellStyle name="Normal 8 2 3 2 2 2 3 2" xfId="13718" xr:uid="{48A95488-AB38-4127-B687-465C04341C82}"/>
    <cellStyle name="Normal 8 2 3 2 2 2 4" xfId="9500" xr:uid="{F46CFBA8-2936-464B-8B29-9D5C24E2CF5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254BCBAF-372F-4D1F-AF61-584B8D08DBD4}"/>
    <cellStyle name="Normal 8 2 3 2 2 3 2 3" xfId="12058" xr:uid="{47AE5D0F-C81E-46A6-928C-25ABDFF897E6}"/>
    <cellStyle name="Normal 8 2 3 2 2 3 3" xfId="5681" xr:uid="{00000000-0005-0000-0000-00009D1C0000}"/>
    <cellStyle name="Normal 8 2 3 2 2 3 3 2" xfId="14131" xr:uid="{83077C13-074D-49BF-B114-18DDAA373178}"/>
    <cellStyle name="Normal 8 2 3 2 2 3 4" xfId="9913" xr:uid="{55ED40F9-5B38-4F3D-A046-4EDA2FB13BF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0E49E3BC-E212-4439-9091-76CEC023F2E3}"/>
    <cellStyle name="Normal 8 2 3 2 2 4 2 3" xfId="12471" xr:uid="{6EA8CBEC-A295-4D76-BD96-2AE6F3CDA828}"/>
    <cellStyle name="Normal 8 2 3 2 2 4 3" xfId="6094" xr:uid="{00000000-0005-0000-0000-0000A11C0000}"/>
    <cellStyle name="Normal 8 2 3 2 2 4 3 2" xfId="14544" xr:uid="{998BFC5E-5EE3-44D6-964F-EDA569C7ACF0}"/>
    <cellStyle name="Normal 8 2 3 2 2 4 4" xfId="10326" xr:uid="{8A07E160-DF9E-4DAA-BCE8-00B8BC3EBD91}"/>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8A4AADF2-2A80-4513-A92E-E388840B0A9F}"/>
    <cellStyle name="Normal 8 2 3 2 2 5 2 3" xfId="12884" xr:uid="{940A5E3B-52E2-4D63-B1BF-6954AE1F3BC8}"/>
    <cellStyle name="Normal 8 2 3 2 2 5 3" xfId="6507" xr:uid="{00000000-0005-0000-0000-0000A51C0000}"/>
    <cellStyle name="Normal 8 2 3 2 2 5 3 2" xfId="14957" xr:uid="{97432805-FD9A-4124-A29F-D8AA9586D1E1}"/>
    <cellStyle name="Normal 8 2 3 2 2 5 4" xfId="10739" xr:uid="{D6D60C8D-58AE-4A06-8F0B-5526674A7251}"/>
    <cellStyle name="Normal 8 2 3 2 2 6" xfId="2637" xr:uid="{00000000-0005-0000-0000-0000A61C0000}"/>
    <cellStyle name="Normal 8 2 3 2 2 6 2" xfId="6920" xr:uid="{00000000-0005-0000-0000-0000A71C0000}"/>
    <cellStyle name="Normal 8 2 3 2 2 6 2 2" xfId="15370" xr:uid="{9E370B25-17D5-4162-9E32-59A3F1664A17}"/>
    <cellStyle name="Normal 8 2 3 2 2 6 3" xfId="11152" xr:uid="{E2B811AF-6F8D-4884-AF06-14046091EDD1}"/>
    <cellStyle name="Normal 8 2 3 2 2 7" xfId="4855" xr:uid="{00000000-0005-0000-0000-0000A81C0000}"/>
    <cellStyle name="Normal 8 2 3 2 2 7 2" xfId="13305" xr:uid="{3444771E-37D4-432F-8DE7-5A4EB33D1755}"/>
    <cellStyle name="Normal 8 2 3 2 2 8" xfId="9087" xr:uid="{0C4DE362-7C68-4E0B-AAFA-353EDF3E6FA7}"/>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94F5B5DE-5CAF-4924-9EA4-351EEF5E8908}"/>
    <cellStyle name="Normal 8 2 3 2 3 2 3" xfId="11644" xr:uid="{78E0F141-055A-4208-BA13-7AA5777DE214}"/>
    <cellStyle name="Normal 8 2 3 2 3 3" xfId="5267" xr:uid="{00000000-0005-0000-0000-0000AC1C0000}"/>
    <cellStyle name="Normal 8 2 3 2 3 3 2" xfId="13717" xr:uid="{EECA3BB6-10D6-4EE9-9C6F-B0057F4577F0}"/>
    <cellStyle name="Normal 8 2 3 2 3 4" xfId="9499" xr:uid="{3C4C894D-3DFF-4B4E-8135-01176D17B64C}"/>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6FD9FADC-2B14-4298-A469-47C9643DD631}"/>
    <cellStyle name="Normal 8 2 3 2 4 2 3" xfId="12057" xr:uid="{A0498265-1661-481C-ADA5-7C4456C7318B}"/>
    <cellStyle name="Normal 8 2 3 2 4 3" xfId="5680" xr:uid="{00000000-0005-0000-0000-0000B01C0000}"/>
    <cellStyle name="Normal 8 2 3 2 4 3 2" xfId="14130" xr:uid="{84833A1B-F009-4883-A483-F83874811A98}"/>
    <cellStyle name="Normal 8 2 3 2 4 4" xfId="9912" xr:uid="{3D071316-1E23-4D8B-838D-7284226B178B}"/>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7B483A98-90E0-4AF7-AD0C-C384E5A12888}"/>
    <cellStyle name="Normal 8 2 3 2 5 2 3" xfId="12470" xr:uid="{E483543B-1DB8-47F9-8AAA-EED1B24C7F2C}"/>
    <cellStyle name="Normal 8 2 3 2 5 3" xfId="6093" xr:uid="{00000000-0005-0000-0000-0000B41C0000}"/>
    <cellStyle name="Normal 8 2 3 2 5 3 2" xfId="14543" xr:uid="{8752DE26-91B7-40F6-874F-09FC83A027D6}"/>
    <cellStyle name="Normal 8 2 3 2 5 4" xfId="10325" xr:uid="{474C90F6-DF21-40C2-9F46-B363DF86EAC2}"/>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D6E8C43D-CFAF-4BCD-9D77-7ABD73046FEA}"/>
    <cellStyle name="Normal 8 2 3 2 6 2 3" xfId="12883" xr:uid="{55906D34-1D4A-49C3-9C1C-9450C8248C38}"/>
    <cellStyle name="Normal 8 2 3 2 6 3" xfId="6506" xr:uid="{00000000-0005-0000-0000-0000B81C0000}"/>
    <cellStyle name="Normal 8 2 3 2 6 3 2" xfId="14956" xr:uid="{811A7ED4-D95A-48CF-9115-0E32CA18B7CF}"/>
    <cellStyle name="Normal 8 2 3 2 6 4" xfId="10738" xr:uid="{94F31459-585C-4B2E-8021-74388403F9B6}"/>
    <cellStyle name="Normal 8 2 3 2 7" xfId="2636" xr:uid="{00000000-0005-0000-0000-0000B91C0000}"/>
    <cellStyle name="Normal 8 2 3 2 7 2" xfId="6919" xr:uid="{00000000-0005-0000-0000-0000BA1C0000}"/>
    <cellStyle name="Normal 8 2 3 2 7 2 2" xfId="15369" xr:uid="{98D6D719-B0CF-497D-A779-9870770D86F3}"/>
    <cellStyle name="Normal 8 2 3 2 7 3" xfId="11151" xr:uid="{12DEC525-7C17-452B-BDA2-9A63774F40E5}"/>
    <cellStyle name="Normal 8 2 3 2 8" xfId="4854" xr:uid="{00000000-0005-0000-0000-0000BB1C0000}"/>
    <cellStyle name="Normal 8 2 3 2 8 2" xfId="13304" xr:uid="{98BAC8B4-09AA-40EE-821E-6AB2934A6D9A}"/>
    <cellStyle name="Normal 8 2 3 2 9" xfId="9086" xr:uid="{53FA2817-5FCB-4E7B-953A-8E12D2D2C5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C9EE630A-04CC-47AB-B137-8404CDB57B9F}"/>
    <cellStyle name="Normal 8 2 3 3 2 2 3" xfId="11646" xr:uid="{C7B97892-4F6D-45A8-BD00-2A75C9920CF6}"/>
    <cellStyle name="Normal 8 2 3 3 2 3" xfId="5269" xr:uid="{00000000-0005-0000-0000-0000C01C0000}"/>
    <cellStyle name="Normal 8 2 3 3 2 3 2" xfId="13719" xr:uid="{89D654D2-E9FB-4707-88D7-A506FC53969E}"/>
    <cellStyle name="Normal 8 2 3 3 2 4" xfId="9501" xr:uid="{E55FE821-1E17-47DB-9ADE-1ACD76250207}"/>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9DA01665-AB0E-4B26-8B9B-A07370920FC5}"/>
    <cellStyle name="Normal 8 2 3 3 3 2 3" xfId="12059" xr:uid="{8998EB8C-E8C3-4A69-8A7D-3A0848E2668F}"/>
    <cellStyle name="Normal 8 2 3 3 3 3" xfId="5682" xr:uid="{00000000-0005-0000-0000-0000C41C0000}"/>
    <cellStyle name="Normal 8 2 3 3 3 3 2" xfId="14132" xr:uid="{E5A9C63C-3AC9-43B3-848F-3A2997A109CC}"/>
    <cellStyle name="Normal 8 2 3 3 3 4" xfId="9914" xr:uid="{B5CAF9D1-0206-4B7C-A89A-0944226F8B1A}"/>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2DDE9190-C269-4DE6-AAE3-BA4BB0316A87}"/>
    <cellStyle name="Normal 8 2 3 3 4 2 3" xfId="12472" xr:uid="{96E73FFF-10BA-4C52-BC64-B96661A03BBD}"/>
    <cellStyle name="Normal 8 2 3 3 4 3" xfId="6095" xr:uid="{00000000-0005-0000-0000-0000C81C0000}"/>
    <cellStyle name="Normal 8 2 3 3 4 3 2" xfId="14545" xr:uid="{FD5762CE-D3B6-4B09-9DF1-5AF9CC25479E}"/>
    <cellStyle name="Normal 8 2 3 3 4 4" xfId="10327" xr:uid="{C6142CD0-8860-4FD4-9012-A9DA07CD276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FFA11A56-6915-4422-A604-7B18F96F16B7}"/>
    <cellStyle name="Normal 8 2 3 3 5 2 3" xfId="12885" xr:uid="{6E27A8D6-E1CD-4078-8AB9-6F9FD6278C56}"/>
    <cellStyle name="Normal 8 2 3 3 5 3" xfId="6508" xr:uid="{00000000-0005-0000-0000-0000CC1C0000}"/>
    <cellStyle name="Normal 8 2 3 3 5 3 2" xfId="14958" xr:uid="{E8A51AAF-3925-45F3-8D0B-BAA9C05DAFD9}"/>
    <cellStyle name="Normal 8 2 3 3 5 4" xfId="10740" xr:uid="{EDE31E6C-98F5-4EBD-81A5-3112D75FFA54}"/>
    <cellStyle name="Normal 8 2 3 3 6" xfId="2638" xr:uid="{00000000-0005-0000-0000-0000CD1C0000}"/>
    <cellStyle name="Normal 8 2 3 3 6 2" xfId="6921" xr:uid="{00000000-0005-0000-0000-0000CE1C0000}"/>
    <cellStyle name="Normal 8 2 3 3 6 2 2" xfId="15371" xr:uid="{7640C5FB-153A-4E9B-91AC-166BDE928A4E}"/>
    <cellStyle name="Normal 8 2 3 3 6 3" xfId="11153" xr:uid="{28F67B14-ACA5-46D5-A0E3-095DCB5EBD30}"/>
    <cellStyle name="Normal 8 2 3 3 7" xfId="4856" xr:uid="{00000000-0005-0000-0000-0000CF1C0000}"/>
    <cellStyle name="Normal 8 2 3 3 7 2" xfId="13306" xr:uid="{971FDAE5-3E87-491D-8F4F-0ADCB9B32C47}"/>
    <cellStyle name="Normal 8 2 3 3 8" xfId="9088" xr:uid="{6FCCF3B2-CCA8-43BD-ACB7-978DE95764BD}"/>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5ED34B69-F2D2-4790-94FD-46B8659E3AB2}"/>
    <cellStyle name="Normal 8 2 3 4 2 3" xfId="11643" xr:uid="{EDACBA00-37D2-489F-8B6C-8FC903910D15}"/>
    <cellStyle name="Normal 8 2 3 4 3" xfId="5266" xr:uid="{00000000-0005-0000-0000-0000D31C0000}"/>
    <cellStyle name="Normal 8 2 3 4 3 2" xfId="13716" xr:uid="{4A6ECD3F-E897-44ED-80E8-B2A3F73A11DB}"/>
    <cellStyle name="Normal 8 2 3 4 4" xfId="9498" xr:uid="{54024552-A09E-4C60-9FA2-97057AFADE3A}"/>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FF6836E8-49D7-4466-A733-30E369510641}"/>
    <cellStyle name="Normal 8 2 3 5 2 3" xfId="12056" xr:uid="{20322CEC-F97B-4AFE-BB6F-E19166E1504B}"/>
    <cellStyle name="Normal 8 2 3 5 3" xfId="5679" xr:uid="{00000000-0005-0000-0000-0000D71C0000}"/>
    <cellStyle name="Normal 8 2 3 5 3 2" xfId="14129" xr:uid="{51AE9C4D-503B-4A36-84CA-E4CA30DC5955}"/>
    <cellStyle name="Normal 8 2 3 5 4" xfId="9911" xr:uid="{6BB9A1BA-D487-406C-8FFC-8F990DBA882D}"/>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560BB356-F6C4-4C1D-9EC4-8496B45A4B6D}"/>
    <cellStyle name="Normal 8 2 3 6 2 3" xfId="12469" xr:uid="{777EE421-44A8-4451-99E6-932378B07DFB}"/>
    <cellStyle name="Normal 8 2 3 6 3" xfId="6092" xr:uid="{00000000-0005-0000-0000-0000DB1C0000}"/>
    <cellStyle name="Normal 8 2 3 6 3 2" xfId="14542" xr:uid="{AB0E496C-9C70-493F-BC1C-62226F363E88}"/>
    <cellStyle name="Normal 8 2 3 6 4" xfId="10324" xr:uid="{1AEB1A8F-3F6F-471F-B8ED-645E83A7B01B}"/>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C8D6AE92-366F-483E-AEC8-CE27B31C5A03}"/>
    <cellStyle name="Normal 8 2 3 7 2 3" xfId="12882" xr:uid="{5BD46935-D1E7-4BA6-87AA-1C64601227B5}"/>
    <cellStyle name="Normal 8 2 3 7 3" xfId="6505" xr:uid="{00000000-0005-0000-0000-0000DF1C0000}"/>
    <cellStyle name="Normal 8 2 3 7 3 2" xfId="14955" xr:uid="{6BC904F2-6A54-4B17-B721-4F7D3F34066A}"/>
    <cellStyle name="Normal 8 2 3 7 4" xfId="10737" xr:uid="{35B99306-A9E8-4449-A96F-AAEDC130A035}"/>
    <cellStyle name="Normal 8 2 3 8" xfId="2635" xr:uid="{00000000-0005-0000-0000-0000E01C0000}"/>
    <cellStyle name="Normal 8 2 3 8 2" xfId="6918" xr:uid="{00000000-0005-0000-0000-0000E11C0000}"/>
    <cellStyle name="Normal 8 2 3 8 2 2" xfId="15368" xr:uid="{1AFCB532-65F1-4C13-A5A0-812236BA130A}"/>
    <cellStyle name="Normal 8 2 3 8 3" xfId="11150" xr:uid="{4FC5816D-3FA5-45D4-ADFC-2DDEF8F27C36}"/>
    <cellStyle name="Normal 8 2 3 9" xfId="4853" xr:uid="{00000000-0005-0000-0000-0000E21C0000}"/>
    <cellStyle name="Normal 8 2 3 9 2" xfId="13303" xr:uid="{854963AD-F319-4AA1-8673-A12DA6A872FA}"/>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92DD4C55-C5B6-40C0-8CC4-60EC8D43E450}"/>
    <cellStyle name="Normal 8 2 4 2 2 2 3" xfId="11648" xr:uid="{0F4DAC4C-DAB6-4077-B221-2864FB39EE10}"/>
    <cellStyle name="Normal 8 2 4 2 2 3" xfId="5271" xr:uid="{00000000-0005-0000-0000-0000E81C0000}"/>
    <cellStyle name="Normal 8 2 4 2 2 3 2" xfId="13721" xr:uid="{56AA4F0A-EE63-459F-9FF2-89CA86012CC4}"/>
    <cellStyle name="Normal 8 2 4 2 2 4" xfId="9503" xr:uid="{2DF365AA-ED90-4D43-9279-9276FE9C158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12CC0F68-ED1C-4C40-A1EF-08214F46DF02}"/>
    <cellStyle name="Normal 8 2 4 2 3 2 3" xfId="12061" xr:uid="{9330D2B0-9D66-43AE-9C32-C143678AE82A}"/>
    <cellStyle name="Normal 8 2 4 2 3 3" xfId="5684" xr:uid="{00000000-0005-0000-0000-0000EC1C0000}"/>
    <cellStyle name="Normal 8 2 4 2 3 3 2" xfId="14134" xr:uid="{48567272-6D66-485C-B14E-A25F080C660C}"/>
    <cellStyle name="Normal 8 2 4 2 3 4" xfId="9916" xr:uid="{B1C460F6-EBBB-456B-BE69-D21BF8E2D605}"/>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D615433B-CD45-4BFC-952C-1EC90B98B2AD}"/>
    <cellStyle name="Normal 8 2 4 2 4 2 3" xfId="12474" xr:uid="{81D2DF46-F8C6-40A2-89E4-40BDB11CAEFA}"/>
    <cellStyle name="Normal 8 2 4 2 4 3" xfId="6097" xr:uid="{00000000-0005-0000-0000-0000F01C0000}"/>
    <cellStyle name="Normal 8 2 4 2 4 3 2" xfId="14547" xr:uid="{7BED4789-2676-4A47-8D36-36FF9B29A17F}"/>
    <cellStyle name="Normal 8 2 4 2 4 4" xfId="10329" xr:uid="{2A829318-3092-483B-BE34-3C7E8EF13428}"/>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EDD62B65-121A-406E-894B-4B521D30377B}"/>
    <cellStyle name="Normal 8 2 4 2 5 2 3" xfId="12887" xr:uid="{84096FC9-1B94-44EE-B8C5-B9EF43BC0FAD}"/>
    <cellStyle name="Normal 8 2 4 2 5 3" xfId="6510" xr:uid="{00000000-0005-0000-0000-0000F41C0000}"/>
    <cellStyle name="Normal 8 2 4 2 5 3 2" xfId="14960" xr:uid="{DECB9CBE-A104-4521-A7A7-CB31EA562176}"/>
    <cellStyle name="Normal 8 2 4 2 5 4" xfId="10742" xr:uid="{41A0653D-1C0D-4D11-89B3-09F302DA6C37}"/>
    <cellStyle name="Normal 8 2 4 2 6" xfId="2640" xr:uid="{00000000-0005-0000-0000-0000F51C0000}"/>
    <cellStyle name="Normal 8 2 4 2 6 2" xfId="6923" xr:uid="{00000000-0005-0000-0000-0000F61C0000}"/>
    <cellStyle name="Normal 8 2 4 2 6 2 2" xfId="15373" xr:uid="{2DFA1AB8-C180-4F24-99DE-FA6B8F6FBEE1}"/>
    <cellStyle name="Normal 8 2 4 2 6 3" xfId="11155" xr:uid="{C7CB3018-F3A2-4AFE-B223-9C456354393C}"/>
    <cellStyle name="Normal 8 2 4 2 7" xfId="4858" xr:uid="{00000000-0005-0000-0000-0000F71C0000}"/>
    <cellStyle name="Normal 8 2 4 2 7 2" xfId="13308" xr:uid="{D69A842A-9C8C-45B6-B152-D0DB6F169F5C}"/>
    <cellStyle name="Normal 8 2 4 2 8" xfId="9090" xr:uid="{779C03E1-D6E7-46C8-AC45-72FD2F71DD60}"/>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BE888E19-55DC-43A1-982B-08E1402E2A14}"/>
    <cellStyle name="Normal 8 2 4 3 2 3" xfId="11647" xr:uid="{A6AE380A-321F-497F-92A2-A4B084129084}"/>
    <cellStyle name="Normal 8 2 4 3 3" xfId="5270" xr:uid="{00000000-0005-0000-0000-0000FB1C0000}"/>
    <cellStyle name="Normal 8 2 4 3 3 2" xfId="13720" xr:uid="{879A40F1-433F-4789-B34D-0D3F6E35E102}"/>
    <cellStyle name="Normal 8 2 4 3 4" xfId="9502" xr:uid="{99B87F62-D20C-4538-BA94-54A982CA949E}"/>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B59CB852-E5BA-4972-AB5F-180BBF3710D4}"/>
    <cellStyle name="Normal 8 2 4 4 2 3" xfId="12060" xr:uid="{2DD9CBD6-3DE7-40E1-9FC4-A0BE16427BBB}"/>
    <cellStyle name="Normal 8 2 4 4 3" xfId="5683" xr:uid="{00000000-0005-0000-0000-0000FF1C0000}"/>
    <cellStyle name="Normal 8 2 4 4 3 2" xfId="14133" xr:uid="{8C830289-1362-499F-9FCE-FDD8A7AB8C7E}"/>
    <cellStyle name="Normal 8 2 4 4 4" xfId="9915" xr:uid="{A0FC71DF-963E-48DF-9F64-816C62898021}"/>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E7F74E5B-2CA2-44CD-B116-6601E917BDC4}"/>
    <cellStyle name="Normal 8 2 4 5 2 3" xfId="12473" xr:uid="{20A71595-13D2-4489-B291-26ABA4D595A9}"/>
    <cellStyle name="Normal 8 2 4 5 3" xfId="6096" xr:uid="{00000000-0005-0000-0000-0000031D0000}"/>
    <cellStyle name="Normal 8 2 4 5 3 2" xfId="14546" xr:uid="{3198490C-68C4-4426-8A9A-C38F5E4650CE}"/>
    <cellStyle name="Normal 8 2 4 5 4" xfId="10328" xr:uid="{56C1DD7E-B373-4434-8503-A5C3DB8E4FEA}"/>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09027F2E-15BC-4D83-B3C7-EA13ABFE4B76}"/>
    <cellStyle name="Normal 8 2 4 6 2 3" xfId="12886" xr:uid="{E5C03A6F-A585-4392-A189-AC856EAAC2E1}"/>
    <cellStyle name="Normal 8 2 4 6 3" xfId="6509" xr:uid="{00000000-0005-0000-0000-0000071D0000}"/>
    <cellStyle name="Normal 8 2 4 6 3 2" xfId="14959" xr:uid="{DE4469B5-2500-4C98-8CC1-647DB03E0458}"/>
    <cellStyle name="Normal 8 2 4 6 4" xfId="10741" xr:uid="{C914449F-87E0-45C3-9D7B-2C482F3B3BC8}"/>
    <cellStyle name="Normal 8 2 4 7" xfId="2639" xr:uid="{00000000-0005-0000-0000-0000081D0000}"/>
    <cellStyle name="Normal 8 2 4 7 2" xfId="6922" xr:uid="{00000000-0005-0000-0000-0000091D0000}"/>
    <cellStyle name="Normal 8 2 4 7 2 2" xfId="15372" xr:uid="{1DA22235-F9DD-4A34-AC20-4C0319E9C0B6}"/>
    <cellStyle name="Normal 8 2 4 7 3" xfId="11154" xr:uid="{DFC90595-D0DD-4D9D-AF3D-F61B97F4D4F7}"/>
    <cellStyle name="Normal 8 2 4 8" xfId="4857" xr:uid="{00000000-0005-0000-0000-00000A1D0000}"/>
    <cellStyle name="Normal 8 2 4 8 2" xfId="13307" xr:uid="{61BADC75-FA99-45F7-8E4E-DC8BCE44D2B7}"/>
    <cellStyle name="Normal 8 2 4 9" xfId="9089" xr:uid="{E712786F-5374-486D-ADCA-CCC7F021A5A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BDDA6DB8-C336-400F-B70F-DFD3F011ACB8}"/>
    <cellStyle name="Normal 8 2 5 2 2 3" xfId="11649" xr:uid="{3793FF0A-1928-4D7E-996C-B6E4242B80CC}"/>
    <cellStyle name="Normal 8 2 5 2 3" xfId="5272" xr:uid="{00000000-0005-0000-0000-00000F1D0000}"/>
    <cellStyle name="Normal 8 2 5 2 3 2" xfId="13722" xr:uid="{6512BB08-8310-400C-8211-0AFF51897E7D}"/>
    <cellStyle name="Normal 8 2 5 2 4" xfId="9504" xr:uid="{969BA57F-9F98-4844-BB96-1CC3F121CCEA}"/>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C6378A08-187C-4804-ABDE-906CF60CE5D8}"/>
    <cellStyle name="Normal 8 2 5 3 2 3" xfId="12062" xr:uid="{6B1CECDA-837F-4D52-AF13-3A288F0ACFB7}"/>
    <cellStyle name="Normal 8 2 5 3 3" xfId="5685" xr:uid="{00000000-0005-0000-0000-0000131D0000}"/>
    <cellStyle name="Normal 8 2 5 3 3 2" xfId="14135" xr:uid="{3CC297D2-EA8A-43EC-9B3E-670B154705A9}"/>
    <cellStyle name="Normal 8 2 5 3 4" xfId="9917" xr:uid="{F138AEE4-2E3A-4FBE-B2DB-C19077D7EB3A}"/>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FA3377FB-D501-4644-B2D8-07147B8349D4}"/>
    <cellStyle name="Normal 8 2 5 4 2 3" xfId="12475" xr:uid="{85DEC928-AD21-4BF9-853B-16F6B7CB7852}"/>
    <cellStyle name="Normal 8 2 5 4 3" xfId="6098" xr:uid="{00000000-0005-0000-0000-0000171D0000}"/>
    <cellStyle name="Normal 8 2 5 4 3 2" xfId="14548" xr:uid="{9123A13A-BAE4-4CD9-A8D2-050EA7CFACFB}"/>
    <cellStyle name="Normal 8 2 5 4 4" xfId="10330" xr:uid="{EA21A25B-5177-4BC6-8C79-23E2E1C17900}"/>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0E6795D6-F39F-4745-A442-3F6A9FB2EA05}"/>
    <cellStyle name="Normal 8 2 5 5 2 3" xfId="12888" xr:uid="{C0426D14-CF8D-4B2E-8AF8-7F200BA26CA0}"/>
    <cellStyle name="Normal 8 2 5 5 3" xfId="6511" xr:uid="{00000000-0005-0000-0000-00001B1D0000}"/>
    <cellStyle name="Normal 8 2 5 5 3 2" xfId="14961" xr:uid="{34F5DDA7-608B-476F-BA32-DC05A8478A0C}"/>
    <cellStyle name="Normal 8 2 5 5 4" xfId="10743" xr:uid="{CBC5E564-C191-4A4D-9C60-EE0955AB6D97}"/>
    <cellStyle name="Normal 8 2 5 6" xfId="2641" xr:uid="{00000000-0005-0000-0000-00001C1D0000}"/>
    <cellStyle name="Normal 8 2 5 6 2" xfId="6924" xr:uid="{00000000-0005-0000-0000-00001D1D0000}"/>
    <cellStyle name="Normal 8 2 5 6 2 2" xfId="15374" xr:uid="{96DD1159-8750-4CF3-AF25-7299709261B5}"/>
    <cellStyle name="Normal 8 2 5 6 3" xfId="11156" xr:uid="{12AD873B-4B98-45D4-8262-8C7321410B80}"/>
    <cellStyle name="Normal 8 2 5 7" xfId="4859" xr:uid="{00000000-0005-0000-0000-00001E1D0000}"/>
    <cellStyle name="Normal 8 2 5 7 2" xfId="13309" xr:uid="{D2FA4D76-4918-4DE9-B7EA-8B7529AE6DC4}"/>
    <cellStyle name="Normal 8 2 5 8" xfId="9091" xr:uid="{CCCD9617-D305-4D34-9B7C-D4B43FC169F6}"/>
    <cellStyle name="Normal 8 2 6" xfId="946" xr:uid="{00000000-0005-0000-0000-00001F1D0000}"/>
    <cellStyle name="Normal 8 2 6 2" xfId="3180" xr:uid="{00000000-0005-0000-0000-0000201D0000}"/>
    <cellStyle name="Normal 8 2 6 2 2" xfId="7402" xr:uid="{00000000-0005-0000-0000-0000211D0000}"/>
    <cellStyle name="Normal 8 2 6 2 2 2" xfId="15852" xr:uid="{EA2EFB2E-EBFD-450A-9623-9CE75151AA5E}"/>
    <cellStyle name="Normal 8 2 6 2 3" xfId="11634" xr:uid="{A881479E-8D72-483A-A192-55AEA263C164}"/>
    <cellStyle name="Normal 8 2 6 3" xfId="5257" xr:uid="{00000000-0005-0000-0000-0000221D0000}"/>
    <cellStyle name="Normal 8 2 6 3 2" xfId="13707" xr:uid="{03F73B24-9F02-4725-B038-8884B6A7A292}"/>
    <cellStyle name="Normal 8 2 6 4" xfId="9489" xr:uid="{78269BC8-1B3E-4171-B95C-6DEAAD76438B}"/>
    <cellStyle name="Normal 8 2 7" xfId="1363" xr:uid="{00000000-0005-0000-0000-0000231D0000}"/>
    <cellStyle name="Normal 8 2 7 2" xfId="3593" xr:uid="{00000000-0005-0000-0000-0000241D0000}"/>
    <cellStyle name="Normal 8 2 7 2 2" xfId="7815" xr:uid="{00000000-0005-0000-0000-0000251D0000}"/>
    <cellStyle name="Normal 8 2 7 2 2 2" xfId="16265" xr:uid="{C96DBEA3-47B1-472A-B8AC-FD87333451F3}"/>
    <cellStyle name="Normal 8 2 7 2 3" xfId="12047" xr:uid="{C23CA923-832C-4C3C-8963-1D257455CF35}"/>
    <cellStyle name="Normal 8 2 7 3" xfId="5670" xr:uid="{00000000-0005-0000-0000-0000261D0000}"/>
    <cellStyle name="Normal 8 2 7 3 2" xfId="14120" xr:uid="{C03A666E-4AC9-4C75-AF70-F24889AFF1A2}"/>
    <cellStyle name="Normal 8 2 7 4" xfId="9902" xr:uid="{842EA571-A727-49DE-A1AF-A74D9E3BC5D6}"/>
    <cellStyle name="Normal 8 2 8" xfId="1776" xr:uid="{00000000-0005-0000-0000-0000271D0000}"/>
    <cellStyle name="Normal 8 2 8 2" xfId="4006" xr:uid="{00000000-0005-0000-0000-0000281D0000}"/>
    <cellStyle name="Normal 8 2 8 2 2" xfId="8228" xr:uid="{00000000-0005-0000-0000-0000291D0000}"/>
    <cellStyle name="Normal 8 2 8 2 2 2" xfId="16678" xr:uid="{2DBCAB17-5399-461B-A4A5-B7C4888FC7DF}"/>
    <cellStyle name="Normal 8 2 8 2 3" xfId="12460" xr:uid="{E2FCA20F-871F-4379-B4C3-457B6D6FD995}"/>
    <cellStyle name="Normal 8 2 8 3" xfId="6083" xr:uid="{00000000-0005-0000-0000-00002A1D0000}"/>
    <cellStyle name="Normal 8 2 8 3 2" xfId="14533" xr:uid="{CF53EC77-C2A0-4ACE-ADB3-CD466D8EA941}"/>
    <cellStyle name="Normal 8 2 8 4" xfId="10315" xr:uid="{B3B31654-B3AD-4042-9F54-9E3AB45DFEB7}"/>
    <cellStyle name="Normal 8 2 9" xfId="2190" xr:uid="{00000000-0005-0000-0000-00002B1D0000}"/>
    <cellStyle name="Normal 8 2 9 2" xfId="4419" xr:uid="{00000000-0005-0000-0000-00002C1D0000}"/>
    <cellStyle name="Normal 8 2 9 2 2" xfId="8641" xr:uid="{00000000-0005-0000-0000-00002D1D0000}"/>
    <cellStyle name="Normal 8 2 9 2 2 2" xfId="17091" xr:uid="{D4EF7125-3D14-42D1-AE59-91FD2B0DD5CE}"/>
    <cellStyle name="Normal 8 2 9 2 3" xfId="12873" xr:uid="{60CB2A89-742B-4B31-A19E-DF2FE80D7A62}"/>
    <cellStyle name="Normal 8 2 9 3" xfId="6496" xr:uid="{00000000-0005-0000-0000-00002E1D0000}"/>
    <cellStyle name="Normal 8 2 9 3 2" xfId="14946" xr:uid="{989B7D95-999A-4C1F-90AF-332C3B519966}"/>
    <cellStyle name="Normal 8 2 9 4" xfId="10728" xr:uid="{2B8C2D56-AFA3-48E3-8EE2-E4DADC782EAE}"/>
    <cellStyle name="Normal 8 3" xfId="495" xr:uid="{00000000-0005-0000-0000-00002F1D0000}"/>
    <cellStyle name="Normal 8 3 10" xfId="4860" xr:uid="{00000000-0005-0000-0000-0000301D0000}"/>
    <cellStyle name="Normal 8 3 10 2" xfId="13310" xr:uid="{1EC5D8CF-EDF9-4E1E-A361-30CDA2D8A6C8}"/>
    <cellStyle name="Normal 8 3 11" xfId="9092" xr:uid="{9162E033-CF63-4464-AA0C-B86B075CDA71}"/>
    <cellStyle name="Normal 8 3 2" xfId="496" xr:uid="{00000000-0005-0000-0000-0000311D0000}"/>
    <cellStyle name="Normal 8 3 2 10" xfId="9093" xr:uid="{9FDEAD21-883E-492C-B23F-7D9A36DF2BAB}"/>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D68BCC02-57BD-4FC7-8003-5D489FCA5657}"/>
    <cellStyle name="Normal 8 3 2 2 2 2 2 3" xfId="11653" xr:uid="{5EA7511C-44AA-48F2-9B56-A7C0301DF5E2}"/>
    <cellStyle name="Normal 8 3 2 2 2 2 3" xfId="5276" xr:uid="{00000000-0005-0000-0000-0000371D0000}"/>
    <cellStyle name="Normal 8 3 2 2 2 2 3 2" xfId="13726" xr:uid="{F1BA95A0-7D57-42A1-8669-8FCB53024AD2}"/>
    <cellStyle name="Normal 8 3 2 2 2 2 4" xfId="9508" xr:uid="{B4904814-8220-47EC-BE1E-901C7847BC59}"/>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B14B0B95-FA05-4B8B-8CE3-87C84BE64B9E}"/>
    <cellStyle name="Normal 8 3 2 2 2 3 2 3" xfId="12066" xr:uid="{4CDB2BBA-C89A-4E35-ABE3-1521B461BA8E}"/>
    <cellStyle name="Normal 8 3 2 2 2 3 3" xfId="5689" xr:uid="{00000000-0005-0000-0000-00003B1D0000}"/>
    <cellStyle name="Normal 8 3 2 2 2 3 3 2" xfId="14139" xr:uid="{5773F3D7-2FCC-49DC-9DA5-A3B7A3DB0D7D}"/>
    <cellStyle name="Normal 8 3 2 2 2 3 4" xfId="9921" xr:uid="{AF4E36E3-F118-4A8A-AEB5-5D8C29B86D92}"/>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E8355783-EB72-47E3-8120-D0ED7DFD87A0}"/>
    <cellStyle name="Normal 8 3 2 2 2 4 2 3" xfId="12479" xr:uid="{BB8F0878-8087-4DC4-A42B-7305E44E9E93}"/>
    <cellStyle name="Normal 8 3 2 2 2 4 3" xfId="6102" xr:uid="{00000000-0005-0000-0000-00003F1D0000}"/>
    <cellStyle name="Normal 8 3 2 2 2 4 3 2" xfId="14552" xr:uid="{C02F18A3-A1F6-48E5-B9F2-A0595763CEEA}"/>
    <cellStyle name="Normal 8 3 2 2 2 4 4" xfId="10334" xr:uid="{F2082875-D156-4041-8D56-FCAEDBB84F0F}"/>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1BA5468E-92EA-495B-BCF6-05E08552209A}"/>
    <cellStyle name="Normal 8 3 2 2 2 5 2 3" xfId="12892" xr:uid="{C33C2BE0-9D50-4A3E-94BB-35F7E3499136}"/>
    <cellStyle name="Normal 8 3 2 2 2 5 3" xfId="6515" xr:uid="{00000000-0005-0000-0000-0000431D0000}"/>
    <cellStyle name="Normal 8 3 2 2 2 5 3 2" xfId="14965" xr:uid="{8D553761-151B-48FC-B18B-82A4D98502A7}"/>
    <cellStyle name="Normal 8 3 2 2 2 5 4" xfId="10747" xr:uid="{FB4D5C01-782B-487F-96B8-383AFFC6A806}"/>
    <cellStyle name="Normal 8 3 2 2 2 6" xfId="2645" xr:uid="{00000000-0005-0000-0000-0000441D0000}"/>
    <cellStyle name="Normal 8 3 2 2 2 6 2" xfId="6928" xr:uid="{00000000-0005-0000-0000-0000451D0000}"/>
    <cellStyle name="Normal 8 3 2 2 2 6 2 2" xfId="15378" xr:uid="{1F6323BA-170C-494B-9502-5B90036B1A3F}"/>
    <cellStyle name="Normal 8 3 2 2 2 6 3" xfId="11160" xr:uid="{8CA725BA-E6BD-412C-A91D-4865B3AD345C}"/>
    <cellStyle name="Normal 8 3 2 2 2 7" xfId="4863" xr:uid="{00000000-0005-0000-0000-0000461D0000}"/>
    <cellStyle name="Normal 8 3 2 2 2 7 2" xfId="13313" xr:uid="{17B5F1B3-DDFB-4D25-90CB-C3935AA80CE9}"/>
    <cellStyle name="Normal 8 3 2 2 2 8" xfId="9095" xr:uid="{A5F6C25D-8B37-48BD-9F3B-AD7CD61521CD}"/>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91652246-AB79-4FCB-8198-C08E8829C5EB}"/>
    <cellStyle name="Normal 8 3 2 2 3 2 3" xfId="11652" xr:uid="{1D59E7CC-69ED-4256-B409-C6FEA7F3BB3F}"/>
    <cellStyle name="Normal 8 3 2 2 3 3" xfId="5275" xr:uid="{00000000-0005-0000-0000-00004A1D0000}"/>
    <cellStyle name="Normal 8 3 2 2 3 3 2" xfId="13725" xr:uid="{576F9CC9-B48F-4C64-8B11-5D4D8A088708}"/>
    <cellStyle name="Normal 8 3 2 2 3 4" xfId="9507" xr:uid="{66FD8020-BC25-4FC4-8321-5C0073604613}"/>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88593E19-DE2E-4E6C-9F37-CA1655667078}"/>
    <cellStyle name="Normal 8 3 2 2 4 2 3" xfId="12065" xr:uid="{32903C47-D25A-4FCF-ACC2-6C2269567BA6}"/>
    <cellStyle name="Normal 8 3 2 2 4 3" xfId="5688" xr:uid="{00000000-0005-0000-0000-00004E1D0000}"/>
    <cellStyle name="Normal 8 3 2 2 4 3 2" xfId="14138" xr:uid="{15F9EE3E-BA43-4003-ADD3-DBA408D3A5AD}"/>
    <cellStyle name="Normal 8 3 2 2 4 4" xfId="9920" xr:uid="{BDF35954-7B58-4413-B429-57EEE1EF945B}"/>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445EA5BA-F869-4371-ABE7-BB8151546177}"/>
    <cellStyle name="Normal 8 3 2 2 5 2 3" xfId="12478" xr:uid="{47913EE8-65B0-47A5-BA1E-ACCDE00DD6AA}"/>
    <cellStyle name="Normal 8 3 2 2 5 3" xfId="6101" xr:uid="{00000000-0005-0000-0000-0000521D0000}"/>
    <cellStyle name="Normal 8 3 2 2 5 3 2" xfId="14551" xr:uid="{2AA161CA-0130-44B2-8073-8B423BFF8559}"/>
    <cellStyle name="Normal 8 3 2 2 5 4" xfId="10333" xr:uid="{2FA5D628-0C8B-4011-8318-3966CE19D93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A8987D90-F8A8-40B1-8F22-4D4A97FC611B}"/>
    <cellStyle name="Normal 8 3 2 2 6 2 3" xfId="12891" xr:uid="{053D6435-09AD-4161-9173-2034ED17C733}"/>
    <cellStyle name="Normal 8 3 2 2 6 3" xfId="6514" xr:uid="{00000000-0005-0000-0000-0000561D0000}"/>
    <cellStyle name="Normal 8 3 2 2 6 3 2" xfId="14964" xr:uid="{50F2D180-12F3-47DE-AA92-C061D96A3728}"/>
    <cellStyle name="Normal 8 3 2 2 6 4" xfId="10746" xr:uid="{C5AD6AD9-EC37-4439-AE03-F6305687447B}"/>
    <cellStyle name="Normal 8 3 2 2 7" xfId="2644" xr:uid="{00000000-0005-0000-0000-0000571D0000}"/>
    <cellStyle name="Normal 8 3 2 2 7 2" xfId="6927" xr:uid="{00000000-0005-0000-0000-0000581D0000}"/>
    <cellStyle name="Normal 8 3 2 2 7 2 2" xfId="15377" xr:uid="{58140AED-A5D4-432D-B993-DB058AD17056}"/>
    <cellStyle name="Normal 8 3 2 2 7 3" xfId="11159" xr:uid="{E03C16F9-31C5-42E4-9D5D-C05D6A07A587}"/>
    <cellStyle name="Normal 8 3 2 2 8" xfId="4862" xr:uid="{00000000-0005-0000-0000-0000591D0000}"/>
    <cellStyle name="Normal 8 3 2 2 8 2" xfId="13312" xr:uid="{A98BD86A-9A1F-4E31-A05F-79BB2F691A6C}"/>
    <cellStyle name="Normal 8 3 2 2 9" xfId="9094" xr:uid="{7B6174CA-D908-4352-ABDC-AA52D30E47B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2A4EC33E-A260-407C-B631-55FD2193C668}"/>
    <cellStyle name="Normal 8 3 2 3 2 2 3" xfId="11654" xr:uid="{58950302-03BC-4E66-9F72-ACE44D13F748}"/>
    <cellStyle name="Normal 8 3 2 3 2 3" xfId="5277" xr:uid="{00000000-0005-0000-0000-00005E1D0000}"/>
    <cellStyle name="Normal 8 3 2 3 2 3 2" xfId="13727" xr:uid="{C11D2205-17F8-4590-A933-DDA572F65265}"/>
    <cellStyle name="Normal 8 3 2 3 2 4" xfId="9509" xr:uid="{35FAB0A1-D982-4841-ABDE-9CE5204A088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402306A0-D3E2-4F5E-B28B-76290900D3DA}"/>
    <cellStyle name="Normal 8 3 2 3 3 2 3" xfId="12067" xr:uid="{D99C112B-8F2B-4895-A21F-574A1796651B}"/>
    <cellStyle name="Normal 8 3 2 3 3 3" xfId="5690" xr:uid="{00000000-0005-0000-0000-0000621D0000}"/>
    <cellStyle name="Normal 8 3 2 3 3 3 2" xfId="14140" xr:uid="{380F94E6-A717-42DF-91EE-1344AE487822}"/>
    <cellStyle name="Normal 8 3 2 3 3 4" xfId="9922" xr:uid="{42886C4A-2BEF-40B6-8CC4-0FD45F48572A}"/>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BA36FA3D-9FE0-486D-8FC2-6C2880D4AFD5}"/>
    <cellStyle name="Normal 8 3 2 3 4 2 3" xfId="12480" xr:uid="{C091E5A5-09B0-465D-84FE-E529FCFB9517}"/>
    <cellStyle name="Normal 8 3 2 3 4 3" xfId="6103" xr:uid="{00000000-0005-0000-0000-0000661D0000}"/>
    <cellStyle name="Normal 8 3 2 3 4 3 2" xfId="14553" xr:uid="{227DDA47-8945-4D7D-9C56-9C184855DFB9}"/>
    <cellStyle name="Normal 8 3 2 3 4 4" xfId="10335" xr:uid="{68B74A57-A52A-44DF-8B83-66275356F1E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8347735A-4F01-4B9F-BE6D-C02718B018C2}"/>
    <cellStyle name="Normal 8 3 2 3 5 2 3" xfId="12893" xr:uid="{143AAD80-8372-4595-B415-B76A3770B51D}"/>
    <cellStyle name="Normal 8 3 2 3 5 3" xfId="6516" xr:uid="{00000000-0005-0000-0000-00006A1D0000}"/>
    <cellStyle name="Normal 8 3 2 3 5 3 2" xfId="14966" xr:uid="{627731B9-982A-425C-8398-092EFE2BEB7B}"/>
    <cellStyle name="Normal 8 3 2 3 5 4" xfId="10748" xr:uid="{7E648524-2798-434B-9B62-288F7E4759E3}"/>
    <cellStyle name="Normal 8 3 2 3 6" xfId="2646" xr:uid="{00000000-0005-0000-0000-00006B1D0000}"/>
    <cellStyle name="Normal 8 3 2 3 6 2" xfId="6929" xr:uid="{00000000-0005-0000-0000-00006C1D0000}"/>
    <cellStyle name="Normal 8 3 2 3 6 2 2" xfId="15379" xr:uid="{28B63544-3D44-40A8-8AF6-17C8D49C0B7E}"/>
    <cellStyle name="Normal 8 3 2 3 6 3" xfId="11161" xr:uid="{D437A246-B091-4F76-A378-0407A6F99680}"/>
    <cellStyle name="Normal 8 3 2 3 7" xfId="4864" xr:uid="{00000000-0005-0000-0000-00006D1D0000}"/>
    <cellStyle name="Normal 8 3 2 3 7 2" xfId="13314" xr:uid="{60DDD1A2-3EED-4E66-A0E6-BFDF0B9D0D77}"/>
    <cellStyle name="Normal 8 3 2 3 8" xfId="9096" xr:uid="{6945362F-F756-4C35-9CBC-30AF2D807857}"/>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CDE662F9-57C2-486A-972A-817764C214C8}"/>
    <cellStyle name="Normal 8 3 2 4 2 3" xfId="11651" xr:uid="{116B1838-029C-459A-83F8-07DB02FC6A8C}"/>
    <cellStyle name="Normal 8 3 2 4 3" xfId="5274" xr:uid="{00000000-0005-0000-0000-0000711D0000}"/>
    <cellStyle name="Normal 8 3 2 4 3 2" xfId="13724" xr:uid="{829E5DEE-1489-44CF-A25D-5DE362FE1CC7}"/>
    <cellStyle name="Normal 8 3 2 4 4" xfId="9506" xr:uid="{71035948-66A5-424F-81D2-DE4E1223AC69}"/>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D22F813D-392B-4B22-98F1-21AAE0D2D438}"/>
    <cellStyle name="Normal 8 3 2 5 2 3" xfId="12064" xr:uid="{93A99277-165C-45BE-B8B0-331E10F05D63}"/>
    <cellStyle name="Normal 8 3 2 5 3" xfId="5687" xr:uid="{00000000-0005-0000-0000-0000751D0000}"/>
    <cellStyle name="Normal 8 3 2 5 3 2" xfId="14137" xr:uid="{6B16740D-FA4B-48C4-B3E8-2CBEBBA3FC58}"/>
    <cellStyle name="Normal 8 3 2 5 4" xfId="9919" xr:uid="{419BDC9E-4258-4974-8041-68E2EA1F505B}"/>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D26EDEFA-3269-4395-8667-0960B12EB412}"/>
    <cellStyle name="Normal 8 3 2 6 2 3" xfId="12477" xr:uid="{8BE289AF-881A-4AC4-91F6-BB0C714F31CA}"/>
    <cellStyle name="Normal 8 3 2 6 3" xfId="6100" xr:uid="{00000000-0005-0000-0000-0000791D0000}"/>
    <cellStyle name="Normal 8 3 2 6 3 2" xfId="14550" xr:uid="{98BD0B22-E0E1-40F1-AE40-DDD0F662E01E}"/>
    <cellStyle name="Normal 8 3 2 6 4" xfId="10332" xr:uid="{BA2D6970-06F4-4A71-9071-D1D53A33661C}"/>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796AFED7-5AAE-49EE-AC91-9CC2DE7B62FD}"/>
    <cellStyle name="Normal 8 3 2 7 2 3" xfId="12890" xr:uid="{F2065886-4C77-44EB-A6D3-3D9701833D98}"/>
    <cellStyle name="Normal 8 3 2 7 3" xfId="6513" xr:uid="{00000000-0005-0000-0000-00007D1D0000}"/>
    <cellStyle name="Normal 8 3 2 7 3 2" xfId="14963" xr:uid="{860C8A3F-D757-4E62-BD25-3BC9A15569A4}"/>
    <cellStyle name="Normal 8 3 2 7 4" xfId="10745" xr:uid="{89101CA0-F059-4E47-A89B-B1F91EEE34B9}"/>
    <cellStyle name="Normal 8 3 2 8" xfId="2643" xr:uid="{00000000-0005-0000-0000-00007E1D0000}"/>
    <cellStyle name="Normal 8 3 2 8 2" xfId="6926" xr:uid="{00000000-0005-0000-0000-00007F1D0000}"/>
    <cellStyle name="Normal 8 3 2 8 2 2" xfId="15376" xr:uid="{71822FF4-AEF8-439A-8077-CC5B287A3C2A}"/>
    <cellStyle name="Normal 8 3 2 8 3" xfId="11158" xr:uid="{BCF8509C-09C0-42AD-B669-B8E465CBA276}"/>
    <cellStyle name="Normal 8 3 2 9" xfId="4861" xr:uid="{00000000-0005-0000-0000-0000801D0000}"/>
    <cellStyle name="Normal 8 3 2 9 2" xfId="13311" xr:uid="{DBC05E94-7819-4E16-9078-F94DB4B376AB}"/>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A5CCBA54-D5EF-44B9-AC50-9D352E26CB40}"/>
    <cellStyle name="Normal 8 3 3 2 2 2 3" xfId="11656" xr:uid="{FD2EFDD3-2770-4D5F-B28D-33EB50F3771D}"/>
    <cellStyle name="Normal 8 3 3 2 2 3" xfId="5279" xr:uid="{00000000-0005-0000-0000-0000861D0000}"/>
    <cellStyle name="Normal 8 3 3 2 2 3 2" xfId="13729" xr:uid="{2F82838E-4778-4F25-AD70-C28686268EBC}"/>
    <cellStyle name="Normal 8 3 3 2 2 4" xfId="9511" xr:uid="{BA1C98DB-84FF-4F0F-9CA1-E4D912BE5F3A}"/>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BE23B2B9-FE2C-4F9F-81BB-3CF3407FB992}"/>
    <cellStyle name="Normal 8 3 3 2 3 2 3" xfId="12069" xr:uid="{CC1A3106-5DC7-44B4-B4C5-1052F37A58EF}"/>
    <cellStyle name="Normal 8 3 3 2 3 3" xfId="5692" xr:uid="{00000000-0005-0000-0000-00008A1D0000}"/>
    <cellStyle name="Normal 8 3 3 2 3 3 2" xfId="14142" xr:uid="{345C3115-FC77-4B1C-AF5D-AB2D38CC739F}"/>
    <cellStyle name="Normal 8 3 3 2 3 4" xfId="9924" xr:uid="{7601F1DD-6092-4624-ADDC-BB2C8EA81E26}"/>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90FBF674-A511-40E2-8628-738B3E891560}"/>
    <cellStyle name="Normal 8 3 3 2 4 2 3" xfId="12482" xr:uid="{4DBBDF86-A95D-4754-9053-F630062A2588}"/>
    <cellStyle name="Normal 8 3 3 2 4 3" xfId="6105" xr:uid="{00000000-0005-0000-0000-00008E1D0000}"/>
    <cellStyle name="Normal 8 3 3 2 4 3 2" xfId="14555" xr:uid="{6FAE533C-4D31-40F3-8958-9612E9028E41}"/>
    <cellStyle name="Normal 8 3 3 2 4 4" xfId="10337" xr:uid="{50EBFAC8-B423-4857-8DFA-ACE67E78363C}"/>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2AC2791A-633D-499B-B13E-F97ABAE21B6F}"/>
    <cellStyle name="Normal 8 3 3 2 5 2 3" xfId="12895" xr:uid="{8F0E8F6B-80D8-4F7B-B7F6-2B08DCCB67CA}"/>
    <cellStyle name="Normal 8 3 3 2 5 3" xfId="6518" xr:uid="{00000000-0005-0000-0000-0000921D0000}"/>
    <cellStyle name="Normal 8 3 3 2 5 3 2" xfId="14968" xr:uid="{639235E8-C4EC-46F5-87FC-25F1A652F0C0}"/>
    <cellStyle name="Normal 8 3 3 2 5 4" xfId="10750" xr:uid="{7BC70561-20E7-42C4-A2F6-596C614A0783}"/>
    <cellStyle name="Normal 8 3 3 2 6" xfId="2648" xr:uid="{00000000-0005-0000-0000-0000931D0000}"/>
    <cellStyle name="Normal 8 3 3 2 6 2" xfId="6931" xr:uid="{00000000-0005-0000-0000-0000941D0000}"/>
    <cellStyle name="Normal 8 3 3 2 6 2 2" xfId="15381" xr:uid="{CE73ABFE-E758-4CF7-8404-729B5878A941}"/>
    <cellStyle name="Normal 8 3 3 2 6 3" xfId="11163" xr:uid="{2672DC24-A719-46D8-93E5-909C96378935}"/>
    <cellStyle name="Normal 8 3 3 2 7" xfId="4866" xr:uid="{00000000-0005-0000-0000-0000951D0000}"/>
    <cellStyle name="Normal 8 3 3 2 7 2" xfId="13316" xr:uid="{1939194E-328F-4965-9C5F-72A88E593310}"/>
    <cellStyle name="Normal 8 3 3 2 8" xfId="9098" xr:uid="{477BACF8-B7C5-425E-BFA6-74548C177CBB}"/>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44738D85-D298-4609-8E89-8E5B0A4AA734}"/>
    <cellStyle name="Normal 8 3 3 3 2 3" xfId="11655" xr:uid="{A0ED4825-260C-4243-A250-8FA076FDC175}"/>
    <cellStyle name="Normal 8 3 3 3 3" xfId="5278" xr:uid="{00000000-0005-0000-0000-0000991D0000}"/>
    <cellStyle name="Normal 8 3 3 3 3 2" xfId="13728" xr:uid="{BA1910C0-AE18-4A9E-9F03-9A26D4190CF6}"/>
    <cellStyle name="Normal 8 3 3 3 4" xfId="9510" xr:uid="{9C112D49-8CC9-4113-AB68-EFCA2B9C66C6}"/>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47514922-22CF-4403-A909-5A05E2A57EAF}"/>
    <cellStyle name="Normal 8 3 3 4 2 3" xfId="12068" xr:uid="{FD7D7A81-247B-4396-B435-48D1EAF2FC64}"/>
    <cellStyle name="Normal 8 3 3 4 3" xfId="5691" xr:uid="{00000000-0005-0000-0000-00009D1D0000}"/>
    <cellStyle name="Normal 8 3 3 4 3 2" xfId="14141" xr:uid="{9C80BC97-240A-48A2-A1DC-06C2086E6DD1}"/>
    <cellStyle name="Normal 8 3 3 4 4" xfId="9923" xr:uid="{49960A7A-DAA1-4AC0-A705-436F1309EA92}"/>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DDCB6F88-8898-4490-9C48-9C6CA883358B}"/>
    <cellStyle name="Normal 8 3 3 5 2 3" xfId="12481" xr:uid="{4B6672FA-8E3A-4326-B089-29E4B1985AC1}"/>
    <cellStyle name="Normal 8 3 3 5 3" xfId="6104" xr:uid="{00000000-0005-0000-0000-0000A11D0000}"/>
    <cellStyle name="Normal 8 3 3 5 3 2" xfId="14554" xr:uid="{97D130E3-860C-4473-8C66-A6AEBCF8E442}"/>
    <cellStyle name="Normal 8 3 3 5 4" xfId="10336" xr:uid="{D760C484-E0A2-47AA-AD85-144C712D80E2}"/>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1B5765B3-3BAD-44F2-8F05-C0A497ADDACB}"/>
    <cellStyle name="Normal 8 3 3 6 2 3" xfId="12894" xr:uid="{8343D25D-1709-4ED2-89A3-B80D1F8E11C2}"/>
    <cellStyle name="Normal 8 3 3 6 3" xfId="6517" xr:uid="{00000000-0005-0000-0000-0000A51D0000}"/>
    <cellStyle name="Normal 8 3 3 6 3 2" xfId="14967" xr:uid="{CD42CB11-D3D5-4301-9739-24FF3283DC42}"/>
    <cellStyle name="Normal 8 3 3 6 4" xfId="10749" xr:uid="{1A71C184-FFC6-4EAD-BD55-0360308104F5}"/>
    <cellStyle name="Normal 8 3 3 7" xfId="2647" xr:uid="{00000000-0005-0000-0000-0000A61D0000}"/>
    <cellStyle name="Normal 8 3 3 7 2" xfId="6930" xr:uid="{00000000-0005-0000-0000-0000A71D0000}"/>
    <cellStyle name="Normal 8 3 3 7 2 2" xfId="15380" xr:uid="{976AD4C7-99A0-4B74-BB06-84FF896672D6}"/>
    <cellStyle name="Normal 8 3 3 7 3" xfId="11162" xr:uid="{ACB0EA5E-7175-4DB4-8556-60EB62EE8108}"/>
    <cellStyle name="Normal 8 3 3 8" xfId="4865" xr:uid="{00000000-0005-0000-0000-0000A81D0000}"/>
    <cellStyle name="Normal 8 3 3 8 2" xfId="13315" xr:uid="{F966C2C0-C646-4545-BE62-485DAF3B7AE7}"/>
    <cellStyle name="Normal 8 3 3 9" xfId="9097" xr:uid="{D3D7571B-8F2F-4D81-A079-D87B397228C9}"/>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250016F6-5F7D-44DA-93C1-1E232A5204CC}"/>
    <cellStyle name="Normal 8 3 4 2 2 3" xfId="11657" xr:uid="{DB674520-3147-409D-9908-E6F784B568D1}"/>
    <cellStyle name="Normal 8 3 4 2 3" xfId="5280" xr:uid="{00000000-0005-0000-0000-0000AD1D0000}"/>
    <cellStyle name="Normal 8 3 4 2 3 2" xfId="13730" xr:uid="{47FC5821-5DF1-4B5A-9D8C-60E247AA5994}"/>
    <cellStyle name="Normal 8 3 4 2 4" xfId="9512" xr:uid="{F6650270-7D62-45AC-BB55-D4AF83E2437C}"/>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9CF49BDE-8DBA-4D96-8DFA-3BDC79B2E484}"/>
    <cellStyle name="Normal 8 3 4 3 2 3" xfId="12070" xr:uid="{01B9E615-6707-40F0-8F8A-3195B95CE38F}"/>
    <cellStyle name="Normal 8 3 4 3 3" xfId="5693" xr:uid="{00000000-0005-0000-0000-0000B11D0000}"/>
    <cellStyle name="Normal 8 3 4 3 3 2" xfId="14143" xr:uid="{0DF5245E-88F9-43F9-B32A-BB87659C893F}"/>
    <cellStyle name="Normal 8 3 4 3 4" xfId="9925" xr:uid="{DEAD7569-9A83-4D8F-8C59-7B9E0F23FAE3}"/>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6D1D183E-C1EA-4403-B607-D820E3C9D2F7}"/>
    <cellStyle name="Normal 8 3 4 4 2 3" xfId="12483" xr:uid="{BE2F6F51-F4A1-49D8-8EB8-A2A539977E3C}"/>
    <cellStyle name="Normal 8 3 4 4 3" xfId="6106" xr:uid="{00000000-0005-0000-0000-0000B51D0000}"/>
    <cellStyle name="Normal 8 3 4 4 3 2" xfId="14556" xr:uid="{5D25C537-B470-4928-B64F-85087BD1F386}"/>
    <cellStyle name="Normal 8 3 4 4 4" xfId="10338" xr:uid="{6FAC1DDA-8949-42B5-9496-820B6FDE5E55}"/>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D9A673F2-B8F0-4383-A405-36526A35C95E}"/>
    <cellStyle name="Normal 8 3 4 5 2 3" xfId="12896" xr:uid="{6EAE2A9A-A450-4670-B8A1-29971942E9BB}"/>
    <cellStyle name="Normal 8 3 4 5 3" xfId="6519" xr:uid="{00000000-0005-0000-0000-0000B91D0000}"/>
    <cellStyle name="Normal 8 3 4 5 3 2" xfId="14969" xr:uid="{1D8BC165-2472-4348-BA9B-B8ABA16FBA11}"/>
    <cellStyle name="Normal 8 3 4 5 4" xfId="10751" xr:uid="{CC8DD198-0837-4B2F-A477-23D0C3774CB4}"/>
    <cellStyle name="Normal 8 3 4 6" xfId="2649" xr:uid="{00000000-0005-0000-0000-0000BA1D0000}"/>
    <cellStyle name="Normal 8 3 4 6 2" xfId="6932" xr:uid="{00000000-0005-0000-0000-0000BB1D0000}"/>
    <cellStyle name="Normal 8 3 4 6 2 2" xfId="15382" xr:uid="{9041B794-C753-4A11-890E-3694A23DEB4D}"/>
    <cellStyle name="Normal 8 3 4 6 3" xfId="11164" xr:uid="{5AA0A7B2-C05D-47E2-AA30-F522F97505E6}"/>
    <cellStyle name="Normal 8 3 4 7" xfId="4867" xr:uid="{00000000-0005-0000-0000-0000BC1D0000}"/>
    <cellStyle name="Normal 8 3 4 7 2" xfId="13317" xr:uid="{772F0040-A799-4C71-80EB-F871C6722A83}"/>
    <cellStyle name="Normal 8 3 4 8" xfId="9099" xr:uid="{DEAE6823-9C6A-47FF-9BEF-CCAFC9493EEE}"/>
    <cellStyle name="Normal 8 3 5" xfId="962" xr:uid="{00000000-0005-0000-0000-0000BD1D0000}"/>
    <cellStyle name="Normal 8 3 5 2" xfId="3196" xr:uid="{00000000-0005-0000-0000-0000BE1D0000}"/>
    <cellStyle name="Normal 8 3 5 2 2" xfId="7418" xr:uid="{00000000-0005-0000-0000-0000BF1D0000}"/>
    <cellStyle name="Normal 8 3 5 2 2 2" xfId="15868" xr:uid="{A0608973-92D9-4E88-8D4C-8464E532D21C}"/>
    <cellStyle name="Normal 8 3 5 2 3" xfId="11650" xr:uid="{FD896242-2554-4AA2-800D-5DDEF60AAB40}"/>
    <cellStyle name="Normal 8 3 5 3" xfId="5273" xr:uid="{00000000-0005-0000-0000-0000C01D0000}"/>
    <cellStyle name="Normal 8 3 5 3 2" xfId="13723" xr:uid="{DE493419-B1DF-4D2F-9344-CA6E4803FDC4}"/>
    <cellStyle name="Normal 8 3 5 4" xfId="9505" xr:uid="{C39AB9C0-B9A9-4C64-9583-BB64439B5C7D}"/>
    <cellStyle name="Normal 8 3 6" xfId="1379" xr:uid="{00000000-0005-0000-0000-0000C11D0000}"/>
    <cellStyle name="Normal 8 3 6 2" xfId="3609" xr:uid="{00000000-0005-0000-0000-0000C21D0000}"/>
    <cellStyle name="Normal 8 3 6 2 2" xfId="7831" xr:uid="{00000000-0005-0000-0000-0000C31D0000}"/>
    <cellStyle name="Normal 8 3 6 2 2 2" xfId="16281" xr:uid="{BCE765F2-68D4-43D5-8D2F-AE639BD4A403}"/>
    <cellStyle name="Normal 8 3 6 2 3" xfId="12063" xr:uid="{05A849F8-EE78-40AB-9900-2BAD027702E9}"/>
    <cellStyle name="Normal 8 3 6 3" xfId="5686" xr:uid="{00000000-0005-0000-0000-0000C41D0000}"/>
    <cellStyle name="Normal 8 3 6 3 2" xfId="14136" xr:uid="{35431CF7-F739-45F5-B396-B52CFC451254}"/>
    <cellStyle name="Normal 8 3 6 4" xfId="9918" xr:uid="{905A4ACE-F82F-4838-8E0F-80B19028CF9A}"/>
    <cellStyle name="Normal 8 3 7" xfId="1792" xr:uid="{00000000-0005-0000-0000-0000C51D0000}"/>
    <cellStyle name="Normal 8 3 7 2" xfId="4022" xr:uid="{00000000-0005-0000-0000-0000C61D0000}"/>
    <cellStyle name="Normal 8 3 7 2 2" xfId="8244" xr:uid="{00000000-0005-0000-0000-0000C71D0000}"/>
    <cellStyle name="Normal 8 3 7 2 2 2" xfId="16694" xr:uid="{8CA0452F-556A-453D-86E7-537F5111F6AF}"/>
    <cellStyle name="Normal 8 3 7 2 3" xfId="12476" xr:uid="{80CDFC7C-9F57-4E99-BE51-572B57B27350}"/>
    <cellStyle name="Normal 8 3 7 3" xfId="6099" xr:uid="{00000000-0005-0000-0000-0000C81D0000}"/>
    <cellStyle name="Normal 8 3 7 3 2" xfId="14549" xr:uid="{CC9A13DE-A2FE-4A74-9C69-3C70589A0AE9}"/>
    <cellStyle name="Normal 8 3 7 4" xfId="10331" xr:uid="{4C8C4553-F985-47E7-84E8-5C7490024D15}"/>
    <cellStyle name="Normal 8 3 8" xfId="2206" xr:uid="{00000000-0005-0000-0000-0000C91D0000}"/>
    <cellStyle name="Normal 8 3 8 2" xfId="4435" xr:uid="{00000000-0005-0000-0000-0000CA1D0000}"/>
    <cellStyle name="Normal 8 3 8 2 2" xfId="8657" xr:uid="{00000000-0005-0000-0000-0000CB1D0000}"/>
    <cellStyle name="Normal 8 3 8 2 2 2" xfId="17107" xr:uid="{030A8134-6743-4803-A20D-D66AE2B741B9}"/>
    <cellStyle name="Normal 8 3 8 2 3" xfId="12889" xr:uid="{92CC0244-7BB2-4F68-B223-08F839D6EA62}"/>
    <cellStyle name="Normal 8 3 8 3" xfId="6512" xr:uid="{00000000-0005-0000-0000-0000CC1D0000}"/>
    <cellStyle name="Normal 8 3 8 3 2" xfId="14962" xr:uid="{09454AE8-107A-4D00-B29B-CFFB561907C7}"/>
    <cellStyle name="Normal 8 3 8 4" xfId="10744" xr:uid="{698F3F05-D06F-4D28-9D92-51DD725D12CA}"/>
    <cellStyle name="Normal 8 3 9" xfId="2642" xr:uid="{00000000-0005-0000-0000-0000CD1D0000}"/>
    <cellStyle name="Normal 8 3 9 2" xfId="6925" xr:uid="{00000000-0005-0000-0000-0000CE1D0000}"/>
    <cellStyle name="Normal 8 3 9 2 2" xfId="15375" xr:uid="{2FF70242-E930-43DF-8F39-495A4DDAF1A8}"/>
    <cellStyle name="Normal 8 3 9 3" xfId="11157" xr:uid="{70076D88-B568-4F6D-A0C0-CEF85C75EFDA}"/>
    <cellStyle name="Normal 8 4" xfId="503" xr:uid="{00000000-0005-0000-0000-0000CF1D0000}"/>
    <cellStyle name="Normal 8 4 10" xfId="9100" xr:uid="{A786C152-4104-41CD-B040-ABBB770E9E0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486E7F83-A88E-45D5-A116-44CEDEB11FFC}"/>
    <cellStyle name="Normal 8 4 2 2 2 2 3" xfId="11660" xr:uid="{B3412E40-E7C8-48C7-AD92-956769303737}"/>
    <cellStyle name="Normal 8 4 2 2 2 3" xfId="5283" xr:uid="{00000000-0005-0000-0000-0000D51D0000}"/>
    <cellStyle name="Normal 8 4 2 2 2 3 2" xfId="13733" xr:uid="{4D624B42-3A52-4242-B09A-81E1026F8C59}"/>
    <cellStyle name="Normal 8 4 2 2 2 4" xfId="9515" xr:uid="{FCC11D4F-9846-4ACA-9B4B-8441DDBCC6B5}"/>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35BF0A4C-4A1B-459D-A864-9124FC45DCB0}"/>
    <cellStyle name="Normal 8 4 2 2 3 2 3" xfId="12073" xr:uid="{AB830410-9611-47A0-9C84-93E73CD23E0E}"/>
    <cellStyle name="Normal 8 4 2 2 3 3" xfId="5696" xr:uid="{00000000-0005-0000-0000-0000D91D0000}"/>
    <cellStyle name="Normal 8 4 2 2 3 3 2" xfId="14146" xr:uid="{E66E32E3-C637-4DB5-897B-F599CE04B00E}"/>
    <cellStyle name="Normal 8 4 2 2 3 4" xfId="9928" xr:uid="{957226B1-0AE4-4571-8708-7E475C3E4D1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D350DD0B-917F-4049-B6D9-E10ABDACC2D1}"/>
    <cellStyle name="Normal 8 4 2 2 4 2 3" xfId="12486" xr:uid="{11569939-45CE-436D-82C2-DDCDF5B3B66B}"/>
    <cellStyle name="Normal 8 4 2 2 4 3" xfId="6109" xr:uid="{00000000-0005-0000-0000-0000DD1D0000}"/>
    <cellStyle name="Normal 8 4 2 2 4 3 2" xfId="14559" xr:uid="{06620EF5-4875-4D11-9589-2616FA0E4C62}"/>
    <cellStyle name="Normal 8 4 2 2 4 4" xfId="10341" xr:uid="{703A33F4-0B1C-4EF7-9C69-B50659D664B4}"/>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1DA61229-9947-4AFC-A430-60DB534EEA19}"/>
    <cellStyle name="Normal 8 4 2 2 5 2 3" xfId="12899" xr:uid="{68AD6330-AA89-4A67-B2BA-725424E1859C}"/>
    <cellStyle name="Normal 8 4 2 2 5 3" xfId="6522" xr:uid="{00000000-0005-0000-0000-0000E11D0000}"/>
    <cellStyle name="Normal 8 4 2 2 5 3 2" xfId="14972" xr:uid="{7902A8E0-38FF-4FEF-9867-D38765315E48}"/>
    <cellStyle name="Normal 8 4 2 2 5 4" xfId="10754" xr:uid="{0A5E2815-EC9E-4D87-B6BB-D202E928BB85}"/>
    <cellStyle name="Normal 8 4 2 2 6" xfId="2652" xr:uid="{00000000-0005-0000-0000-0000E21D0000}"/>
    <cellStyle name="Normal 8 4 2 2 6 2" xfId="6935" xr:uid="{00000000-0005-0000-0000-0000E31D0000}"/>
    <cellStyle name="Normal 8 4 2 2 6 2 2" xfId="15385" xr:uid="{09A71C32-4457-4025-8162-7EC5645ADC14}"/>
    <cellStyle name="Normal 8 4 2 2 6 3" xfId="11167" xr:uid="{2AE392CD-70FB-4303-9356-E38AE491D448}"/>
    <cellStyle name="Normal 8 4 2 2 7" xfId="4870" xr:uid="{00000000-0005-0000-0000-0000E41D0000}"/>
    <cellStyle name="Normal 8 4 2 2 7 2" xfId="13320" xr:uid="{21B2B726-DD9D-4EFB-A630-71498B4DFB14}"/>
    <cellStyle name="Normal 8 4 2 2 8" xfId="9102" xr:uid="{2C6A2239-A17F-4204-90EE-B5A8569980FE}"/>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0E144086-70BD-4CDA-91E3-CA7D93E8FB3C}"/>
    <cellStyle name="Normal 8 4 2 3 2 3" xfId="11659" xr:uid="{9EB8277C-E587-4B61-B05B-0C369B938EA0}"/>
    <cellStyle name="Normal 8 4 2 3 3" xfId="5282" xr:uid="{00000000-0005-0000-0000-0000E81D0000}"/>
    <cellStyle name="Normal 8 4 2 3 3 2" xfId="13732" xr:uid="{F730191A-E673-40B0-B5E3-DA5DACFE1ECB}"/>
    <cellStyle name="Normal 8 4 2 3 4" xfId="9514" xr:uid="{93CE8AAA-9B4A-4DD7-B2BD-A80D94F430AC}"/>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EA8E5224-EC39-475D-9030-B487DFAEC210}"/>
    <cellStyle name="Normal 8 4 2 4 2 3" xfId="12072" xr:uid="{2D8CD848-692A-4915-8CD9-B1417D8BDFE6}"/>
    <cellStyle name="Normal 8 4 2 4 3" xfId="5695" xr:uid="{00000000-0005-0000-0000-0000EC1D0000}"/>
    <cellStyle name="Normal 8 4 2 4 3 2" xfId="14145" xr:uid="{4658E927-C5AA-43F3-9480-0DD67397730F}"/>
    <cellStyle name="Normal 8 4 2 4 4" xfId="9927" xr:uid="{EED2A1C4-2F14-4070-8796-373DF4D0BDE9}"/>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444980AA-7693-4F5F-9A81-F5107091FBB2}"/>
    <cellStyle name="Normal 8 4 2 5 2 3" xfId="12485" xr:uid="{7F73CAA2-A418-450A-A3A3-C5F2A9947137}"/>
    <cellStyle name="Normal 8 4 2 5 3" xfId="6108" xr:uid="{00000000-0005-0000-0000-0000F01D0000}"/>
    <cellStyle name="Normal 8 4 2 5 3 2" xfId="14558" xr:uid="{CF52DD0F-A80F-4A77-8042-E162858003E6}"/>
    <cellStyle name="Normal 8 4 2 5 4" xfId="10340" xr:uid="{793AA2F2-01A2-4538-9B53-982E89EB52AE}"/>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BA80E794-6CDA-46A8-A52B-B8FD6D9679F2}"/>
    <cellStyle name="Normal 8 4 2 6 2 3" xfId="12898" xr:uid="{9B99EB57-8657-4ACD-B389-321CAEE8CE24}"/>
    <cellStyle name="Normal 8 4 2 6 3" xfId="6521" xr:uid="{00000000-0005-0000-0000-0000F41D0000}"/>
    <cellStyle name="Normal 8 4 2 6 3 2" xfId="14971" xr:uid="{589CB82C-6066-445E-9A6D-BA4E063E18F1}"/>
    <cellStyle name="Normal 8 4 2 6 4" xfId="10753" xr:uid="{508EBDE2-2842-48FF-BA28-55A5DAE93DBE}"/>
    <cellStyle name="Normal 8 4 2 7" xfId="2651" xr:uid="{00000000-0005-0000-0000-0000F51D0000}"/>
    <cellStyle name="Normal 8 4 2 7 2" xfId="6934" xr:uid="{00000000-0005-0000-0000-0000F61D0000}"/>
    <cellStyle name="Normal 8 4 2 7 2 2" xfId="15384" xr:uid="{08012A3D-A423-4CAE-9671-845330D218EF}"/>
    <cellStyle name="Normal 8 4 2 7 3" xfId="11166" xr:uid="{2023036E-BAD0-4333-A587-04F3DFBC6A9C}"/>
    <cellStyle name="Normal 8 4 2 8" xfId="4869" xr:uid="{00000000-0005-0000-0000-0000F71D0000}"/>
    <cellStyle name="Normal 8 4 2 8 2" xfId="13319" xr:uid="{2EDEBE41-D675-4EC3-ACC8-4CD2534BF579}"/>
    <cellStyle name="Normal 8 4 2 9" xfId="9101" xr:uid="{D078DE88-689E-4C6A-BA15-EFE9179919ED}"/>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364EE4D8-B2A6-4FB0-944A-0B84174DC6CE}"/>
    <cellStyle name="Normal 8 4 3 2 2 3" xfId="11661" xr:uid="{20F94A9F-DBFB-4C97-BEC5-8D2895B39A16}"/>
    <cellStyle name="Normal 8 4 3 2 3" xfId="5284" xr:uid="{00000000-0005-0000-0000-0000FC1D0000}"/>
    <cellStyle name="Normal 8 4 3 2 3 2" xfId="13734" xr:uid="{C49DBF04-98BC-4172-923A-562C5F6AF56C}"/>
    <cellStyle name="Normal 8 4 3 2 4" xfId="9516" xr:uid="{2E374062-E3B6-421E-A62D-CAB3B43550D7}"/>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3B593793-DC87-4201-8C8E-06DE776E616F}"/>
    <cellStyle name="Normal 8 4 3 3 2 3" xfId="12074" xr:uid="{9FFE4D1F-CAC5-4985-B671-5CAD23ED29BF}"/>
    <cellStyle name="Normal 8 4 3 3 3" xfId="5697" xr:uid="{00000000-0005-0000-0000-0000001E0000}"/>
    <cellStyle name="Normal 8 4 3 3 3 2" xfId="14147" xr:uid="{EC820E4E-A698-4ED2-A587-1ECB83BEDEB7}"/>
    <cellStyle name="Normal 8 4 3 3 4" xfId="9929" xr:uid="{8A7399AA-9F18-4DFC-AD05-810CB5F98C2A}"/>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F9E4B1B7-B1AC-453E-AEA7-920216BA815F}"/>
    <cellStyle name="Normal 8 4 3 4 2 3" xfId="12487" xr:uid="{2C00C224-1C3C-43BA-8A8B-77C2AA247BB4}"/>
    <cellStyle name="Normal 8 4 3 4 3" xfId="6110" xr:uid="{00000000-0005-0000-0000-0000041E0000}"/>
    <cellStyle name="Normal 8 4 3 4 3 2" xfId="14560" xr:uid="{DD00E832-C177-4A43-A7FE-37FB7EF54D45}"/>
    <cellStyle name="Normal 8 4 3 4 4" xfId="10342" xr:uid="{6A59AEBC-9B54-49BB-AB05-6CE3D052B153}"/>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44695D25-1E64-4263-BBB3-F03A2E53037B}"/>
    <cellStyle name="Normal 8 4 3 5 2 3" xfId="12900" xr:uid="{68EFC68D-04C2-4402-A78C-DB81891330A8}"/>
    <cellStyle name="Normal 8 4 3 5 3" xfId="6523" xr:uid="{00000000-0005-0000-0000-0000081E0000}"/>
    <cellStyle name="Normal 8 4 3 5 3 2" xfId="14973" xr:uid="{5C5094E4-172B-4C51-B23D-C107A2037282}"/>
    <cellStyle name="Normal 8 4 3 5 4" xfId="10755" xr:uid="{3D00BA4C-4AAE-4FB8-8827-A439E098D463}"/>
    <cellStyle name="Normal 8 4 3 6" xfId="2653" xr:uid="{00000000-0005-0000-0000-0000091E0000}"/>
    <cellStyle name="Normal 8 4 3 6 2" xfId="6936" xr:uid="{00000000-0005-0000-0000-00000A1E0000}"/>
    <cellStyle name="Normal 8 4 3 6 2 2" xfId="15386" xr:uid="{69501895-F754-4622-9E3F-FF4B616198E0}"/>
    <cellStyle name="Normal 8 4 3 6 3" xfId="11168" xr:uid="{E0FD5A65-EFDB-4100-B568-AE95C64F43AC}"/>
    <cellStyle name="Normal 8 4 3 7" xfId="4871" xr:uid="{00000000-0005-0000-0000-00000B1E0000}"/>
    <cellStyle name="Normal 8 4 3 7 2" xfId="13321" xr:uid="{7C812885-3123-47F7-A5C7-5A5E29E522F6}"/>
    <cellStyle name="Normal 8 4 3 8" xfId="9103" xr:uid="{E56848D3-7E66-40E0-8FAC-BF52CDDB4906}"/>
    <cellStyle name="Normal 8 4 4" xfId="970" xr:uid="{00000000-0005-0000-0000-00000C1E0000}"/>
    <cellStyle name="Normal 8 4 4 2" xfId="3204" xr:uid="{00000000-0005-0000-0000-00000D1E0000}"/>
    <cellStyle name="Normal 8 4 4 2 2" xfId="7426" xr:uid="{00000000-0005-0000-0000-00000E1E0000}"/>
    <cellStyle name="Normal 8 4 4 2 2 2" xfId="15876" xr:uid="{E1D66A8C-B1C5-4E38-BCFE-425539B63F55}"/>
    <cellStyle name="Normal 8 4 4 2 3" xfId="11658" xr:uid="{668F95E8-C112-43F8-A805-180B0D2CB9D1}"/>
    <cellStyle name="Normal 8 4 4 3" xfId="5281" xr:uid="{00000000-0005-0000-0000-00000F1E0000}"/>
    <cellStyle name="Normal 8 4 4 3 2" xfId="13731" xr:uid="{2A8AF4DB-592F-443A-910B-B04782E755B0}"/>
    <cellStyle name="Normal 8 4 4 4" xfId="9513" xr:uid="{BD9A4815-0D63-49DB-B4C6-BF4C80E24E68}"/>
    <cellStyle name="Normal 8 4 5" xfId="1387" xr:uid="{00000000-0005-0000-0000-0000101E0000}"/>
    <cellStyle name="Normal 8 4 5 2" xfId="3617" xr:uid="{00000000-0005-0000-0000-0000111E0000}"/>
    <cellStyle name="Normal 8 4 5 2 2" xfId="7839" xr:uid="{00000000-0005-0000-0000-0000121E0000}"/>
    <cellStyle name="Normal 8 4 5 2 2 2" xfId="16289" xr:uid="{0D0A169A-95E4-4518-B157-DABEEC508BEB}"/>
    <cellStyle name="Normal 8 4 5 2 3" xfId="12071" xr:uid="{DDF67948-BA9E-47B5-95F4-2470716809B5}"/>
    <cellStyle name="Normal 8 4 5 3" xfId="5694" xr:uid="{00000000-0005-0000-0000-0000131E0000}"/>
    <cellStyle name="Normal 8 4 5 3 2" xfId="14144" xr:uid="{B1B86766-FC96-4097-A445-3E3E5A43C5F0}"/>
    <cellStyle name="Normal 8 4 5 4" xfId="9926" xr:uid="{AE9D0370-0105-4561-B08F-7CA6441422E1}"/>
    <cellStyle name="Normal 8 4 6" xfId="1800" xr:uid="{00000000-0005-0000-0000-0000141E0000}"/>
    <cellStyle name="Normal 8 4 6 2" xfId="4030" xr:uid="{00000000-0005-0000-0000-0000151E0000}"/>
    <cellStyle name="Normal 8 4 6 2 2" xfId="8252" xr:uid="{00000000-0005-0000-0000-0000161E0000}"/>
    <cellStyle name="Normal 8 4 6 2 2 2" xfId="16702" xr:uid="{B93F188D-EC73-49B0-8E6D-F4EE16EF7B3B}"/>
    <cellStyle name="Normal 8 4 6 2 3" xfId="12484" xr:uid="{0E969993-56CB-4163-A493-497607B808D1}"/>
    <cellStyle name="Normal 8 4 6 3" xfId="6107" xr:uid="{00000000-0005-0000-0000-0000171E0000}"/>
    <cellStyle name="Normal 8 4 6 3 2" xfId="14557" xr:uid="{AAC18393-0B25-4A65-9DA1-2EFC16458752}"/>
    <cellStyle name="Normal 8 4 6 4" xfId="10339" xr:uid="{7B728AFF-2206-44EE-AAAD-5965B59DDF36}"/>
    <cellStyle name="Normal 8 4 7" xfId="2214" xr:uid="{00000000-0005-0000-0000-0000181E0000}"/>
    <cellStyle name="Normal 8 4 7 2" xfId="4443" xr:uid="{00000000-0005-0000-0000-0000191E0000}"/>
    <cellStyle name="Normal 8 4 7 2 2" xfId="8665" xr:uid="{00000000-0005-0000-0000-00001A1E0000}"/>
    <cellStyle name="Normal 8 4 7 2 2 2" xfId="17115" xr:uid="{A626684E-C7D0-41DB-B928-0EE12B88E61C}"/>
    <cellStyle name="Normal 8 4 7 2 3" xfId="12897" xr:uid="{0D1FD58F-4339-48FE-85EC-B7D06D62FE2C}"/>
    <cellStyle name="Normal 8 4 7 3" xfId="6520" xr:uid="{00000000-0005-0000-0000-00001B1E0000}"/>
    <cellStyle name="Normal 8 4 7 3 2" xfId="14970" xr:uid="{481A7600-9386-4DE3-8D7C-D38D339A1ED3}"/>
    <cellStyle name="Normal 8 4 7 4" xfId="10752" xr:uid="{F7C65C68-291F-4C3F-B1F6-A3A968C28CE9}"/>
    <cellStyle name="Normal 8 4 8" xfId="2650" xr:uid="{00000000-0005-0000-0000-00001C1E0000}"/>
    <cellStyle name="Normal 8 4 8 2" xfId="6933" xr:uid="{00000000-0005-0000-0000-00001D1E0000}"/>
    <cellStyle name="Normal 8 4 8 2 2" xfId="15383" xr:uid="{73F1E145-26E7-4469-8448-B161DE56B4E6}"/>
    <cellStyle name="Normal 8 4 8 3" xfId="11165" xr:uid="{9FBF5C6D-2CC8-4050-83CC-9ACE8D063415}"/>
    <cellStyle name="Normal 8 4 9" xfId="4868" xr:uid="{00000000-0005-0000-0000-00001E1E0000}"/>
    <cellStyle name="Normal 8 4 9 2" xfId="13318" xr:uid="{BD366F3F-230A-4D7C-BD3C-0B240D0ACDCE}"/>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60BEE447-F12B-47F5-9AE4-C43340434039}"/>
    <cellStyle name="Normal 8 5 2 2 2 3" xfId="11663" xr:uid="{7A4739B5-6605-429C-8CAB-F25B23D2E1E4}"/>
    <cellStyle name="Normal 8 5 2 2 3" xfId="5286" xr:uid="{00000000-0005-0000-0000-0000241E0000}"/>
    <cellStyle name="Normal 8 5 2 2 3 2" xfId="13736" xr:uid="{03583FC9-B332-4393-8CC5-686E90389842}"/>
    <cellStyle name="Normal 8 5 2 2 4" xfId="9518" xr:uid="{A9ED9DF0-A93D-40CB-97F3-98D99C3D627D}"/>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9EA8AA4C-1C4B-4541-B186-D6834EBF3844}"/>
    <cellStyle name="Normal 8 5 2 3 2 3" xfId="12076" xr:uid="{6D1E1868-337F-42CD-BC66-1B042B73822C}"/>
    <cellStyle name="Normal 8 5 2 3 3" xfId="5699" xr:uid="{00000000-0005-0000-0000-0000281E0000}"/>
    <cellStyle name="Normal 8 5 2 3 3 2" xfId="14149" xr:uid="{9F7F1E48-304E-49D5-9F60-D3003045E7DB}"/>
    <cellStyle name="Normal 8 5 2 3 4" xfId="9931" xr:uid="{4E95A8EF-C3C5-4868-A487-8A181846B17C}"/>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90B1B6A7-3966-4F42-B099-E88BB63B809C}"/>
    <cellStyle name="Normal 8 5 2 4 2 3" xfId="12489" xr:uid="{EC0A9FFD-FA98-4AF0-9B5F-EAB5F5805BFB}"/>
    <cellStyle name="Normal 8 5 2 4 3" xfId="6112" xr:uid="{00000000-0005-0000-0000-00002C1E0000}"/>
    <cellStyle name="Normal 8 5 2 4 3 2" xfId="14562" xr:uid="{94F414EE-7F92-4DA0-8F22-4ECFBF6FD3FE}"/>
    <cellStyle name="Normal 8 5 2 4 4" xfId="10344" xr:uid="{1618221E-C74D-4DBD-8322-42122B8F136A}"/>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5B242DA0-518B-401C-802B-264737415C24}"/>
    <cellStyle name="Normal 8 5 2 5 2 3" xfId="12902" xr:uid="{72F511DA-C148-41BA-B5B8-0DFBC8657303}"/>
    <cellStyle name="Normal 8 5 2 5 3" xfId="6525" xr:uid="{00000000-0005-0000-0000-0000301E0000}"/>
    <cellStyle name="Normal 8 5 2 5 3 2" xfId="14975" xr:uid="{723E7197-A5D7-4FBC-A208-6ECBA09DBB2F}"/>
    <cellStyle name="Normal 8 5 2 5 4" xfId="10757" xr:uid="{6FE55EC4-D22F-4E49-ACA7-5B4184A9048A}"/>
    <cellStyle name="Normal 8 5 2 6" xfId="2655" xr:uid="{00000000-0005-0000-0000-0000311E0000}"/>
    <cellStyle name="Normal 8 5 2 6 2" xfId="6938" xr:uid="{00000000-0005-0000-0000-0000321E0000}"/>
    <cellStyle name="Normal 8 5 2 6 2 2" xfId="15388" xr:uid="{2E9828CA-D8E1-4567-8F1F-14CE3BA86130}"/>
    <cellStyle name="Normal 8 5 2 6 3" xfId="11170" xr:uid="{7321DFE8-0D72-4417-B807-FE36FFB24077}"/>
    <cellStyle name="Normal 8 5 2 7" xfId="4873" xr:uid="{00000000-0005-0000-0000-0000331E0000}"/>
    <cellStyle name="Normal 8 5 2 7 2" xfId="13323" xr:uid="{3E7FC2A4-2DB5-471C-A538-9D684B898011}"/>
    <cellStyle name="Normal 8 5 2 8" xfId="9105" xr:uid="{D5CC2008-06AA-4574-84AD-BDF0815AF313}"/>
    <cellStyle name="Normal 8 5 3" xfId="974" xr:uid="{00000000-0005-0000-0000-0000341E0000}"/>
    <cellStyle name="Normal 8 5 3 2" xfId="3208" xr:uid="{00000000-0005-0000-0000-0000351E0000}"/>
    <cellStyle name="Normal 8 5 3 2 2" xfId="7430" xr:uid="{00000000-0005-0000-0000-0000361E0000}"/>
    <cellStyle name="Normal 8 5 3 2 2 2" xfId="15880" xr:uid="{5ACB3E1F-3A5F-4563-883B-081ED8684586}"/>
    <cellStyle name="Normal 8 5 3 2 3" xfId="11662" xr:uid="{5C0D8310-F031-48B9-84AD-8E5FA44BC538}"/>
    <cellStyle name="Normal 8 5 3 3" xfId="5285" xr:uid="{00000000-0005-0000-0000-0000371E0000}"/>
    <cellStyle name="Normal 8 5 3 3 2" xfId="13735" xr:uid="{2C9C1291-B7E3-4900-A30C-1CF32CE8EAC2}"/>
    <cellStyle name="Normal 8 5 3 4" xfId="9517" xr:uid="{DABCD9E0-2BC0-40E7-95F4-8BEB55A617DB}"/>
    <cellStyle name="Normal 8 5 4" xfId="1391" xr:uid="{00000000-0005-0000-0000-0000381E0000}"/>
    <cellStyle name="Normal 8 5 4 2" xfId="3621" xr:uid="{00000000-0005-0000-0000-0000391E0000}"/>
    <cellStyle name="Normal 8 5 4 2 2" xfId="7843" xr:uid="{00000000-0005-0000-0000-00003A1E0000}"/>
    <cellStyle name="Normal 8 5 4 2 2 2" xfId="16293" xr:uid="{669AAE57-5662-4D51-900E-B88E0BC0CD20}"/>
    <cellStyle name="Normal 8 5 4 2 3" xfId="12075" xr:uid="{53269E0B-2B06-455F-A799-1EAF89298D90}"/>
    <cellStyle name="Normal 8 5 4 3" xfId="5698" xr:uid="{00000000-0005-0000-0000-00003B1E0000}"/>
    <cellStyle name="Normal 8 5 4 3 2" xfId="14148" xr:uid="{31CDB05D-E90A-4DA5-AE2B-0155A5F88BB6}"/>
    <cellStyle name="Normal 8 5 4 4" xfId="9930" xr:uid="{D2013188-0331-4AC9-93A5-BE36DB5B9335}"/>
    <cellStyle name="Normal 8 5 5" xfId="1804" xr:uid="{00000000-0005-0000-0000-00003C1E0000}"/>
    <cellStyle name="Normal 8 5 5 2" xfId="4034" xr:uid="{00000000-0005-0000-0000-00003D1E0000}"/>
    <cellStyle name="Normal 8 5 5 2 2" xfId="8256" xr:uid="{00000000-0005-0000-0000-00003E1E0000}"/>
    <cellStyle name="Normal 8 5 5 2 2 2" xfId="16706" xr:uid="{DA952D30-9FB2-4C55-83A8-4C034FF270C7}"/>
    <cellStyle name="Normal 8 5 5 2 3" xfId="12488" xr:uid="{F8184F55-B3FE-4EA4-AD58-2FAC83C7F551}"/>
    <cellStyle name="Normal 8 5 5 3" xfId="6111" xr:uid="{00000000-0005-0000-0000-00003F1E0000}"/>
    <cellStyle name="Normal 8 5 5 3 2" xfId="14561" xr:uid="{DE7F2D0B-32D8-41ED-A12F-B854AB3E9200}"/>
    <cellStyle name="Normal 8 5 5 4" xfId="10343" xr:uid="{5A557C06-CD62-46CB-999A-0F21CBE9BAD0}"/>
    <cellStyle name="Normal 8 5 6" xfId="2218" xr:uid="{00000000-0005-0000-0000-0000401E0000}"/>
    <cellStyle name="Normal 8 5 6 2" xfId="4447" xr:uid="{00000000-0005-0000-0000-0000411E0000}"/>
    <cellStyle name="Normal 8 5 6 2 2" xfId="8669" xr:uid="{00000000-0005-0000-0000-0000421E0000}"/>
    <cellStyle name="Normal 8 5 6 2 2 2" xfId="17119" xr:uid="{2BAA52EE-6648-4F30-8395-E37770BE509D}"/>
    <cellStyle name="Normal 8 5 6 2 3" xfId="12901" xr:uid="{4687BE8F-1A80-4A7B-BA7C-56FEAA00CCE7}"/>
    <cellStyle name="Normal 8 5 6 3" xfId="6524" xr:uid="{00000000-0005-0000-0000-0000431E0000}"/>
    <cellStyle name="Normal 8 5 6 3 2" xfId="14974" xr:uid="{52F64BD3-E815-4055-B3AB-61824447771B}"/>
    <cellStyle name="Normal 8 5 6 4" xfId="10756" xr:uid="{05DAB4CA-A680-486E-884E-3EA45967FB53}"/>
    <cellStyle name="Normal 8 5 7" xfId="2654" xr:uid="{00000000-0005-0000-0000-0000441E0000}"/>
    <cellStyle name="Normal 8 5 7 2" xfId="6937" xr:uid="{00000000-0005-0000-0000-0000451E0000}"/>
    <cellStyle name="Normal 8 5 7 2 2" xfId="15387" xr:uid="{C8909362-FACF-4103-BA0A-D56EF3485932}"/>
    <cellStyle name="Normal 8 5 7 3" xfId="11169" xr:uid="{0E3DC800-5253-43F4-91C1-424789A2135E}"/>
    <cellStyle name="Normal 8 5 8" xfId="4872" xr:uid="{00000000-0005-0000-0000-0000461E0000}"/>
    <cellStyle name="Normal 8 5 8 2" xfId="13322" xr:uid="{34D793A4-05F8-4DBB-AD5C-0F5CD5C308E5}"/>
    <cellStyle name="Normal 8 5 9" xfId="9104" xr:uid="{199F3259-881D-46D6-8415-12A8E4C40D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A31404AE-BBCE-4BD3-9E2C-16B3A50208E9}"/>
    <cellStyle name="Normal 8 6 2 2 3" xfId="11664" xr:uid="{9728DA94-4C26-48AB-BE59-43A33C5ADAC7}"/>
    <cellStyle name="Normal 8 6 2 3" xfId="5287" xr:uid="{00000000-0005-0000-0000-00004B1E0000}"/>
    <cellStyle name="Normal 8 6 2 3 2" xfId="13737" xr:uid="{244A6851-D769-4861-BE79-66D8B0D4ECAB}"/>
    <cellStyle name="Normal 8 6 2 4" xfId="9519" xr:uid="{334C16BE-D58A-4010-B237-30A5BDED7A9E}"/>
    <cellStyle name="Normal 8 6 3" xfId="1393" xr:uid="{00000000-0005-0000-0000-00004C1E0000}"/>
    <cellStyle name="Normal 8 6 3 2" xfId="3623" xr:uid="{00000000-0005-0000-0000-00004D1E0000}"/>
    <cellStyle name="Normal 8 6 3 2 2" xfId="7845" xr:uid="{00000000-0005-0000-0000-00004E1E0000}"/>
    <cellStyle name="Normal 8 6 3 2 2 2" xfId="16295" xr:uid="{ADD97EF3-74B8-4070-B08D-7666547C660D}"/>
    <cellStyle name="Normal 8 6 3 2 3" xfId="12077" xr:uid="{B111EC25-97D1-4455-B470-B777D3A78A75}"/>
    <cellStyle name="Normal 8 6 3 3" xfId="5700" xr:uid="{00000000-0005-0000-0000-00004F1E0000}"/>
    <cellStyle name="Normal 8 6 3 3 2" xfId="14150" xr:uid="{1B61E880-AA64-4345-B94C-8F0EADD4DFCD}"/>
    <cellStyle name="Normal 8 6 3 4" xfId="9932" xr:uid="{61115738-3F2A-4C2C-A96B-A4E6D54BC61E}"/>
    <cellStyle name="Normal 8 6 4" xfId="1806" xr:uid="{00000000-0005-0000-0000-0000501E0000}"/>
    <cellStyle name="Normal 8 6 4 2" xfId="4036" xr:uid="{00000000-0005-0000-0000-0000511E0000}"/>
    <cellStyle name="Normal 8 6 4 2 2" xfId="8258" xr:uid="{00000000-0005-0000-0000-0000521E0000}"/>
    <cellStyle name="Normal 8 6 4 2 2 2" xfId="16708" xr:uid="{D3E1D7A0-1FDA-4E9C-A36B-A3F1B9C1923A}"/>
    <cellStyle name="Normal 8 6 4 2 3" xfId="12490" xr:uid="{1F13859C-B7F9-4233-8ACA-6E5FDCD55375}"/>
    <cellStyle name="Normal 8 6 4 3" xfId="6113" xr:uid="{00000000-0005-0000-0000-0000531E0000}"/>
    <cellStyle name="Normal 8 6 4 3 2" xfId="14563" xr:uid="{3A13FCF7-4C08-4AC8-9A2F-6D5EC290A4D6}"/>
    <cellStyle name="Normal 8 6 4 4" xfId="10345" xr:uid="{F8611914-38D1-47E2-A0D5-2964AF83B1C5}"/>
    <cellStyle name="Normal 8 6 5" xfId="2220" xr:uid="{00000000-0005-0000-0000-0000541E0000}"/>
    <cellStyle name="Normal 8 6 5 2" xfId="4449" xr:uid="{00000000-0005-0000-0000-0000551E0000}"/>
    <cellStyle name="Normal 8 6 5 2 2" xfId="8671" xr:uid="{00000000-0005-0000-0000-0000561E0000}"/>
    <cellStyle name="Normal 8 6 5 2 2 2" xfId="17121" xr:uid="{19747B35-BC31-400D-963E-12E600FBF908}"/>
    <cellStyle name="Normal 8 6 5 2 3" xfId="12903" xr:uid="{BB2766FE-5C47-4EFB-9015-2C43CBD0D2A4}"/>
    <cellStyle name="Normal 8 6 5 3" xfId="6526" xr:uid="{00000000-0005-0000-0000-0000571E0000}"/>
    <cellStyle name="Normal 8 6 5 3 2" xfId="14976" xr:uid="{56213AA3-9CEC-4818-86F6-88D456F09117}"/>
    <cellStyle name="Normal 8 6 5 4" xfId="10758" xr:uid="{0AF6E4BD-83C4-409C-BBAD-619534D6E01E}"/>
    <cellStyle name="Normal 8 6 6" xfId="2656" xr:uid="{00000000-0005-0000-0000-0000581E0000}"/>
    <cellStyle name="Normal 8 6 6 2" xfId="6939" xr:uid="{00000000-0005-0000-0000-0000591E0000}"/>
    <cellStyle name="Normal 8 6 6 2 2" xfId="15389" xr:uid="{D5463518-BABB-4404-9FBF-5C62BA341352}"/>
    <cellStyle name="Normal 8 6 6 3" xfId="11171" xr:uid="{C8E6AE89-748E-418A-A5D7-EB9F802D1717}"/>
    <cellStyle name="Normal 8 6 7" xfId="4874" xr:uid="{00000000-0005-0000-0000-00005A1E0000}"/>
    <cellStyle name="Normal 8 6 7 2" xfId="13324" xr:uid="{1AE8C274-F5B7-4D71-9697-3C58389C93E9}"/>
    <cellStyle name="Normal 8 6 8" xfId="9106" xr:uid="{41FB30E0-5098-47BE-A264-73ED685171C7}"/>
    <cellStyle name="Normal 8 7" xfId="945" xr:uid="{00000000-0005-0000-0000-00005B1E0000}"/>
    <cellStyle name="Normal 8 7 2" xfId="3179" xr:uid="{00000000-0005-0000-0000-00005C1E0000}"/>
    <cellStyle name="Normal 8 7 2 2" xfId="7401" xr:uid="{00000000-0005-0000-0000-00005D1E0000}"/>
    <cellStyle name="Normal 8 7 2 2 2" xfId="15851" xr:uid="{420449D7-A26A-4329-A869-133233030C8C}"/>
    <cellStyle name="Normal 8 7 2 3" xfId="11633" xr:uid="{690F3CA1-24D9-4400-B431-6FC234B6360F}"/>
    <cellStyle name="Normal 8 7 3" xfId="5256" xr:uid="{00000000-0005-0000-0000-00005E1E0000}"/>
    <cellStyle name="Normal 8 7 3 2" xfId="13706" xr:uid="{C36EF97A-4A21-4A15-B64B-FA887E2C2E95}"/>
    <cellStyle name="Normal 8 7 4" xfId="9488" xr:uid="{B38B9B9B-C917-43A1-A68E-A51EC61E9744}"/>
    <cellStyle name="Normal 8 8" xfId="1362" xr:uid="{00000000-0005-0000-0000-00005F1E0000}"/>
    <cellStyle name="Normal 8 8 2" xfId="3592" xr:uid="{00000000-0005-0000-0000-0000601E0000}"/>
    <cellStyle name="Normal 8 8 2 2" xfId="7814" xr:uid="{00000000-0005-0000-0000-0000611E0000}"/>
    <cellStyle name="Normal 8 8 2 2 2" xfId="16264" xr:uid="{F899945D-74D3-4312-A37D-19888077F0FF}"/>
    <cellStyle name="Normal 8 8 2 3" xfId="12046" xr:uid="{F6BC6DD7-A9E3-4760-9948-F3D5DDC32942}"/>
    <cellStyle name="Normal 8 8 3" xfId="5669" xr:uid="{00000000-0005-0000-0000-0000621E0000}"/>
    <cellStyle name="Normal 8 8 3 2" xfId="14119" xr:uid="{F6167BF1-250E-4571-90D7-DD076B314D60}"/>
    <cellStyle name="Normal 8 8 4" xfId="9901" xr:uid="{8261C047-7571-41BC-9D10-A784A1BF5D5B}"/>
    <cellStyle name="Normal 8 9" xfId="1775" xr:uid="{00000000-0005-0000-0000-0000631E0000}"/>
    <cellStyle name="Normal 8 9 2" xfId="4005" xr:uid="{00000000-0005-0000-0000-0000641E0000}"/>
    <cellStyle name="Normal 8 9 2 2" xfId="8227" xr:uid="{00000000-0005-0000-0000-0000651E0000}"/>
    <cellStyle name="Normal 8 9 2 2 2" xfId="16677" xr:uid="{36D422DC-4EE7-4725-8B61-259C008F97DA}"/>
    <cellStyle name="Normal 8 9 2 3" xfId="12459" xr:uid="{A1DE9ED8-9345-4A35-BDEA-B6EC4BD96381}"/>
    <cellStyle name="Normal 8 9 3" xfId="6082" xr:uid="{00000000-0005-0000-0000-0000661E0000}"/>
    <cellStyle name="Normal 8 9 3 2" xfId="14532" xr:uid="{A404F42F-C0DF-40CF-BCB7-1FE6E3C43436}"/>
    <cellStyle name="Normal 8 9 4" xfId="10314" xr:uid="{0161F7F9-2013-4123-A680-6F0DDA90BDF2}"/>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3BC5BC78-BFA3-4015-A1DC-BFA9E03CE412}"/>
    <cellStyle name="Normal 9 2 10 3" xfId="11172" xr:uid="{F2570147-03AD-412D-ABDC-185F79E6C3F6}"/>
    <cellStyle name="Normal 9 2 11" xfId="4875" xr:uid="{00000000-0005-0000-0000-00006B1E0000}"/>
    <cellStyle name="Normal 9 2 11 2" xfId="13325" xr:uid="{73665EEF-5C78-4AF9-9BC3-A1FC257485DD}"/>
    <cellStyle name="Normal 9 2 12" xfId="9107" xr:uid="{EC4AA7EA-EC26-4D69-AC46-315FB691A4D4}"/>
    <cellStyle name="Normal 9 2 2" xfId="512" xr:uid="{00000000-0005-0000-0000-00006C1E0000}"/>
    <cellStyle name="Normal 9 2 2 10" xfId="4876" xr:uid="{00000000-0005-0000-0000-00006D1E0000}"/>
    <cellStyle name="Normal 9 2 2 10 2" xfId="13326" xr:uid="{5AB5440D-1E9F-4CD3-8CB6-A8D5C8940F01}"/>
    <cellStyle name="Normal 9 2 2 11" xfId="9108" xr:uid="{60F9C2BC-D7BE-4113-B557-EFB809E5C1A1}"/>
    <cellStyle name="Normal 9 2 2 2" xfId="513" xr:uid="{00000000-0005-0000-0000-00006E1E0000}"/>
    <cellStyle name="Normal 9 2 2 2 10" xfId="9109" xr:uid="{1B93EF75-E41E-4C3A-983E-0BE3FFA9AF52}"/>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041A50EC-41F2-42F3-A338-D5630A524FD3}"/>
    <cellStyle name="Normal 9 2 2 2 2 2 2 2 3" xfId="11669" xr:uid="{0BE0CDEF-66D9-4C89-83D7-752D8481D9D9}"/>
    <cellStyle name="Normal 9 2 2 2 2 2 2 3" xfId="5292" xr:uid="{00000000-0005-0000-0000-0000741E0000}"/>
    <cellStyle name="Normal 9 2 2 2 2 2 2 3 2" xfId="13742" xr:uid="{261D87A9-B0D6-44E0-9913-B9454641F3AD}"/>
    <cellStyle name="Normal 9 2 2 2 2 2 2 4" xfId="9524" xr:uid="{667C3A9A-64BD-4786-AC5F-2AE6072C398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194ECEDF-1204-40A3-B4C2-DBECA822BEC0}"/>
    <cellStyle name="Normal 9 2 2 2 2 2 3 2 3" xfId="12082" xr:uid="{235A9161-CB0B-4116-B94E-36AC728ED178}"/>
    <cellStyle name="Normal 9 2 2 2 2 2 3 3" xfId="5705" xr:uid="{00000000-0005-0000-0000-0000781E0000}"/>
    <cellStyle name="Normal 9 2 2 2 2 2 3 3 2" xfId="14155" xr:uid="{43F5066E-C4B8-4B8A-A067-096BC67BF3C4}"/>
    <cellStyle name="Normal 9 2 2 2 2 2 3 4" xfId="9937" xr:uid="{DA06AA7D-3D83-46D7-B009-7938514BC536}"/>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46ED6296-D1AD-432B-BDB5-C3D51AE245C9}"/>
    <cellStyle name="Normal 9 2 2 2 2 2 4 2 3" xfId="12495" xr:uid="{FE498BAA-9CE7-4154-B392-0F0509E813DA}"/>
    <cellStyle name="Normal 9 2 2 2 2 2 4 3" xfId="6118" xr:uid="{00000000-0005-0000-0000-00007C1E0000}"/>
    <cellStyle name="Normal 9 2 2 2 2 2 4 3 2" xfId="14568" xr:uid="{8C220189-EA69-4386-A2DD-E8A5F88984F4}"/>
    <cellStyle name="Normal 9 2 2 2 2 2 4 4" xfId="10350" xr:uid="{975B2077-80BB-44AC-9483-0738F8481BB1}"/>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2AF29DD9-F5FA-494C-B8EF-DFA84AF00C2B}"/>
    <cellStyle name="Normal 9 2 2 2 2 2 5 2 3" xfId="12908" xr:uid="{7230A75A-ED68-4883-BA81-8C09E40CF19D}"/>
    <cellStyle name="Normal 9 2 2 2 2 2 5 3" xfId="6531" xr:uid="{00000000-0005-0000-0000-0000801E0000}"/>
    <cellStyle name="Normal 9 2 2 2 2 2 5 3 2" xfId="14981" xr:uid="{3E0E698B-865F-406A-8AD5-4888717E62E4}"/>
    <cellStyle name="Normal 9 2 2 2 2 2 5 4" xfId="10763" xr:uid="{00779B1D-813C-49C5-B29F-328ED953DB75}"/>
    <cellStyle name="Normal 9 2 2 2 2 2 6" xfId="2661" xr:uid="{00000000-0005-0000-0000-0000811E0000}"/>
    <cellStyle name="Normal 9 2 2 2 2 2 6 2" xfId="6944" xr:uid="{00000000-0005-0000-0000-0000821E0000}"/>
    <cellStyle name="Normal 9 2 2 2 2 2 6 2 2" xfId="15394" xr:uid="{32AE94B9-63EB-4FFC-A378-D022E652844D}"/>
    <cellStyle name="Normal 9 2 2 2 2 2 6 3" xfId="11176" xr:uid="{6219BAC7-F1CA-46AA-A727-C9674EA226A4}"/>
    <cellStyle name="Normal 9 2 2 2 2 2 7" xfId="4879" xr:uid="{00000000-0005-0000-0000-0000831E0000}"/>
    <cellStyle name="Normal 9 2 2 2 2 2 7 2" xfId="13329" xr:uid="{D895938E-BEA4-4439-9DAE-88988B36E2C7}"/>
    <cellStyle name="Normal 9 2 2 2 2 2 8" xfId="9111" xr:uid="{95C10A72-51F2-402D-9F6F-168FF3CF442E}"/>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7B97A68E-22BC-4784-865D-9F4635C52398}"/>
    <cellStyle name="Normal 9 2 2 2 2 3 2 3" xfId="11668" xr:uid="{54713FBF-EAE9-4DF7-8557-36025E3D7582}"/>
    <cellStyle name="Normal 9 2 2 2 2 3 3" xfId="5291" xr:uid="{00000000-0005-0000-0000-0000871E0000}"/>
    <cellStyle name="Normal 9 2 2 2 2 3 3 2" xfId="13741" xr:uid="{BC84FA47-2274-4FA0-8BC8-8A81D2608279}"/>
    <cellStyle name="Normal 9 2 2 2 2 3 4" xfId="9523" xr:uid="{7AD97E80-46CB-41BB-8B87-A5C4C2CA6A0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E5E8811D-7958-4F0B-A6B5-0CB44790D99E}"/>
    <cellStyle name="Normal 9 2 2 2 2 4 2 3" xfId="12081" xr:uid="{17F894AA-A467-4F07-9086-2E55EC3287ED}"/>
    <cellStyle name="Normal 9 2 2 2 2 4 3" xfId="5704" xr:uid="{00000000-0005-0000-0000-00008B1E0000}"/>
    <cellStyle name="Normal 9 2 2 2 2 4 3 2" xfId="14154" xr:uid="{6D7B3710-1542-43E4-8685-BC7325887A23}"/>
    <cellStyle name="Normal 9 2 2 2 2 4 4" xfId="9936" xr:uid="{1F5DFB31-E6AE-4ED2-8C07-98FBA76640EA}"/>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E8F5F86A-A1FD-48D6-A568-9BDFCF0DCFE3}"/>
    <cellStyle name="Normal 9 2 2 2 2 5 2 3" xfId="12494" xr:uid="{D92DA06C-17DF-4E9F-939E-2DA4838BE140}"/>
    <cellStyle name="Normal 9 2 2 2 2 5 3" xfId="6117" xr:uid="{00000000-0005-0000-0000-00008F1E0000}"/>
    <cellStyle name="Normal 9 2 2 2 2 5 3 2" xfId="14567" xr:uid="{673C3BAD-F2FB-4A7B-9C7C-F05968885F1A}"/>
    <cellStyle name="Normal 9 2 2 2 2 5 4" xfId="10349" xr:uid="{F19D7313-1D2F-4E39-8525-DA69F0C973DB}"/>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D8095CF5-1509-4FF2-A5F1-AE129D3F8040}"/>
    <cellStyle name="Normal 9 2 2 2 2 6 2 3" xfId="12907" xr:uid="{01826E26-76E5-40B0-9C12-7E4A741A2A23}"/>
    <cellStyle name="Normal 9 2 2 2 2 6 3" xfId="6530" xr:uid="{00000000-0005-0000-0000-0000931E0000}"/>
    <cellStyle name="Normal 9 2 2 2 2 6 3 2" xfId="14980" xr:uid="{459F0D51-083B-4B7E-9E30-412C8F32F29D}"/>
    <cellStyle name="Normal 9 2 2 2 2 6 4" xfId="10762" xr:uid="{8641640F-94B8-4336-8DD8-AB95E449D13A}"/>
    <cellStyle name="Normal 9 2 2 2 2 7" xfId="2660" xr:uid="{00000000-0005-0000-0000-0000941E0000}"/>
    <cellStyle name="Normal 9 2 2 2 2 7 2" xfId="6943" xr:uid="{00000000-0005-0000-0000-0000951E0000}"/>
    <cellStyle name="Normal 9 2 2 2 2 7 2 2" xfId="15393" xr:uid="{38112804-50AC-4AAE-9C45-3CDD961C6C89}"/>
    <cellStyle name="Normal 9 2 2 2 2 7 3" xfId="11175" xr:uid="{C3A36EA8-F31F-4A1B-B9EE-5CF86F51B5BA}"/>
    <cellStyle name="Normal 9 2 2 2 2 8" xfId="4878" xr:uid="{00000000-0005-0000-0000-0000961E0000}"/>
    <cellStyle name="Normal 9 2 2 2 2 8 2" xfId="13328" xr:uid="{90ACEAC3-29F2-460C-9A78-807061A3C608}"/>
    <cellStyle name="Normal 9 2 2 2 2 9" xfId="9110" xr:uid="{4DDEAA44-BB76-43B2-918A-849540EBE5FC}"/>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351DAA39-C131-48BC-A2A3-F1C64B26754E}"/>
    <cellStyle name="Normal 9 2 2 2 3 2 2 3" xfId="11670" xr:uid="{0AD97BDD-AA3F-427C-BCD3-A71AEA85974C}"/>
    <cellStyle name="Normal 9 2 2 2 3 2 3" xfId="5293" xr:uid="{00000000-0005-0000-0000-00009B1E0000}"/>
    <cellStyle name="Normal 9 2 2 2 3 2 3 2" xfId="13743" xr:uid="{CA5D09B6-31FD-4AF0-A05F-D2C7943A548F}"/>
    <cellStyle name="Normal 9 2 2 2 3 2 4" xfId="9525" xr:uid="{8E53FB63-5FF7-4B05-AC38-4032DB9EA99E}"/>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4EC67EB1-3DF1-496F-BC39-F742B8A74669}"/>
    <cellStyle name="Normal 9 2 2 2 3 3 2 3" xfId="12083" xr:uid="{F09BC580-8CD2-467C-805D-0FCA5F3BCA7C}"/>
    <cellStyle name="Normal 9 2 2 2 3 3 3" xfId="5706" xr:uid="{00000000-0005-0000-0000-00009F1E0000}"/>
    <cellStyle name="Normal 9 2 2 2 3 3 3 2" xfId="14156" xr:uid="{F4FB7293-5D5C-4339-A236-1424925C8C3E}"/>
    <cellStyle name="Normal 9 2 2 2 3 3 4" xfId="9938" xr:uid="{3A54E7BC-5661-45E7-A6F4-F4C8F2A9070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A865133E-0066-43C1-97BC-2DCF7E056296}"/>
    <cellStyle name="Normal 9 2 2 2 3 4 2 3" xfId="12496" xr:uid="{32DEC546-46F9-49B3-963A-FB1420910CBD}"/>
    <cellStyle name="Normal 9 2 2 2 3 4 3" xfId="6119" xr:uid="{00000000-0005-0000-0000-0000A31E0000}"/>
    <cellStyle name="Normal 9 2 2 2 3 4 3 2" xfId="14569" xr:uid="{C7E8F42A-5CCD-4896-8C7F-84F251CE959C}"/>
    <cellStyle name="Normal 9 2 2 2 3 4 4" xfId="10351" xr:uid="{D3E0C1B0-1B51-47F6-9BED-B0D41F88EE4F}"/>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28E56744-B06C-49FE-A749-0957A88DD071}"/>
    <cellStyle name="Normal 9 2 2 2 3 5 2 3" xfId="12909" xr:uid="{2AE6DF0B-44E1-4080-93A6-A51729716E5A}"/>
    <cellStyle name="Normal 9 2 2 2 3 5 3" xfId="6532" xr:uid="{00000000-0005-0000-0000-0000A71E0000}"/>
    <cellStyle name="Normal 9 2 2 2 3 5 3 2" xfId="14982" xr:uid="{CB66E46E-AE26-4A8D-9522-87983DAEBE30}"/>
    <cellStyle name="Normal 9 2 2 2 3 5 4" xfId="10764" xr:uid="{02C9FA7D-77ED-4E0A-8B49-9CC102B29AE4}"/>
    <cellStyle name="Normal 9 2 2 2 3 6" xfId="2662" xr:uid="{00000000-0005-0000-0000-0000A81E0000}"/>
    <cellStyle name="Normal 9 2 2 2 3 6 2" xfId="6945" xr:uid="{00000000-0005-0000-0000-0000A91E0000}"/>
    <cellStyle name="Normal 9 2 2 2 3 6 2 2" xfId="15395" xr:uid="{2C722CDA-B9E4-49B4-868D-BBED79545934}"/>
    <cellStyle name="Normal 9 2 2 2 3 6 3" xfId="11177" xr:uid="{24205EE8-FBA4-47C7-9705-B2EBBFF26774}"/>
    <cellStyle name="Normal 9 2 2 2 3 7" xfId="4880" xr:uid="{00000000-0005-0000-0000-0000AA1E0000}"/>
    <cellStyle name="Normal 9 2 2 2 3 7 2" xfId="13330" xr:uid="{9E55D5C0-EACF-4F33-AA36-AEEC22FAA1FC}"/>
    <cellStyle name="Normal 9 2 2 2 3 8" xfId="9112" xr:uid="{A9D9DA4E-BF1D-4978-B2E7-C74448D66D9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07674B91-6B63-4647-BD2B-2525D9B64A26}"/>
    <cellStyle name="Normal 9 2 2 2 4 2 3" xfId="11667" xr:uid="{6FE856AA-B206-41FE-B6DD-2D593DE0D733}"/>
    <cellStyle name="Normal 9 2 2 2 4 3" xfId="5290" xr:uid="{00000000-0005-0000-0000-0000AE1E0000}"/>
    <cellStyle name="Normal 9 2 2 2 4 3 2" xfId="13740" xr:uid="{BD73037A-0542-4B73-9943-8098D72500AB}"/>
    <cellStyle name="Normal 9 2 2 2 4 4" xfId="9522" xr:uid="{039B964C-1A65-48D7-AE00-D28E441F503F}"/>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305A08F4-8714-496C-8C6E-FA3AC65B9957}"/>
    <cellStyle name="Normal 9 2 2 2 5 2 3" xfId="12080" xr:uid="{348E7033-E99D-4009-B4B6-CD57A5D6FB33}"/>
    <cellStyle name="Normal 9 2 2 2 5 3" xfId="5703" xr:uid="{00000000-0005-0000-0000-0000B21E0000}"/>
    <cellStyle name="Normal 9 2 2 2 5 3 2" xfId="14153" xr:uid="{609987D5-50EA-4D55-B0C3-086A040CA0C8}"/>
    <cellStyle name="Normal 9 2 2 2 5 4" xfId="9935" xr:uid="{187E66DA-00CA-42C6-B29E-021AB7DE30E8}"/>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3372F4B5-532D-4FA6-BBBB-7BEBB8185373}"/>
    <cellStyle name="Normal 9 2 2 2 6 2 3" xfId="12493" xr:uid="{C6594C94-EDA3-4B79-8112-B24746424CD0}"/>
    <cellStyle name="Normal 9 2 2 2 6 3" xfId="6116" xr:uid="{00000000-0005-0000-0000-0000B61E0000}"/>
    <cellStyle name="Normal 9 2 2 2 6 3 2" xfId="14566" xr:uid="{896E57E5-9D2D-475C-9E2F-17C7B85757E8}"/>
    <cellStyle name="Normal 9 2 2 2 6 4" xfId="10348" xr:uid="{6CCC87AE-428F-4BE2-AB60-4AD6DC3906B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436CF5B7-D4B9-4E17-A88E-C0E7DCF51EFD}"/>
    <cellStyle name="Normal 9 2 2 2 7 2 3" xfId="12906" xr:uid="{E0C73359-52C9-4A9D-9F51-6C6FE84C7FD1}"/>
    <cellStyle name="Normal 9 2 2 2 7 3" xfId="6529" xr:uid="{00000000-0005-0000-0000-0000BA1E0000}"/>
    <cellStyle name="Normal 9 2 2 2 7 3 2" xfId="14979" xr:uid="{DDFAE1A5-E30C-4494-80E0-87F6DE6279F1}"/>
    <cellStyle name="Normal 9 2 2 2 7 4" xfId="10761" xr:uid="{2CDCB715-B280-4F2D-B56B-364A27BC217A}"/>
    <cellStyle name="Normal 9 2 2 2 8" xfId="2659" xr:uid="{00000000-0005-0000-0000-0000BB1E0000}"/>
    <cellStyle name="Normal 9 2 2 2 8 2" xfId="6942" xr:uid="{00000000-0005-0000-0000-0000BC1E0000}"/>
    <cellStyle name="Normal 9 2 2 2 8 2 2" xfId="15392" xr:uid="{051A8865-CA9B-4F10-95D4-9BFB5826958A}"/>
    <cellStyle name="Normal 9 2 2 2 8 3" xfId="11174" xr:uid="{72D19193-2CB6-487E-8ED8-6AD5DFC981A1}"/>
    <cellStyle name="Normal 9 2 2 2 9" xfId="4877" xr:uid="{00000000-0005-0000-0000-0000BD1E0000}"/>
    <cellStyle name="Normal 9 2 2 2 9 2" xfId="13327" xr:uid="{7EEC6C8A-987B-47D6-AB81-0C5E37DE0C57}"/>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A42C7810-6C34-4EE8-9D6E-09F42D9577B2}"/>
    <cellStyle name="Normal 9 2 2 3 2 2 2 3" xfId="11672" xr:uid="{116F2686-BA1B-40C2-B387-DC564A112B28}"/>
    <cellStyle name="Normal 9 2 2 3 2 2 3" xfId="5295" xr:uid="{00000000-0005-0000-0000-0000C31E0000}"/>
    <cellStyle name="Normal 9 2 2 3 2 2 3 2" xfId="13745" xr:uid="{14F008F4-A0D1-435D-B296-2EB4DACD9477}"/>
    <cellStyle name="Normal 9 2 2 3 2 2 4" xfId="9527" xr:uid="{A842CA1C-12A1-4DB3-9358-33A68269CB66}"/>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19A669C4-7E81-4EA2-99A6-20DD56227EA5}"/>
    <cellStyle name="Normal 9 2 2 3 2 3 2 3" xfId="12085" xr:uid="{AFA91B37-DD01-431B-A3EA-04528F37D5A4}"/>
    <cellStyle name="Normal 9 2 2 3 2 3 3" xfId="5708" xr:uid="{00000000-0005-0000-0000-0000C71E0000}"/>
    <cellStyle name="Normal 9 2 2 3 2 3 3 2" xfId="14158" xr:uid="{65E2AA96-BDFC-4FF2-B7FC-8E84DF0C40A1}"/>
    <cellStyle name="Normal 9 2 2 3 2 3 4" xfId="9940" xr:uid="{6DF5922D-BE53-4059-A481-B5FB9EF6869D}"/>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85F5EBCA-C19C-4121-9E66-FA45DCFA9505}"/>
    <cellStyle name="Normal 9 2 2 3 2 4 2 3" xfId="12498" xr:uid="{22C72CDC-E837-44A2-872F-8DCCD7F09F05}"/>
    <cellStyle name="Normal 9 2 2 3 2 4 3" xfId="6121" xr:uid="{00000000-0005-0000-0000-0000CB1E0000}"/>
    <cellStyle name="Normal 9 2 2 3 2 4 3 2" xfId="14571" xr:uid="{E25AABD3-8AF9-4AE0-96BF-0C60FE97E00E}"/>
    <cellStyle name="Normal 9 2 2 3 2 4 4" xfId="10353" xr:uid="{BF7121BF-8417-43AE-8CD9-095CE47C61A6}"/>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6A2D440C-4B99-448E-9BB2-E66C02D2A3E0}"/>
    <cellStyle name="Normal 9 2 2 3 2 5 2 3" xfId="12911" xr:uid="{4F0C3068-00FF-4AF1-82CE-3001911AE403}"/>
    <cellStyle name="Normal 9 2 2 3 2 5 3" xfId="6534" xr:uid="{00000000-0005-0000-0000-0000CF1E0000}"/>
    <cellStyle name="Normal 9 2 2 3 2 5 3 2" xfId="14984" xr:uid="{A5A2171D-138D-43B8-98CF-29C6D13C144B}"/>
    <cellStyle name="Normal 9 2 2 3 2 5 4" xfId="10766" xr:uid="{66254DC2-11B7-4325-894A-F7DD49706CEE}"/>
    <cellStyle name="Normal 9 2 2 3 2 6" xfId="2664" xr:uid="{00000000-0005-0000-0000-0000D01E0000}"/>
    <cellStyle name="Normal 9 2 2 3 2 6 2" xfId="6947" xr:uid="{00000000-0005-0000-0000-0000D11E0000}"/>
    <cellStyle name="Normal 9 2 2 3 2 6 2 2" xfId="15397" xr:uid="{D5EC70A5-40F6-47B9-81A7-3CC75317AC24}"/>
    <cellStyle name="Normal 9 2 2 3 2 6 3" xfId="11179" xr:uid="{9A4A5D0D-29FC-469D-A772-5CDD7F85D302}"/>
    <cellStyle name="Normal 9 2 2 3 2 7" xfId="4882" xr:uid="{00000000-0005-0000-0000-0000D21E0000}"/>
    <cellStyle name="Normal 9 2 2 3 2 7 2" xfId="13332" xr:uid="{494DD789-74D9-405E-971A-884514B4E745}"/>
    <cellStyle name="Normal 9 2 2 3 2 8" xfId="9114" xr:uid="{F1A485CB-F5C7-4BFC-8E44-EC06908EEB88}"/>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BBF98C6D-5753-4457-B996-DB1EB5278119}"/>
    <cellStyle name="Normal 9 2 2 3 3 2 3" xfId="11671" xr:uid="{1DC33A2A-8B41-459B-924B-4F0D3D289814}"/>
    <cellStyle name="Normal 9 2 2 3 3 3" xfId="5294" xr:uid="{00000000-0005-0000-0000-0000D61E0000}"/>
    <cellStyle name="Normal 9 2 2 3 3 3 2" xfId="13744" xr:uid="{C2DCD101-3A27-4776-9943-9EFE08FFFAC9}"/>
    <cellStyle name="Normal 9 2 2 3 3 4" xfId="9526" xr:uid="{6F09538A-3E0B-4530-BC72-76EC7325E127}"/>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28B82B30-55F8-4027-8DDC-3B931CA5DA83}"/>
    <cellStyle name="Normal 9 2 2 3 4 2 3" xfId="12084" xr:uid="{9C3E76FB-3168-4632-A492-15CC2E35F473}"/>
    <cellStyle name="Normal 9 2 2 3 4 3" xfId="5707" xr:uid="{00000000-0005-0000-0000-0000DA1E0000}"/>
    <cellStyle name="Normal 9 2 2 3 4 3 2" xfId="14157" xr:uid="{E74BF8A5-A0A4-4578-BB97-69A4C79D7D40}"/>
    <cellStyle name="Normal 9 2 2 3 4 4" xfId="9939" xr:uid="{FB4875D2-5A43-4A0B-8389-8205B5A5330B}"/>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B932A6FA-DF02-4DB0-B836-1D27C9365177}"/>
    <cellStyle name="Normal 9 2 2 3 5 2 3" xfId="12497" xr:uid="{4C18670E-0E66-4AD3-A6CB-D9230F5ADE0D}"/>
    <cellStyle name="Normal 9 2 2 3 5 3" xfId="6120" xr:uid="{00000000-0005-0000-0000-0000DE1E0000}"/>
    <cellStyle name="Normal 9 2 2 3 5 3 2" xfId="14570" xr:uid="{FE84EED8-9D0D-4754-B80C-754B522D9694}"/>
    <cellStyle name="Normal 9 2 2 3 5 4" xfId="10352" xr:uid="{6D4456FA-FD5F-451C-80C0-33A2AF50EA8D}"/>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62A34D42-8007-4EC5-AAA0-9905B69471A5}"/>
    <cellStyle name="Normal 9 2 2 3 6 2 3" xfId="12910" xr:uid="{6FE5A070-3FC6-4D99-BA26-2F3A5FBA359F}"/>
    <cellStyle name="Normal 9 2 2 3 6 3" xfId="6533" xr:uid="{00000000-0005-0000-0000-0000E21E0000}"/>
    <cellStyle name="Normal 9 2 2 3 6 3 2" xfId="14983" xr:uid="{8157744C-B25B-45FE-8B48-236DB406713D}"/>
    <cellStyle name="Normal 9 2 2 3 6 4" xfId="10765" xr:uid="{F97B188B-10E0-4009-93B3-77D663EA1508}"/>
    <cellStyle name="Normal 9 2 2 3 7" xfId="2663" xr:uid="{00000000-0005-0000-0000-0000E31E0000}"/>
    <cellStyle name="Normal 9 2 2 3 7 2" xfId="6946" xr:uid="{00000000-0005-0000-0000-0000E41E0000}"/>
    <cellStyle name="Normal 9 2 2 3 7 2 2" xfId="15396" xr:uid="{9DA54A72-70A3-46F9-AEEF-B3B4CD4F3C83}"/>
    <cellStyle name="Normal 9 2 2 3 7 3" xfId="11178" xr:uid="{63AF0D9A-2732-4A99-9662-C35CEEED7B76}"/>
    <cellStyle name="Normal 9 2 2 3 8" xfId="4881" xr:uid="{00000000-0005-0000-0000-0000E51E0000}"/>
    <cellStyle name="Normal 9 2 2 3 8 2" xfId="13331" xr:uid="{2D4E7766-2564-4675-B59E-589874C77153}"/>
    <cellStyle name="Normal 9 2 2 3 9" xfId="9113" xr:uid="{566F856E-425E-49C2-9033-AA99C2548A4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16BF3686-96B2-4BC9-B15B-A583039BFA6F}"/>
    <cellStyle name="Normal 9 2 2 4 2 2 3" xfId="11673" xr:uid="{3DDE6C8A-F7FB-4CFA-A059-AB405EBE17D4}"/>
    <cellStyle name="Normal 9 2 2 4 2 3" xfId="5296" xr:uid="{00000000-0005-0000-0000-0000EA1E0000}"/>
    <cellStyle name="Normal 9 2 2 4 2 3 2" xfId="13746" xr:uid="{C3267872-ADA4-4E58-9ACD-A7B8EB9052A1}"/>
    <cellStyle name="Normal 9 2 2 4 2 4" xfId="9528" xr:uid="{9FD43008-1F9B-463D-A794-B698FAE4E82D}"/>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E36D51AE-C6AC-46BA-80D9-A1072CE2BE0C}"/>
    <cellStyle name="Normal 9 2 2 4 3 2 3" xfId="12086" xr:uid="{B6D7EF30-2BBB-45E5-9A8E-03B12A281E8D}"/>
    <cellStyle name="Normal 9 2 2 4 3 3" xfId="5709" xr:uid="{00000000-0005-0000-0000-0000EE1E0000}"/>
    <cellStyle name="Normal 9 2 2 4 3 3 2" xfId="14159" xr:uid="{EAA01716-39F2-451D-9E9F-BBB2CD96972B}"/>
    <cellStyle name="Normal 9 2 2 4 3 4" xfId="9941" xr:uid="{AFCAA068-1D79-456B-8E6B-DE99E9E22E88}"/>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8990E2DB-9BF0-45F3-A033-7F5C8ED8D9EA}"/>
    <cellStyle name="Normal 9 2 2 4 4 2 3" xfId="12499" xr:uid="{2D750BDC-C050-4096-872A-3989312E5B1D}"/>
    <cellStyle name="Normal 9 2 2 4 4 3" xfId="6122" xr:uid="{00000000-0005-0000-0000-0000F21E0000}"/>
    <cellStyle name="Normal 9 2 2 4 4 3 2" xfId="14572" xr:uid="{4210C9E4-C567-4242-86F5-39A5E3541727}"/>
    <cellStyle name="Normal 9 2 2 4 4 4" xfId="10354" xr:uid="{C2F5CAA0-5E0D-45E7-ACD6-7BD675CE7C05}"/>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D2AB5B4F-4E71-4B76-8AD2-F13C0E0E7114}"/>
    <cellStyle name="Normal 9 2 2 4 5 2 3" xfId="12912" xr:uid="{B89FA59C-2B31-4EDF-AEC2-8402308ECF58}"/>
    <cellStyle name="Normal 9 2 2 4 5 3" xfId="6535" xr:uid="{00000000-0005-0000-0000-0000F61E0000}"/>
    <cellStyle name="Normal 9 2 2 4 5 3 2" xfId="14985" xr:uid="{178F4D26-C034-427D-98DE-238C028E5DD0}"/>
    <cellStyle name="Normal 9 2 2 4 5 4" xfId="10767" xr:uid="{9B218895-1C86-4E3C-9E41-5406163E3F87}"/>
    <cellStyle name="Normal 9 2 2 4 6" xfId="2665" xr:uid="{00000000-0005-0000-0000-0000F71E0000}"/>
    <cellStyle name="Normal 9 2 2 4 6 2" xfId="6948" xr:uid="{00000000-0005-0000-0000-0000F81E0000}"/>
    <cellStyle name="Normal 9 2 2 4 6 2 2" xfId="15398" xr:uid="{95188798-8F40-40F5-BE36-D137DDF02E7B}"/>
    <cellStyle name="Normal 9 2 2 4 6 3" xfId="11180" xr:uid="{ED8601C3-2410-4739-A531-4A42565F9CB3}"/>
    <cellStyle name="Normal 9 2 2 4 7" xfId="4883" xr:uid="{00000000-0005-0000-0000-0000F91E0000}"/>
    <cellStyle name="Normal 9 2 2 4 7 2" xfId="13333" xr:uid="{C9C03C72-982C-439D-B0A0-1B21FCFFDCE0}"/>
    <cellStyle name="Normal 9 2 2 4 8" xfId="9115" xr:uid="{779774AE-D15B-4919-8C34-25C4562E7714}"/>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6D0C0D79-C4BB-4DB2-9C50-D790AD2540B1}"/>
    <cellStyle name="Normal 9 2 2 5 2 3" xfId="11666" xr:uid="{73392953-D406-41EE-9AED-AC787E2BE6A9}"/>
    <cellStyle name="Normal 9 2 2 5 3" xfId="5289" xr:uid="{00000000-0005-0000-0000-0000FD1E0000}"/>
    <cellStyle name="Normal 9 2 2 5 3 2" xfId="13739" xr:uid="{A3BA4C3A-885E-4FBF-8702-BD27EBD7196F}"/>
    <cellStyle name="Normal 9 2 2 5 4" xfId="9521" xr:uid="{79E8E730-1781-4857-B7A2-4D3FF3153F9D}"/>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8460FCD7-5D2C-4D7D-A5AF-D28DE8509F01}"/>
    <cellStyle name="Normal 9 2 2 6 2 3" xfId="12079" xr:uid="{3B692786-6F9A-4EBE-92A3-56571C6A876D}"/>
    <cellStyle name="Normal 9 2 2 6 3" xfId="5702" xr:uid="{00000000-0005-0000-0000-0000011F0000}"/>
    <cellStyle name="Normal 9 2 2 6 3 2" xfId="14152" xr:uid="{3E4D4FC2-F827-400D-87F1-C8AD030C3B67}"/>
    <cellStyle name="Normal 9 2 2 6 4" xfId="9934" xr:uid="{5D853A82-8C80-4680-9E6F-A4A37406DFB8}"/>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DB3F854C-57D1-4365-B279-2E7F0573E27C}"/>
    <cellStyle name="Normal 9 2 2 7 2 3" xfId="12492" xr:uid="{35BE4D64-68A6-483C-90F1-5FE2F4660571}"/>
    <cellStyle name="Normal 9 2 2 7 3" xfId="6115" xr:uid="{00000000-0005-0000-0000-0000051F0000}"/>
    <cellStyle name="Normal 9 2 2 7 3 2" xfId="14565" xr:uid="{79742882-64A0-453E-B1AB-A4DAB8FA0198}"/>
    <cellStyle name="Normal 9 2 2 7 4" xfId="10347" xr:uid="{0535D883-33A7-4C9D-BE1C-34AB2DF89317}"/>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04F1E3BA-99CF-4602-9617-82B818033358}"/>
    <cellStyle name="Normal 9 2 2 8 2 3" xfId="12905" xr:uid="{7ABACAC0-BA4A-44A5-82E7-814FFC67A994}"/>
    <cellStyle name="Normal 9 2 2 8 3" xfId="6528" xr:uid="{00000000-0005-0000-0000-0000091F0000}"/>
    <cellStyle name="Normal 9 2 2 8 3 2" xfId="14978" xr:uid="{A52FB905-D276-4C7B-95DB-C33B95182B50}"/>
    <cellStyle name="Normal 9 2 2 8 4" xfId="10760" xr:uid="{18BD12AC-0D80-4A20-8064-2A70EB74605E}"/>
    <cellStyle name="Normal 9 2 2 9" xfId="2658" xr:uid="{00000000-0005-0000-0000-00000A1F0000}"/>
    <cellStyle name="Normal 9 2 2 9 2" xfId="6941" xr:uid="{00000000-0005-0000-0000-00000B1F0000}"/>
    <cellStyle name="Normal 9 2 2 9 2 2" xfId="15391" xr:uid="{1F599769-2300-4D3C-8F42-6186D4DD1B80}"/>
    <cellStyle name="Normal 9 2 2 9 3" xfId="11173" xr:uid="{839D53A3-4DBF-4E4F-AFF4-DF74CEDAEA49}"/>
    <cellStyle name="Normal 9 2 3" xfId="520" xr:uid="{00000000-0005-0000-0000-00000C1F0000}"/>
    <cellStyle name="Normal 9 2 3 10" xfId="9116" xr:uid="{560FE108-F683-4A9E-9C3A-BA7FB384339A}"/>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2A05F7CB-16F9-46FF-A998-6E85D0CD9241}"/>
    <cellStyle name="Normal 9 2 3 2 2 2 2 3" xfId="11676" xr:uid="{289261FE-D0E1-4368-9961-1B935BBF20D8}"/>
    <cellStyle name="Normal 9 2 3 2 2 2 3" xfId="5299" xr:uid="{00000000-0005-0000-0000-0000121F0000}"/>
    <cellStyle name="Normal 9 2 3 2 2 2 3 2" xfId="13749" xr:uid="{C634F309-CFA9-4E4A-A123-471B910D067C}"/>
    <cellStyle name="Normal 9 2 3 2 2 2 4" xfId="9531" xr:uid="{189D7D2F-CB61-4DF8-88BC-7E18214352E4}"/>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9F2D1F4B-B123-4581-B20A-361E558FD6AF}"/>
    <cellStyle name="Normal 9 2 3 2 2 3 2 3" xfId="12089" xr:uid="{42F4BEB1-001D-4622-8722-F618BBE77892}"/>
    <cellStyle name="Normal 9 2 3 2 2 3 3" xfId="5712" xr:uid="{00000000-0005-0000-0000-0000161F0000}"/>
    <cellStyle name="Normal 9 2 3 2 2 3 3 2" xfId="14162" xr:uid="{012637CC-74D8-4F4B-8C49-1F7EE06B9F82}"/>
    <cellStyle name="Normal 9 2 3 2 2 3 4" xfId="9944" xr:uid="{BCE4E1B0-7596-45D4-9331-3AA7529B387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754348DD-A69E-40B8-BBC9-4DC5A2575827}"/>
    <cellStyle name="Normal 9 2 3 2 2 4 2 3" xfId="12502" xr:uid="{BA8810E4-C93F-4CCF-858E-C232E21774DC}"/>
    <cellStyle name="Normal 9 2 3 2 2 4 3" xfId="6125" xr:uid="{00000000-0005-0000-0000-00001A1F0000}"/>
    <cellStyle name="Normal 9 2 3 2 2 4 3 2" xfId="14575" xr:uid="{C56D53BE-52C7-432E-84EF-CB9D82788832}"/>
    <cellStyle name="Normal 9 2 3 2 2 4 4" xfId="10357" xr:uid="{BBF7CA13-F4D1-4178-AF97-D5574A853C8D}"/>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732DA0FC-D795-4E87-9786-082FCFE5669B}"/>
    <cellStyle name="Normal 9 2 3 2 2 5 2 3" xfId="12915" xr:uid="{EA934D6D-D0F9-4457-B054-254219322A76}"/>
    <cellStyle name="Normal 9 2 3 2 2 5 3" xfId="6538" xr:uid="{00000000-0005-0000-0000-00001E1F0000}"/>
    <cellStyle name="Normal 9 2 3 2 2 5 3 2" xfId="14988" xr:uid="{BA943DED-632E-4CCF-A072-1D6262CCFF98}"/>
    <cellStyle name="Normal 9 2 3 2 2 5 4" xfId="10770" xr:uid="{16E3AE06-629A-4EBE-B924-F232125CC315}"/>
    <cellStyle name="Normal 9 2 3 2 2 6" xfId="2668" xr:uid="{00000000-0005-0000-0000-00001F1F0000}"/>
    <cellStyle name="Normal 9 2 3 2 2 6 2" xfId="6951" xr:uid="{00000000-0005-0000-0000-0000201F0000}"/>
    <cellStyle name="Normal 9 2 3 2 2 6 2 2" xfId="15401" xr:uid="{7244FC26-C19C-4594-883D-1CC7EA32FDD6}"/>
    <cellStyle name="Normal 9 2 3 2 2 6 3" xfId="11183" xr:uid="{16418A19-3F5A-4E21-BDEC-DB2EA1DB4C2D}"/>
    <cellStyle name="Normal 9 2 3 2 2 7" xfId="4886" xr:uid="{00000000-0005-0000-0000-0000211F0000}"/>
    <cellStyle name="Normal 9 2 3 2 2 7 2" xfId="13336" xr:uid="{5F120A00-03AB-47D4-B093-A4AE496E92B4}"/>
    <cellStyle name="Normal 9 2 3 2 2 8" xfId="9118" xr:uid="{AB9A9550-4800-4571-B883-311F89A60FFB}"/>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B5C3BD71-F139-4E15-9106-2DC8CD0B4FD0}"/>
    <cellStyle name="Normal 9 2 3 2 3 2 3" xfId="11675" xr:uid="{027BD112-4E9B-4567-AD60-89763E1B89AF}"/>
    <cellStyle name="Normal 9 2 3 2 3 3" xfId="5298" xr:uid="{00000000-0005-0000-0000-0000251F0000}"/>
    <cellStyle name="Normal 9 2 3 2 3 3 2" xfId="13748" xr:uid="{D8675501-13F1-441E-BF5C-E166CEBD3A26}"/>
    <cellStyle name="Normal 9 2 3 2 3 4" xfId="9530" xr:uid="{8E3CA521-64E4-4CC6-A993-021C7B54B4BC}"/>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F0BFD2B5-35E2-4965-8ADC-28AA15795594}"/>
    <cellStyle name="Normal 9 2 3 2 4 2 3" xfId="12088" xr:uid="{8411D621-3D9E-4C4F-83AD-E6ADC218F3BA}"/>
    <cellStyle name="Normal 9 2 3 2 4 3" xfId="5711" xr:uid="{00000000-0005-0000-0000-0000291F0000}"/>
    <cellStyle name="Normal 9 2 3 2 4 3 2" xfId="14161" xr:uid="{ED64CC44-DB84-4F5A-830C-98BC5FDD98B8}"/>
    <cellStyle name="Normal 9 2 3 2 4 4" xfId="9943" xr:uid="{6AF1F757-387C-496C-90CB-AAAD4A6ED2E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1ABA8C0F-4E46-4F56-9950-90B16700EF90}"/>
    <cellStyle name="Normal 9 2 3 2 5 2 3" xfId="12501" xr:uid="{C9112EC5-AEAF-4F48-90A4-11E5E48C7207}"/>
    <cellStyle name="Normal 9 2 3 2 5 3" xfId="6124" xr:uid="{00000000-0005-0000-0000-00002D1F0000}"/>
    <cellStyle name="Normal 9 2 3 2 5 3 2" xfId="14574" xr:uid="{2A059F2C-CA00-475A-B120-505853D611D7}"/>
    <cellStyle name="Normal 9 2 3 2 5 4" xfId="10356" xr:uid="{2E4DEBD8-E181-4ABF-9D3C-36205DA68965}"/>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E93D2DC9-33EB-43EE-8014-FF5141AD221E}"/>
    <cellStyle name="Normal 9 2 3 2 6 2 3" xfId="12914" xr:uid="{E9AD1E05-F2F3-47B6-85AC-AB038DD2F9DF}"/>
    <cellStyle name="Normal 9 2 3 2 6 3" xfId="6537" xr:uid="{00000000-0005-0000-0000-0000311F0000}"/>
    <cellStyle name="Normal 9 2 3 2 6 3 2" xfId="14987" xr:uid="{CB28AA15-4048-47B0-86CA-D7BF9AE9F99A}"/>
    <cellStyle name="Normal 9 2 3 2 6 4" xfId="10769" xr:uid="{CB22D623-FAD2-41A9-9CD2-AD3B558117A0}"/>
    <cellStyle name="Normal 9 2 3 2 7" xfId="2667" xr:uid="{00000000-0005-0000-0000-0000321F0000}"/>
    <cellStyle name="Normal 9 2 3 2 7 2" xfId="6950" xr:uid="{00000000-0005-0000-0000-0000331F0000}"/>
    <cellStyle name="Normal 9 2 3 2 7 2 2" xfId="15400" xr:uid="{7EEC298E-27A7-43FC-842A-04B6C7E28565}"/>
    <cellStyle name="Normal 9 2 3 2 7 3" xfId="11182" xr:uid="{7D7156FC-A20B-4DC0-BA16-2FF766F57BCD}"/>
    <cellStyle name="Normal 9 2 3 2 8" xfId="4885" xr:uid="{00000000-0005-0000-0000-0000341F0000}"/>
    <cellStyle name="Normal 9 2 3 2 8 2" xfId="13335" xr:uid="{F717E40F-9319-4630-AB7B-C633508F4E57}"/>
    <cellStyle name="Normal 9 2 3 2 9" xfId="9117" xr:uid="{190C0EB3-4702-4E79-A378-D21F0B6E503B}"/>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420CFA8B-343E-4DD1-93E5-8DC5D1256D15}"/>
    <cellStyle name="Normal 9 2 3 3 2 2 3" xfId="11677" xr:uid="{4D11EB7C-B666-4312-858F-BED0D642CB92}"/>
    <cellStyle name="Normal 9 2 3 3 2 3" xfId="5300" xr:uid="{00000000-0005-0000-0000-0000391F0000}"/>
    <cellStyle name="Normal 9 2 3 3 2 3 2" xfId="13750" xr:uid="{55C4EEED-0198-4DD5-8BE2-AE0DA1706C46}"/>
    <cellStyle name="Normal 9 2 3 3 2 4" xfId="9532" xr:uid="{F65F6708-1FFE-41A9-B3BE-16346F878DF9}"/>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322AA95A-B5F4-456A-9577-6B46BAA049F2}"/>
    <cellStyle name="Normal 9 2 3 3 3 2 3" xfId="12090" xr:uid="{75D09239-7B1A-491F-A4BC-8ADAB58C917C}"/>
    <cellStyle name="Normal 9 2 3 3 3 3" xfId="5713" xr:uid="{00000000-0005-0000-0000-00003D1F0000}"/>
    <cellStyle name="Normal 9 2 3 3 3 3 2" xfId="14163" xr:uid="{B1000652-99CE-45ED-8ABF-4EE9EC02FA0F}"/>
    <cellStyle name="Normal 9 2 3 3 3 4" xfId="9945" xr:uid="{5CAF076F-683C-482D-8882-6567C7409B9D}"/>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81CBD27A-9D0A-455C-BB9D-F7B1238F69AC}"/>
    <cellStyle name="Normal 9 2 3 3 4 2 3" xfId="12503" xr:uid="{9F1E3F65-EFC4-4BA9-A42F-BA8C7E0BD087}"/>
    <cellStyle name="Normal 9 2 3 3 4 3" xfId="6126" xr:uid="{00000000-0005-0000-0000-0000411F0000}"/>
    <cellStyle name="Normal 9 2 3 3 4 3 2" xfId="14576" xr:uid="{5B39D916-AFB2-4D67-86DE-9DF9AB63C87C}"/>
    <cellStyle name="Normal 9 2 3 3 4 4" xfId="10358" xr:uid="{91204119-98D0-4D60-BF52-E028103E3CD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CB7D4EE6-BF60-4607-971D-15E396707A09}"/>
    <cellStyle name="Normal 9 2 3 3 5 2 3" xfId="12916" xr:uid="{DE6A4842-39C0-4C15-8E70-64F68535774E}"/>
    <cellStyle name="Normal 9 2 3 3 5 3" xfId="6539" xr:uid="{00000000-0005-0000-0000-0000451F0000}"/>
    <cellStyle name="Normal 9 2 3 3 5 3 2" xfId="14989" xr:uid="{B70671C8-8656-4C2A-8417-19C45E081401}"/>
    <cellStyle name="Normal 9 2 3 3 5 4" xfId="10771" xr:uid="{7F74ACFA-3095-4CC4-8E6B-DF5B56AD441C}"/>
    <cellStyle name="Normal 9 2 3 3 6" xfId="2669" xr:uid="{00000000-0005-0000-0000-0000461F0000}"/>
    <cellStyle name="Normal 9 2 3 3 6 2" xfId="6952" xr:uid="{00000000-0005-0000-0000-0000471F0000}"/>
    <cellStyle name="Normal 9 2 3 3 6 2 2" xfId="15402" xr:uid="{31CCB054-A4BD-4A02-8FFC-19FD30597378}"/>
    <cellStyle name="Normal 9 2 3 3 6 3" xfId="11184" xr:uid="{17439D7E-475B-48C6-9903-E86DFF2B3522}"/>
    <cellStyle name="Normal 9 2 3 3 7" xfId="4887" xr:uid="{00000000-0005-0000-0000-0000481F0000}"/>
    <cellStyle name="Normal 9 2 3 3 7 2" xfId="13337" xr:uid="{56D45A82-37C3-4FFA-84D1-C8383F76A2AC}"/>
    <cellStyle name="Normal 9 2 3 3 8" xfId="9119" xr:uid="{26B303A2-0AAF-4AE0-95F0-D23BE81DA66B}"/>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3593A9C8-0D7A-41AB-8A95-3B001C4B6BA3}"/>
    <cellStyle name="Normal 9 2 3 4 2 3" xfId="11674" xr:uid="{01C0BCFD-6F3A-491F-8F31-75EC91C26F4B}"/>
    <cellStyle name="Normal 9 2 3 4 3" xfId="5297" xr:uid="{00000000-0005-0000-0000-00004C1F0000}"/>
    <cellStyle name="Normal 9 2 3 4 3 2" xfId="13747" xr:uid="{1EBF712E-8F20-44FE-ACC6-CFC9600A978A}"/>
    <cellStyle name="Normal 9 2 3 4 4" xfId="9529" xr:uid="{918FAF89-3B71-4454-8BBD-39C84A98CFDB}"/>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2A1AB7AB-4FDD-4585-A707-E1DA1C857784}"/>
    <cellStyle name="Normal 9 2 3 5 2 3" xfId="12087" xr:uid="{9FBB25C2-D92E-413A-BDDB-2F3E6650A2A8}"/>
    <cellStyle name="Normal 9 2 3 5 3" xfId="5710" xr:uid="{00000000-0005-0000-0000-0000501F0000}"/>
    <cellStyle name="Normal 9 2 3 5 3 2" xfId="14160" xr:uid="{4E3096D7-62CD-477B-BA42-011B5D143100}"/>
    <cellStyle name="Normal 9 2 3 5 4" xfId="9942" xr:uid="{7BCD46A2-4138-45D7-8AFC-203275E38309}"/>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348C3363-1015-4979-827D-75859B951940}"/>
    <cellStyle name="Normal 9 2 3 6 2 3" xfId="12500" xr:uid="{0A5C6E36-A874-4B6C-BDD8-469F8FA8E59C}"/>
    <cellStyle name="Normal 9 2 3 6 3" xfId="6123" xr:uid="{00000000-0005-0000-0000-0000541F0000}"/>
    <cellStyle name="Normal 9 2 3 6 3 2" xfId="14573" xr:uid="{7FE9E37D-8899-4980-9F05-1A2872766E89}"/>
    <cellStyle name="Normal 9 2 3 6 4" xfId="10355" xr:uid="{AED8D8D5-E980-4FD6-8556-D80D30826E23}"/>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8F10A32E-1FC1-4413-81A7-7C3A532ED986}"/>
    <cellStyle name="Normal 9 2 3 7 2 3" xfId="12913" xr:uid="{B2D1759F-B22E-45E7-9ACE-29A269BFB97E}"/>
    <cellStyle name="Normal 9 2 3 7 3" xfId="6536" xr:uid="{00000000-0005-0000-0000-0000581F0000}"/>
    <cellStyle name="Normal 9 2 3 7 3 2" xfId="14986" xr:uid="{6B1A6EB0-29A0-4D25-A563-BA309E792B86}"/>
    <cellStyle name="Normal 9 2 3 7 4" xfId="10768" xr:uid="{99C12E78-4334-44BB-B755-5281B0A829A7}"/>
    <cellStyle name="Normal 9 2 3 8" xfId="2666" xr:uid="{00000000-0005-0000-0000-0000591F0000}"/>
    <cellStyle name="Normal 9 2 3 8 2" xfId="6949" xr:uid="{00000000-0005-0000-0000-00005A1F0000}"/>
    <cellStyle name="Normal 9 2 3 8 2 2" xfId="15399" xr:uid="{5B214E1C-969A-437E-8AFC-D77A8990895E}"/>
    <cellStyle name="Normal 9 2 3 8 3" xfId="11181" xr:uid="{E314CFA8-3AD8-47B1-9830-31F3CC46277E}"/>
    <cellStyle name="Normal 9 2 3 9" xfId="4884" xr:uid="{00000000-0005-0000-0000-00005B1F0000}"/>
    <cellStyle name="Normal 9 2 3 9 2" xfId="13334" xr:uid="{09E76118-8B24-44DC-A278-6E4225B1998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1D09816C-26BE-421F-9624-0E9CC2D7ACEF}"/>
    <cellStyle name="Normal 9 2 4 2 2 2 3" xfId="11679" xr:uid="{5E0E7297-4E3C-4BC6-B80C-8A5C8A7F1016}"/>
    <cellStyle name="Normal 9 2 4 2 2 3" xfId="5302" xr:uid="{00000000-0005-0000-0000-0000611F0000}"/>
    <cellStyle name="Normal 9 2 4 2 2 3 2" xfId="13752" xr:uid="{7ADFC4F5-2EAB-41C2-84C3-FE18A96362DE}"/>
    <cellStyle name="Normal 9 2 4 2 2 4" xfId="9534" xr:uid="{79CDB961-DF6A-4076-A54F-5C5E314CA521}"/>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8E3292A4-0844-48B7-BA6F-EEBABECA80A9}"/>
    <cellStyle name="Normal 9 2 4 2 3 2 3" xfId="12092" xr:uid="{BAC0944B-E95F-4A4B-9F5E-243C8684972A}"/>
    <cellStyle name="Normal 9 2 4 2 3 3" xfId="5715" xr:uid="{00000000-0005-0000-0000-0000651F0000}"/>
    <cellStyle name="Normal 9 2 4 2 3 3 2" xfId="14165" xr:uid="{065019F0-D099-43E0-AB7A-167EDF8DB199}"/>
    <cellStyle name="Normal 9 2 4 2 3 4" xfId="9947" xr:uid="{39FB58F8-2F15-4CC7-9BA5-F83086D1025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4CEAD67F-835A-4D98-B074-BFC3A96EC510}"/>
    <cellStyle name="Normal 9 2 4 2 4 2 3" xfId="12505" xr:uid="{841A9575-32B7-4D75-A955-8A5161FBE544}"/>
    <cellStyle name="Normal 9 2 4 2 4 3" xfId="6128" xr:uid="{00000000-0005-0000-0000-0000691F0000}"/>
    <cellStyle name="Normal 9 2 4 2 4 3 2" xfId="14578" xr:uid="{0DF93861-229F-4B77-98FA-F421D82F7134}"/>
    <cellStyle name="Normal 9 2 4 2 4 4" xfId="10360" xr:uid="{64D2A9C8-50F2-4F40-96BD-E6982B1F759D}"/>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0BD6EEE0-452B-4C01-B2DF-41A5876EDF39}"/>
    <cellStyle name="Normal 9 2 4 2 5 2 3" xfId="12918" xr:uid="{87883B8A-EA5A-4ED1-8EC7-EAB0ED7F125E}"/>
    <cellStyle name="Normal 9 2 4 2 5 3" xfId="6541" xr:uid="{00000000-0005-0000-0000-00006D1F0000}"/>
    <cellStyle name="Normal 9 2 4 2 5 3 2" xfId="14991" xr:uid="{2B5F906C-60C8-4E71-AB3F-37F1F15FC255}"/>
    <cellStyle name="Normal 9 2 4 2 5 4" xfId="10773" xr:uid="{B8C2A0C0-637C-474B-8180-FC3B986299A7}"/>
    <cellStyle name="Normal 9 2 4 2 6" xfId="2671" xr:uid="{00000000-0005-0000-0000-00006E1F0000}"/>
    <cellStyle name="Normal 9 2 4 2 6 2" xfId="6954" xr:uid="{00000000-0005-0000-0000-00006F1F0000}"/>
    <cellStyle name="Normal 9 2 4 2 6 2 2" xfId="15404" xr:uid="{1D95D09F-21A6-440D-A832-6C1E01046217}"/>
    <cellStyle name="Normal 9 2 4 2 6 3" xfId="11186" xr:uid="{317C55DD-823F-41B8-81BB-4E9D00A22248}"/>
    <cellStyle name="Normal 9 2 4 2 7" xfId="4889" xr:uid="{00000000-0005-0000-0000-0000701F0000}"/>
    <cellStyle name="Normal 9 2 4 2 7 2" xfId="13339" xr:uid="{CE68F420-FAB7-468A-8CAB-F0FF072443B0}"/>
    <cellStyle name="Normal 9 2 4 2 8" xfId="9121" xr:uid="{CB91B418-BD93-418A-976C-A9DBDFEA0DBD}"/>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072A154F-2C0F-431D-BB0E-7AE31755A636}"/>
    <cellStyle name="Normal 9 2 4 3 2 3" xfId="11678" xr:uid="{B4CA7CD2-41D4-4877-A790-F8E8EF8356D7}"/>
    <cellStyle name="Normal 9 2 4 3 3" xfId="5301" xr:uid="{00000000-0005-0000-0000-0000741F0000}"/>
    <cellStyle name="Normal 9 2 4 3 3 2" xfId="13751" xr:uid="{9629BE1A-B250-4531-9C6F-9F0077842350}"/>
    <cellStyle name="Normal 9 2 4 3 4" xfId="9533" xr:uid="{80DF6E89-A960-49E6-9694-2893DCAEACC6}"/>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D63D0D91-7BD5-4D48-A709-C4FFBD11B0C4}"/>
    <cellStyle name="Normal 9 2 4 4 2 3" xfId="12091" xr:uid="{2E00FF1E-0147-44AC-9E3A-41E8286CF35C}"/>
    <cellStyle name="Normal 9 2 4 4 3" xfId="5714" xr:uid="{00000000-0005-0000-0000-0000781F0000}"/>
    <cellStyle name="Normal 9 2 4 4 3 2" xfId="14164" xr:uid="{EF800978-F0AD-4C03-A78F-47BE0CF37851}"/>
    <cellStyle name="Normal 9 2 4 4 4" xfId="9946" xr:uid="{42445B2C-8044-49EB-9D7D-5A391B9D6459}"/>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8EAA1B44-7E2A-4B5A-A318-8EE8F2FFF376}"/>
    <cellStyle name="Normal 9 2 4 5 2 3" xfId="12504" xr:uid="{0D67B97B-A983-44A3-B08E-99D3EA8FA079}"/>
    <cellStyle name="Normal 9 2 4 5 3" xfId="6127" xr:uid="{00000000-0005-0000-0000-00007C1F0000}"/>
    <cellStyle name="Normal 9 2 4 5 3 2" xfId="14577" xr:uid="{0BB26C80-D23D-441D-92EF-F8415A0C2D31}"/>
    <cellStyle name="Normal 9 2 4 5 4" xfId="10359" xr:uid="{E7D0E7F9-7FE6-41C1-A882-8C5706DBA847}"/>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A6891780-2933-43F7-8170-4866E3275417}"/>
    <cellStyle name="Normal 9 2 4 6 2 3" xfId="12917" xr:uid="{DEC21A32-E184-45A4-9725-563C42998BCC}"/>
    <cellStyle name="Normal 9 2 4 6 3" xfId="6540" xr:uid="{00000000-0005-0000-0000-0000801F0000}"/>
    <cellStyle name="Normal 9 2 4 6 3 2" xfId="14990" xr:uid="{9A8350FD-D9F3-4532-BD62-BF7A58ADCB05}"/>
    <cellStyle name="Normal 9 2 4 6 4" xfId="10772" xr:uid="{76CB98EB-95D5-41DF-A568-7A563B4BE10E}"/>
    <cellStyle name="Normal 9 2 4 7" xfId="2670" xr:uid="{00000000-0005-0000-0000-0000811F0000}"/>
    <cellStyle name="Normal 9 2 4 7 2" xfId="6953" xr:uid="{00000000-0005-0000-0000-0000821F0000}"/>
    <cellStyle name="Normal 9 2 4 7 2 2" xfId="15403" xr:uid="{D86ECBBB-7C81-4433-899E-29C4AC84595C}"/>
    <cellStyle name="Normal 9 2 4 7 3" xfId="11185" xr:uid="{71053981-069F-4E31-B922-8574E669559B}"/>
    <cellStyle name="Normal 9 2 4 8" xfId="4888" xr:uid="{00000000-0005-0000-0000-0000831F0000}"/>
    <cellStyle name="Normal 9 2 4 8 2" xfId="13338" xr:uid="{28324FD5-52DC-4172-90EF-A82894E3D07A}"/>
    <cellStyle name="Normal 9 2 4 9" xfId="9120" xr:uid="{7596E019-6E8A-42E6-97C2-6678F9BF6DC4}"/>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489ACC31-85F6-483E-AA94-313C83619B21}"/>
    <cellStyle name="Normal 9 2 5 2 2 3" xfId="11680" xr:uid="{2CC5614E-A786-4651-8206-AE0F46AF36B6}"/>
    <cellStyle name="Normal 9 2 5 2 3" xfId="5303" xr:uid="{00000000-0005-0000-0000-0000881F0000}"/>
    <cellStyle name="Normal 9 2 5 2 3 2" xfId="13753" xr:uid="{4F2EF685-3963-4180-9304-BB253880160B}"/>
    <cellStyle name="Normal 9 2 5 2 4" xfId="9535" xr:uid="{A30E56F7-8CA5-47D1-8DAE-98CC70478482}"/>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FB454C3F-39B6-4314-AB1C-E863DD504EF4}"/>
    <cellStyle name="Normal 9 2 5 3 2 3" xfId="12093" xr:uid="{89659F60-586C-41F7-A9DF-39EDCC7E6FFC}"/>
    <cellStyle name="Normal 9 2 5 3 3" xfId="5716" xr:uid="{00000000-0005-0000-0000-00008C1F0000}"/>
    <cellStyle name="Normal 9 2 5 3 3 2" xfId="14166" xr:uid="{5591ECE4-7AB5-40E7-9229-9DC8323B5735}"/>
    <cellStyle name="Normal 9 2 5 3 4" xfId="9948" xr:uid="{62B6F961-2813-46DF-A768-5824F64EC316}"/>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28A25BCD-3675-45DC-8DA3-B9970A84B504}"/>
    <cellStyle name="Normal 9 2 5 4 2 3" xfId="12506" xr:uid="{058FFDF2-B28E-496C-A1AC-9F46FC9CC82A}"/>
    <cellStyle name="Normal 9 2 5 4 3" xfId="6129" xr:uid="{00000000-0005-0000-0000-0000901F0000}"/>
    <cellStyle name="Normal 9 2 5 4 3 2" xfId="14579" xr:uid="{B2716F4B-644F-42B3-81CD-29FB4F7578C2}"/>
    <cellStyle name="Normal 9 2 5 4 4" xfId="10361" xr:uid="{BC242993-7292-482C-A3C0-55AE3177B26F}"/>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A832A270-64A6-45FE-829B-03D0992039F5}"/>
    <cellStyle name="Normal 9 2 5 5 2 3" xfId="12919" xr:uid="{30ECB640-18C2-4526-BC7E-52802448298A}"/>
    <cellStyle name="Normal 9 2 5 5 3" xfId="6542" xr:uid="{00000000-0005-0000-0000-0000941F0000}"/>
    <cellStyle name="Normal 9 2 5 5 3 2" xfId="14992" xr:uid="{9519FD1F-D66D-4853-8861-6F75BCBE3F63}"/>
    <cellStyle name="Normal 9 2 5 5 4" xfId="10774" xr:uid="{824E5846-E62D-4D56-8CB1-65B65A46E558}"/>
    <cellStyle name="Normal 9 2 5 6" xfId="2672" xr:uid="{00000000-0005-0000-0000-0000951F0000}"/>
    <cellStyle name="Normal 9 2 5 6 2" xfId="6955" xr:uid="{00000000-0005-0000-0000-0000961F0000}"/>
    <cellStyle name="Normal 9 2 5 6 2 2" xfId="15405" xr:uid="{EB5BA3FA-FE3B-4895-B5BD-558BD8965CB9}"/>
    <cellStyle name="Normal 9 2 5 6 3" xfId="11187" xr:uid="{5E1A8248-9CC6-4295-8EDF-DD135D4D633E}"/>
    <cellStyle name="Normal 9 2 5 7" xfId="4890" xr:uid="{00000000-0005-0000-0000-0000971F0000}"/>
    <cellStyle name="Normal 9 2 5 7 2" xfId="13340" xr:uid="{A758A8C5-3040-40BB-9A42-0EACA6C02B50}"/>
    <cellStyle name="Normal 9 2 5 8" xfId="9122" xr:uid="{6215CD84-E22C-41B2-B686-460692FA6DA3}"/>
    <cellStyle name="Normal 9 2 6" xfId="978" xr:uid="{00000000-0005-0000-0000-0000981F0000}"/>
    <cellStyle name="Normal 9 2 6 2" xfId="3211" xr:uid="{00000000-0005-0000-0000-0000991F0000}"/>
    <cellStyle name="Normal 9 2 6 2 2" xfId="7433" xr:uid="{00000000-0005-0000-0000-00009A1F0000}"/>
    <cellStyle name="Normal 9 2 6 2 2 2" xfId="15883" xr:uid="{FAA53437-C7FB-47E8-8B2D-0C6A9E7EB4ED}"/>
    <cellStyle name="Normal 9 2 6 2 3" xfId="11665" xr:uid="{735CDA29-9104-4EDE-9CF4-7AB06E9ED58A}"/>
    <cellStyle name="Normal 9 2 6 3" xfId="5288" xr:uid="{00000000-0005-0000-0000-00009B1F0000}"/>
    <cellStyle name="Normal 9 2 6 3 2" xfId="13738" xr:uid="{772F03B6-A86A-43F6-B9B8-6E00594600D0}"/>
    <cellStyle name="Normal 9 2 6 4" xfId="9520" xr:uid="{88CD0472-9669-45A9-B3C0-0AF8E37B5504}"/>
    <cellStyle name="Normal 9 2 7" xfId="1394" xr:uid="{00000000-0005-0000-0000-00009C1F0000}"/>
    <cellStyle name="Normal 9 2 7 2" xfId="3624" xr:uid="{00000000-0005-0000-0000-00009D1F0000}"/>
    <cellStyle name="Normal 9 2 7 2 2" xfId="7846" xr:uid="{00000000-0005-0000-0000-00009E1F0000}"/>
    <cellStyle name="Normal 9 2 7 2 2 2" xfId="16296" xr:uid="{E4517834-EC19-4509-9A4E-238F1F9FADD6}"/>
    <cellStyle name="Normal 9 2 7 2 3" xfId="12078" xr:uid="{05DC4C8B-6428-4178-80C3-6E1971B2BAA6}"/>
    <cellStyle name="Normal 9 2 7 3" xfId="5701" xr:uid="{00000000-0005-0000-0000-00009F1F0000}"/>
    <cellStyle name="Normal 9 2 7 3 2" xfId="14151" xr:uid="{A19B2F5D-1BD0-4B03-8AB3-A1A37A31F67E}"/>
    <cellStyle name="Normal 9 2 7 4" xfId="9933" xr:uid="{A30FD8C7-3ED0-44CD-B04A-844C5376ACC6}"/>
    <cellStyle name="Normal 9 2 8" xfId="1807" xr:uid="{00000000-0005-0000-0000-0000A01F0000}"/>
    <cellStyle name="Normal 9 2 8 2" xfId="4037" xr:uid="{00000000-0005-0000-0000-0000A11F0000}"/>
    <cellStyle name="Normal 9 2 8 2 2" xfId="8259" xr:uid="{00000000-0005-0000-0000-0000A21F0000}"/>
    <cellStyle name="Normal 9 2 8 2 2 2" xfId="16709" xr:uid="{0788DC98-C3C9-4B2B-9D56-4CEFC856A6FA}"/>
    <cellStyle name="Normal 9 2 8 2 3" xfId="12491" xr:uid="{2CF9F740-4D4E-4636-9BF1-2F51EB8F8C30}"/>
    <cellStyle name="Normal 9 2 8 3" xfId="6114" xr:uid="{00000000-0005-0000-0000-0000A31F0000}"/>
    <cellStyle name="Normal 9 2 8 3 2" xfId="14564" xr:uid="{F316BA05-EA7E-4EB1-8609-8946E2425CF7}"/>
    <cellStyle name="Normal 9 2 8 4" xfId="10346" xr:uid="{E4355710-7A14-44A5-9802-7D6F52B47B17}"/>
    <cellStyle name="Normal 9 2 9" xfId="2221" xr:uid="{00000000-0005-0000-0000-0000A41F0000}"/>
    <cellStyle name="Normal 9 2 9 2" xfId="4450" xr:uid="{00000000-0005-0000-0000-0000A51F0000}"/>
    <cellStyle name="Normal 9 2 9 2 2" xfId="8672" xr:uid="{00000000-0005-0000-0000-0000A61F0000}"/>
    <cellStyle name="Normal 9 2 9 2 2 2" xfId="17122" xr:uid="{B005F176-EE8C-4BDF-AA1B-BCB627E5831F}"/>
    <cellStyle name="Normal 9 2 9 2 3" xfId="12904" xr:uid="{93103896-0372-4BB4-A0C0-8776641930D8}"/>
    <cellStyle name="Normal 9 2 9 3" xfId="6527" xr:uid="{00000000-0005-0000-0000-0000A71F0000}"/>
    <cellStyle name="Normal 9 2 9 3 2" xfId="14977" xr:uid="{CD9C6B80-646E-4919-A6E0-E8032EE0244D}"/>
    <cellStyle name="Normal 9 2 9 4" xfId="10759" xr:uid="{1BD00CF6-174F-4ECC-AC49-8FFC8F53280B}"/>
    <cellStyle name="Normal 9 3" xfId="527" xr:uid="{00000000-0005-0000-0000-0000A81F0000}"/>
    <cellStyle name="Normal 9 3 10" xfId="4891" xr:uid="{00000000-0005-0000-0000-0000A91F0000}"/>
    <cellStyle name="Normal 9 3 10 2" xfId="13341" xr:uid="{6DC2DD12-EDB1-4D3D-8C77-8A2C7F2260ED}"/>
    <cellStyle name="Normal 9 3 11" xfId="9123" xr:uid="{C3680288-FC8C-49DF-93BB-BC7A8323FD75}"/>
    <cellStyle name="Normal 9 3 2" xfId="528" xr:uid="{00000000-0005-0000-0000-0000AA1F0000}"/>
    <cellStyle name="Normal 9 3 2 10" xfId="9124" xr:uid="{9FE3BBD7-E530-4A5B-B625-788CC0E2518C}"/>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27EA207B-26D7-4F09-AFB6-FCBB047C80C9}"/>
    <cellStyle name="Normal 9 3 2 2 2 2 2 3" xfId="11684" xr:uid="{B7DC343D-4F23-4B0D-891E-0333901929B6}"/>
    <cellStyle name="Normal 9 3 2 2 2 2 3" xfId="5307" xr:uid="{00000000-0005-0000-0000-0000B01F0000}"/>
    <cellStyle name="Normal 9 3 2 2 2 2 3 2" xfId="13757" xr:uid="{E1AA1224-A53A-461D-8559-84F2170EDE6A}"/>
    <cellStyle name="Normal 9 3 2 2 2 2 4" xfId="9539" xr:uid="{3267949A-6F37-4F4E-B3ED-093B4CA8AB39}"/>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34045F7C-9724-46B0-BB41-6B259EB57CF2}"/>
    <cellStyle name="Normal 9 3 2 2 2 3 2 3" xfId="12097" xr:uid="{85A6D49C-07AC-4668-81DB-362E297D4DD0}"/>
    <cellStyle name="Normal 9 3 2 2 2 3 3" xfId="5720" xr:uid="{00000000-0005-0000-0000-0000B41F0000}"/>
    <cellStyle name="Normal 9 3 2 2 2 3 3 2" xfId="14170" xr:uid="{F31E56E4-43AA-47EB-B0AC-286C8B61C463}"/>
    <cellStyle name="Normal 9 3 2 2 2 3 4" xfId="9952" xr:uid="{9787D2A5-B9FD-4DF3-94EA-EFAEB7452D4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20E9D5AF-C342-4E03-999A-010969CD1B67}"/>
    <cellStyle name="Normal 9 3 2 2 2 4 2 3" xfId="12510" xr:uid="{B79BB2F9-DC20-4E6C-B38D-23622C1D9C20}"/>
    <cellStyle name="Normal 9 3 2 2 2 4 3" xfId="6133" xr:uid="{00000000-0005-0000-0000-0000B81F0000}"/>
    <cellStyle name="Normal 9 3 2 2 2 4 3 2" xfId="14583" xr:uid="{DD7B2173-BB0B-42A5-BE2B-0F875D8F79F7}"/>
    <cellStyle name="Normal 9 3 2 2 2 4 4" xfId="10365" xr:uid="{D4958C32-BB0A-41FE-BC69-4454346223A1}"/>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E2D97781-FD79-4847-8EFD-68C1E96D1C45}"/>
    <cellStyle name="Normal 9 3 2 2 2 5 2 3" xfId="12923" xr:uid="{92CE6591-CD54-4985-AB28-B584504F1652}"/>
    <cellStyle name="Normal 9 3 2 2 2 5 3" xfId="6546" xr:uid="{00000000-0005-0000-0000-0000BC1F0000}"/>
    <cellStyle name="Normal 9 3 2 2 2 5 3 2" xfId="14996" xr:uid="{740D68B4-CD7A-4FC5-8C08-4919C68EC6C5}"/>
    <cellStyle name="Normal 9 3 2 2 2 5 4" xfId="10778" xr:uid="{8E0B2B3D-F7F8-4B20-BAE9-816C67D3F426}"/>
    <cellStyle name="Normal 9 3 2 2 2 6" xfId="2676" xr:uid="{00000000-0005-0000-0000-0000BD1F0000}"/>
    <cellStyle name="Normal 9 3 2 2 2 6 2" xfId="6959" xr:uid="{00000000-0005-0000-0000-0000BE1F0000}"/>
    <cellStyle name="Normal 9 3 2 2 2 6 2 2" xfId="15409" xr:uid="{B2246941-3887-4276-B96F-21B9F28F25B1}"/>
    <cellStyle name="Normal 9 3 2 2 2 6 3" xfId="11191" xr:uid="{028CA9A5-8A77-4C9E-A3AF-D2E6639A901D}"/>
    <cellStyle name="Normal 9 3 2 2 2 7" xfId="4894" xr:uid="{00000000-0005-0000-0000-0000BF1F0000}"/>
    <cellStyle name="Normal 9 3 2 2 2 7 2" xfId="13344" xr:uid="{7FA8CD11-CA5F-45E6-A424-CDC5ACBC5828}"/>
    <cellStyle name="Normal 9 3 2 2 2 8" xfId="9126" xr:uid="{9B46D43E-3151-4BA2-9903-4545565F7617}"/>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4CE3D28D-0ECD-4A5F-84C4-2FB314D25FA3}"/>
    <cellStyle name="Normal 9 3 2 2 3 2 3" xfId="11683" xr:uid="{BBA4D21E-2F33-4E6A-9B8A-D1A843841C6D}"/>
    <cellStyle name="Normal 9 3 2 2 3 3" xfId="5306" xr:uid="{00000000-0005-0000-0000-0000C31F0000}"/>
    <cellStyle name="Normal 9 3 2 2 3 3 2" xfId="13756" xr:uid="{46CA304E-4E83-4E4B-BC6A-8F8212ECA63D}"/>
    <cellStyle name="Normal 9 3 2 2 3 4" xfId="9538" xr:uid="{ACE42FBA-F993-405D-9B49-DFE38915E042}"/>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1A938455-D430-4A69-B929-F297FD78DE48}"/>
    <cellStyle name="Normal 9 3 2 2 4 2 3" xfId="12096" xr:uid="{50B410D6-7426-4D85-806C-521515796492}"/>
    <cellStyle name="Normal 9 3 2 2 4 3" xfId="5719" xr:uid="{00000000-0005-0000-0000-0000C71F0000}"/>
    <cellStyle name="Normal 9 3 2 2 4 3 2" xfId="14169" xr:uid="{E9151CD2-FA75-4298-BDD6-88FCC23D1353}"/>
    <cellStyle name="Normal 9 3 2 2 4 4" xfId="9951" xr:uid="{9359130C-0D1C-4FD4-9EAC-2FC798A6A774}"/>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00D8F306-7EA4-484A-A88C-0CFB5544F169}"/>
    <cellStyle name="Normal 9 3 2 2 5 2 3" xfId="12509" xr:uid="{660BF4BC-5B78-4B48-AAFF-B6788B0CA288}"/>
    <cellStyle name="Normal 9 3 2 2 5 3" xfId="6132" xr:uid="{00000000-0005-0000-0000-0000CB1F0000}"/>
    <cellStyle name="Normal 9 3 2 2 5 3 2" xfId="14582" xr:uid="{2D430DF3-4899-4A16-9E97-3DF406DC38D6}"/>
    <cellStyle name="Normal 9 3 2 2 5 4" xfId="10364" xr:uid="{0DE5098F-3913-429E-A628-3601D264033C}"/>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F8C8C1F9-556E-407D-AC3E-68408CF865F1}"/>
    <cellStyle name="Normal 9 3 2 2 6 2 3" xfId="12922" xr:uid="{30F099DC-FE79-4F44-8C0A-9B41EF093A5B}"/>
    <cellStyle name="Normal 9 3 2 2 6 3" xfId="6545" xr:uid="{00000000-0005-0000-0000-0000CF1F0000}"/>
    <cellStyle name="Normal 9 3 2 2 6 3 2" xfId="14995" xr:uid="{D8BDFDE6-758B-4E44-AC7B-B0F77FBE781B}"/>
    <cellStyle name="Normal 9 3 2 2 6 4" xfId="10777" xr:uid="{294A2B2D-3278-4EDC-AB77-5ACC620E66D0}"/>
    <cellStyle name="Normal 9 3 2 2 7" xfId="2675" xr:uid="{00000000-0005-0000-0000-0000D01F0000}"/>
    <cellStyle name="Normal 9 3 2 2 7 2" xfId="6958" xr:uid="{00000000-0005-0000-0000-0000D11F0000}"/>
    <cellStyle name="Normal 9 3 2 2 7 2 2" xfId="15408" xr:uid="{D1246381-F1E2-465E-ABFD-FDE082B9D22F}"/>
    <cellStyle name="Normal 9 3 2 2 7 3" xfId="11190" xr:uid="{A7337B00-4317-40EB-BDD3-416283E15C51}"/>
    <cellStyle name="Normal 9 3 2 2 8" xfId="4893" xr:uid="{00000000-0005-0000-0000-0000D21F0000}"/>
    <cellStyle name="Normal 9 3 2 2 8 2" xfId="13343" xr:uid="{F4AB11A5-65E8-4741-AE92-7A1A38DA425F}"/>
    <cellStyle name="Normal 9 3 2 2 9" xfId="9125" xr:uid="{F7AECE6E-4EE2-44A4-9DF2-FF240B590EC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18440919-BD79-4195-9498-919B3771B117}"/>
    <cellStyle name="Normal 9 3 2 3 2 2 3" xfId="11685" xr:uid="{A14107BF-226E-49E9-BC7C-647DB514739B}"/>
    <cellStyle name="Normal 9 3 2 3 2 3" xfId="5308" xr:uid="{00000000-0005-0000-0000-0000D71F0000}"/>
    <cellStyle name="Normal 9 3 2 3 2 3 2" xfId="13758" xr:uid="{EEECF3AC-1434-431D-B9C2-8BB60DAE02F5}"/>
    <cellStyle name="Normal 9 3 2 3 2 4" xfId="9540" xr:uid="{2951C481-E661-4B4A-95AF-6A21A6AB5BB6}"/>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7192C9DB-21EE-44FB-A5A3-5A89379BCC8A}"/>
    <cellStyle name="Normal 9 3 2 3 3 2 3" xfId="12098" xr:uid="{59DB70B6-68F6-45B4-85F6-C0C0F2446490}"/>
    <cellStyle name="Normal 9 3 2 3 3 3" xfId="5721" xr:uid="{00000000-0005-0000-0000-0000DB1F0000}"/>
    <cellStyle name="Normal 9 3 2 3 3 3 2" xfId="14171" xr:uid="{98219801-4515-4B2F-A2E1-9F1E873488FD}"/>
    <cellStyle name="Normal 9 3 2 3 3 4" xfId="9953" xr:uid="{77174784-78DE-48A3-B46A-6E3BC6C29599}"/>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5AEDA734-5572-4785-B763-DA33F5368566}"/>
    <cellStyle name="Normal 9 3 2 3 4 2 3" xfId="12511" xr:uid="{6B494503-33AD-48D7-AE3C-256250A55DD1}"/>
    <cellStyle name="Normal 9 3 2 3 4 3" xfId="6134" xr:uid="{00000000-0005-0000-0000-0000DF1F0000}"/>
    <cellStyle name="Normal 9 3 2 3 4 3 2" xfId="14584" xr:uid="{C4187C95-CC9C-400C-B4B5-F8AF53C11F3A}"/>
    <cellStyle name="Normal 9 3 2 3 4 4" xfId="10366" xr:uid="{523E06AB-4356-4E60-BD86-BF6857B77DD7}"/>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9B3FA63A-297B-4FF1-80D4-02FE02FAC399}"/>
    <cellStyle name="Normal 9 3 2 3 5 2 3" xfId="12924" xr:uid="{3299C596-C1A8-4153-89D5-CE8BC1721F9F}"/>
    <cellStyle name="Normal 9 3 2 3 5 3" xfId="6547" xr:uid="{00000000-0005-0000-0000-0000E31F0000}"/>
    <cellStyle name="Normal 9 3 2 3 5 3 2" xfId="14997" xr:uid="{BEBB0372-CC8E-41DA-93A2-9C9B6A44E05F}"/>
    <cellStyle name="Normal 9 3 2 3 5 4" xfId="10779" xr:uid="{684FDDE6-278A-4674-A78A-1A713A9E846D}"/>
    <cellStyle name="Normal 9 3 2 3 6" xfId="2677" xr:uid="{00000000-0005-0000-0000-0000E41F0000}"/>
    <cellStyle name="Normal 9 3 2 3 6 2" xfId="6960" xr:uid="{00000000-0005-0000-0000-0000E51F0000}"/>
    <cellStyle name="Normal 9 3 2 3 6 2 2" xfId="15410" xr:uid="{EB59D80C-8904-4FD1-B9BA-99ECC9129756}"/>
    <cellStyle name="Normal 9 3 2 3 6 3" xfId="11192" xr:uid="{BB57A716-5557-4137-86A3-D3CF56BF315B}"/>
    <cellStyle name="Normal 9 3 2 3 7" xfId="4895" xr:uid="{00000000-0005-0000-0000-0000E61F0000}"/>
    <cellStyle name="Normal 9 3 2 3 7 2" xfId="13345" xr:uid="{C815C3D3-7923-4FDA-9E00-991B0AAFAC73}"/>
    <cellStyle name="Normal 9 3 2 3 8" xfId="9127" xr:uid="{50DF81B6-AFCB-4E18-8918-0EA54E42198D}"/>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EE7C26E3-A4FF-4FF8-9FE1-3E1731B14240}"/>
    <cellStyle name="Normal 9 3 2 4 2 3" xfId="11682" xr:uid="{05E7556D-827A-4B51-88E7-EF3B26BF9730}"/>
    <cellStyle name="Normal 9 3 2 4 3" xfId="5305" xr:uid="{00000000-0005-0000-0000-0000EA1F0000}"/>
    <cellStyle name="Normal 9 3 2 4 3 2" xfId="13755" xr:uid="{7E16C71F-54C9-483B-9AED-57E27B509604}"/>
    <cellStyle name="Normal 9 3 2 4 4" xfId="9537" xr:uid="{ADAAF66B-9987-491D-8763-3A9DC9C31B9F}"/>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DF660E25-7627-4836-852C-F02ACCEE4399}"/>
    <cellStyle name="Normal 9 3 2 5 2 3" xfId="12095" xr:uid="{285BF505-D44D-4B4C-9B25-65913C188A48}"/>
    <cellStyle name="Normal 9 3 2 5 3" xfId="5718" xr:uid="{00000000-0005-0000-0000-0000EE1F0000}"/>
    <cellStyle name="Normal 9 3 2 5 3 2" xfId="14168" xr:uid="{15196CD6-214E-430B-891F-51FE13990419}"/>
    <cellStyle name="Normal 9 3 2 5 4" xfId="9950" xr:uid="{30779651-FEDF-4300-BE3B-363B24F1E2CB}"/>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BD1A7927-C797-4293-8100-2E6F3F22A4BD}"/>
    <cellStyle name="Normal 9 3 2 6 2 3" xfId="12508" xr:uid="{11F592BD-ABD9-4C8F-B6E6-94E32B816E28}"/>
    <cellStyle name="Normal 9 3 2 6 3" xfId="6131" xr:uid="{00000000-0005-0000-0000-0000F21F0000}"/>
    <cellStyle name="Normal 9 3 2 6 3 2" xfId="14581" xr:uid="{873D748E-D43D-44F3-AA97-8EBF656FE134}"/>
    <cellStyle name="Normal 9 3 2 6 4" xfId="10363" xr:uid="{02F87077-2CAC-4741-A790-CA3C7A612317}"/>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5795769B-78D1-43A4-BBC5-DCA92FBFFCAF}"/>
    <cellStyle name="Normal 9 3 2 7 2 3" xfId="12921" xr:uid="{EA0D50DA-AD7A-4E9A-8E1C-40D59A651A79}"/>
    <cellStyle name="Normal 9 3 2 7 3" xfId="6544" xr:uid="{00000000-0005-0000-0000-0000F61F0000}"/>
    <cellStyle name="Normal 9 3 2 7 3 2" xfId="14994" xr:uid="{9DC474C0-34B4-4EB5-8C97-AA5EF492B396}"/>
    <cellStyle name="Normal 9 3 2 7 4" xfId="10776" xr:uid="{299875A0-B2FC-4401-822D-3BC0E745254C}"/>
    <cellStyle name="Normal 9 3 2 8" xfId="2674" xr:uid="{00000000-0005-0000-0000-0000F71F0000}"/>
    <cellStyle name="Normal 9 3 2 8 2" xfId="6957" xr:uid="{00000000-0005-0000-0000-0000F81F0000}"/>
    <cellStyle name="Normal 9 3 2 8 2 2" xfId="15407" xr:uid="{FAB731D3-9585-4C88-986F-20EB1E231378}"/>
    <cellStyle name="Normal 9 3 2 8 3" xfId="11189" xr:uid="{A2CDE4BF-E106-42A7-BB84-6FCF629B8023}"/>
    <cellStyle name="Normal 9 3 2 9" xfId="4892" xr:uid="{00000000-0005-0000-0000-0000F91F0000}"/>
    <cellStyle name="Normal 9 3 2 9 2" xfId="13342" xr:uid="{8090F59C-9692-42F5-B647-35D3CCEE5249}"/>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1E1F95D2-A79D-4717-A530-8530A146ADAC}"/>
    <cellStyle name="Normal 9 3 3 2 2 2 3" xfId="11687" xr:uid="{5BEE2259-9E36-4D8B-A408-33D4897DE9A2}"/>
    <cellStyle name="Normal 9 3 3 2 2 3" xfId="5310" xr:uid="{00000000-0005-0000-0000-0000FF1F0000}"/>
    <cellStyle name="Normal 9 3 3 2 2 3 2" xfId="13760" xr:uid="{BCDEF94E-B9A9-464C-8B01-BA427E9722B7}"/>
    <cellStyle name="Normal 9 3 3 2 2 4" xfId="9542" xr:uid="{DDA669D6-CDEA-4DCB-BFFA-52C2CD727C5A}"/>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A1CE2DD7-A66D-42F8-9AA5-9DC29C89C4E7}"/>
    <cellStyle name="Normal 9 3 3 2 3 2 3" xfId="12100" xr:uid="{D1ECB5BC-062E-4AE5-9501-6379BAB1CAB7}"/>
    <cellStyle name="Normal 9 3 3 2 3 3" xfId="5723" xr:uid="{00000000-0005-0000-0000-000003200000}"/>
    <cellStyle name="Normal 9 3 3 2 3 3 2" xfId="14173" xr:uid="{FE2D9143-D7FB-416C-93D8-F46B04ECEA1D}"/>
    <cellStyle name="Normal 9 3 3 2 3 4" xfId="9955" xr:uid="{61DBBE33-09D6-493D-B3B0-BECCD9B57215}"/>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9F0F58EA-BECD-460B-AD1A-2ABCC1BC1454}"/>
    <cellStyle name="Normal 9 3 3 2 4 2 3" xfId="12513" xr:uid="{065C94B6-180C-44F3-A8BD-01476F97CD87}"/>
    <cellStyle name="Normal 9 3 3 2 4 3" xfId="6136" xr:uid="{00000000-0005-0000-0000-000007200000}"/>
    <cellStyle name="Normal 9 3 3 2 4 3 2" xfId="14586" xr:uid="{98EAB2F3-ED6F-4918-A927-F95C6AF1F07B}"/>
    <cellStyle name="Normal 9 3 3 2 4 4" xfId="10368" xr:uid="{8BF66804-4537-44CC-819B-D8D02033FAF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6EF9D2B7-E545-4DA8-8D10-9873E1058F27}"/>
    <cellStyle name="Normal 9 3 3 2 5 2 3" xfId="12926" xr:uid="{A59F733C-1F71-410E-8690-A919F501A6AB}"/>
    <cellStyle name="Normal 9 3 3 2 5 3" xfId="6549" xr:uid="{00000000-0005-0000-0000-00000B200000}"/>
    <cellStyle name="Normal 9 3 3 2 5 3 2" xfId="14999" xr:uid="{6E0F8DD3-B21D-4B41-96F4-C86742E906B2}"/>
    <cellStyle name="Normal 9 3 3 2 5 4" xfId="10781" xr:uid="{F9E5F544-4E2E-4B87-A532-2534407B8C12}"/>
    <cellStyle name="Normal 9 3 3 2 6" xfId="2679" xr:uid="{00000000-0005-0000-0000-00000C200000}"/>
    <cellStyle name="Normal 9 3 3 2 6 2" xfId="6962" xr:uid="{00000000-0005-0000-0000-00000D200000}"/>
    <cellStyle name="Normal 9 3 3 2 6 2 2" xfId="15412" xr:uid="{65542E93-0535-4531-AB34-A15266D460E1}"/>
    <cellStyle name="Normal 9 3 3 2 6 3" xfId="11194" xr:uid="{FE7E222C-FE7B-4992-A57B-EB53A8538ADE}"/>
    <cellStyle name="Normal 9 3 3 2 7" xfId="4897" xr:uid="{00000000-0005-0000-0000-00000E200000}"/>
    <cellStyle name="Normal 9 3 3 2 7 2" xfId="13347" xr:uid="{52AB5C80-CE53-4225-87CA-5C730D0A337E}"/>
    <cellStyle name="Normal 9 3 3 2 8" xfId="9129" xr:uid="{83BA03A0-45F4-4AA7-948A-00397DBECE2B}"/>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21EFD4F9-B37C-4792-92BB-D74E1EE00A21}"/>
    <cellStyle name="Normal 9 3 3 3 2 3" xfId="11686" xr:uid="{52C5D935-1F9B-4793-91EA-10B98716AA2F}"/>
    <cellStyle name="Normal 9 3 3 3 3" xfId="5309" xr:uid="{00000000-0005-0000-0000-000012200000}"/>
    <cellStyle name="Normal 9 3 3 3 3 2" xfId="13759" xr:uid="{77B0BB2F-986A-4D35-BBF2-0977B80BDCF9}"/>
    <cellStyle name="Normal 9 3 3 3 4" xfId="9541" xr:uid="{308E1B75-34C9-4F31-B368-E6045FA6B5D1}"/>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6FA26A46-9883-4A55-AAF7-B6ED0ED4DF1C}"/>
    <cellStyle name="Normal 9 3 3 4 2 3" xfId="12099" xr:uid="{2D243856-7FEA-405C-BB8B-D81E21D7E73E}"/>
    <cellStyle name="Normal 9 3 3 4 3" xfId="5722" xr:uid="{00000000-0005-0000-0000-000016200000}"/>
    <cellStyle name="Normal 9 3 3 4 3 2" xfId="14172" xr:uid="{453998EB-D891-41A9-A402-4E1F43C60D41}"/>
    <cellStyle name="Normal 9 3 3 4 4" xfId="9954" xr:uid="{6B35DAEA-08F9-410F-AD50-3C6FD9632E39}"/>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A1280E46-9411-436D-AD2A-D8662A9AF26A}"/>
    <cellStyle name="Normal 9 3 3 5 2 3" xfId="12512" xr:uid="{41D6CD73-527C-4592-90F2-A4A9706CA02B}"/>
    <cellStyle name="Normal 9 3 3 5 3" xfId="6135" xr:uid="{00000000-0005-0000-0000-00001A200000}"/>
    <cellStyle name="Normal 9 3 3 5 3 2" xfId="14585" xr:uid="{771AFFA2-ABAC-442D-9FF3-15C3C9960FBF}"/>
    <cellStyle name="Normal 9 3 3 5 4" xfId="10367" xr:uid="{6C72DB53-88F7-4847-B32D-E1A954E76A93}"/>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C171A3D5-1AB3-4E23-8DEA-925C9F944F51}"/>
    <cellStyle name="Normal 9 3 3 6 2 3" xfId="12925" xr:uid="{7FF739BD-4022-45D5-B4AF-2F59E9E4EFC6}"/>
    <cellStyle name="Normal 9 3 3 6 3" xfId="6548" xr:uid="{00000000-0005-0000-0000-00001E200000}"/>
    <cellStyle name="Normal 9 3 3 6 3 2" xfId="14998" xr:uid="{92D89ECA-372A-4FA1-A72A-949EB3AA4AF7}"/>
    <cellStyle name="Normal 9 3 3 6 4" xfId="10780" xr:uid="{F831A2B9-F5E8-48AB-B601-58C768E4BF0C}"/>
    <cellStyle name="Normal 9 3 3 7" xfId="2678" xr:uid="{00000000-0005-0000-0000-00001F200000}"/>
    <cellStyle name="Normal 9 3 3 7 2" xfId="6961" xr:uid="{00000000-0005-0000-0000-000020200000}"/>
    <cellStyle name="Normal 9 3 3 7 2 2" xfId="15411" xr:uid="{03F7D1CF-9935-404B-8E40-88C979548AA1}"/>
    <cellStyle name="Normal 9 3 3 7 3" xfId="11193" xr:uid="{08A54BED-F717-4738-80B1-DE1BC6A52640}"/>
    <cellStyle name="Normal 9 3 3 8" xfId="4896" xr:uid="{00000000-0005-0000-0000-000021200000}"/>
    <cellStyle name="Normal 9 3 3 8 2" xfId="13346" xr:uid="{8F546283-B991-46C1-A1AD-57C4A1EFA969}"/>
    <cellStyle name="Normal 9 3 3 9" xfId="9128" xr:uid="{19FE01FE-6177-4E58-9B20-07E57585201A}"/>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7CA47F08-970C-4BAB-8988-3C75E95FBE32}"/>
    <cellStyle name="Normal 9 3 4 2 2 3" xfId="11688" xr:uid="{CF78F693-2661-498E-BC7C-56AB1EA9729B}"/>
    <cellStyle name="Normal 9 3 4 2 3" xfId="5311" xr:uid="{00000000-0005-0000-0000-000026200000}"/>
    <cellStyle name="Normal 9 3 4 2 3 2" xfId="13761" xr:uid="{D781AC3C-4050-4614-8334-332E9613697E}"/>
    <cellStyle name="Normal 9 3 4 2 4" xfId="9543" xr:uid="{A34946A0-A93B-43D6-BCF4-157445E3DFCD}"/>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4232B8E8-ACD5-4736-B948-3B17DFCC628B}"/>
    <cellStyle name="Normal 9 3 4 3 2 3" xfId="12101" xr:uid="{3D942F3C-478D-4A85-8B40-1DC071CFA630}"/>
    <cellStyle name="Normal 9 3 4 3 3" xfId="5724" xr:uid="{00000000-0005-0000-0000-00002A200000}"/>
    <cellStyle name="Normal 9 3 4 3 3 2" xfId="14174" xr:uid="{35F5F03F-7655-4BFA-8261-462C18FF2CE5}"/>
    <cellStyle name="Normal 9 3 4 3 4" xfId="9956" xr:uid="{2704B97F-A7DD-4D51-A75A-FCC3F1D98540}"/>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BDB0714E-0191-4293-91D1-DE37887B1D28}"/>
    <cellStyle name="Normal 9 3 4 4 2 3" xfId="12514" xr:uid="{9092039C-477E-4226-B10E-2EB979D6598D}"/>
    <cellStyle name="Normal 9 3 4 4 3" xfId="6137" xr:uid="{00000000-0005-0000-0000-00002E200000}"/>
    <cellStyle name="Normal 9 3 4 4 3 2" xfId="14587" xr:uid="{D00EB3FA-57F6-407D-AAB7-4EF87427CE81}"/>
    <cellStyle name="Normal 9 3 4 4 4" xfId="10369" xr:uid="{5CACC213-2CDC-4201-8E4A-03DA083215F4}"/>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0A67B0E5-45B5-4986-8145-56459494A233}"/>
    <cellStyle name="Normal 9 3 4 5 2 3" xfId="12927" xr:uid="{CCD0FC02-46B5-457C-9F56-42CD3C9B376B}"/>
    <cellStyle name="Normal 9 3 4 5 3" xfId="6550" xr:uid="{00000000-0005-0000-0000-000032200000}"/>
    <cellStyle name="Normal 9 3 4 5 3 2" xfId="15000" xr:uid="{88864A8C-9DFB-4B42-A73E-563A9DA718E6}"/>
    <cellStyle name="Normal 9 3 4 5 4" xfId="10782" xr:uid="{6EDA0A4B-3B50-45F4-B1C2-9847C184C4DD}"/>
    <cellStyle name="Normal 9 3 4 6" xfId="2680" xr:uid="{00000000-0005-0000-0000-000033200000}"/>
    <cellStyle name="Normal 9 3 4 6 2" xfId="6963" xr:uid="{00000000-0005-0000-0000-000034200000}"/>
    <cellStyle name="Normal 9 3 4 6 2 2" xfId="15413" xr:uid="{17445D52-F390-4A99-B26B-0044439898BA}"/>
    <cellStyle name="Normal 9 3 4 6 3" xfId="11195" xr:uid="{63DFCAB8-D5F0-4241-84D6-63F7049910C7}"/>
    <cellStyle name="Normal 9 3 4 7" xfId="4898" xr:uid="{00000000-0005-0000-0000-000035200000}"/>
    <cellStyle name="Normal 9 3 4 7 2" xfId="13348" xr:uid="{C86D53B0-3169-4805-B68F-11E9FBC2EFDB}"/>
    <cellStyle name="Normal 9 3 4 8" xfId="9130" xr:uid="{C2BEE35E-6BA3-4B82-A29E-F3F03677B4FD}"/>
    <cellStyle name="Normal 9 3 5" xfId="994" xr:uid="{00000000-0005-0000-0000-000036200000}"/>
    <cellStyle name="Normal 9 3 5 2" xfId="3227" xr:uid="{00000000-0005-0000-0000-000037200000}"/>
    <cellStyle name="Normal 9 3 5 2 2" xfId="7449" xr:uid="{00000000-0005-0000-0000-000038200000}"/>
    <cellStyle name="Normal 9 3 5 2 2 2" xfId="15899" xr:uid="{525E1F7D-F9F3-415A-8426-7AB71C1EB881}"/>
    <cellStyle name="Normal 9 3 5 2 3" xfId="11681" xr:uid="{2112E68E-BC4D-439E-A11A-DE3CB8A806AA}"/>
    <cellStyle name="Normal 9 3 5 3" xfId="5304" xr:uid="{00000000-0005-0000-0000-000039200000}"/>
    <cellStyle name="Normal 9 3 5 3 2" xfId="13754" xr:uid="{A9F33DE4-B46A-4BE1-9A06-A81AF9A1108F}"/>
    <cellStyle name="Normal 9 3 5 4" xfId="9536" xr:uid="{890445FF-8A2C-4099-A3C6-AA627DAD333F}"/>
    <cellStyle name="Normal 9 3 6" xfId="1410" xr:uid="{00000000-0005-0000-0000-00003A200000}"/>
    <cellStyle name="Normal 9 3 6 2" xfId="3640" xr:uid="{00000000-0005-0000-0000-00003B200000}"/>
    <cellStyle name="Normal 9 3 6 2 2" xfId="7862" xr:uid="{00000000-0005-0000-0000-00003C200000}"/>
    <cellStyle name="Normal 9 3 6 2 2 2" xfId="16312" xr:uid="{554494F0-11CF-432B-9EAC-0F244CD29D9E}"/>
    <cellStyle name="Normal 9 3 6 2 3" xfId="12094" xr:uid="{3375EEA4-D15F-46BE-B1E7-47FE945C3B6C}"/>
    <cellStyle name="Normal 9 3 6 3" xfId="5717" xr:uid="{00000000-0005-0000-0000-00003D200000}"/>
    <cellStyle name="Normal 9 3 6 3 2" xfId="14167" xr:uid="{29FA54E1-8C49-40C1-80D0-BFC970623E26}"/>
    <cellStyle name="Normal 9 3 6 4" xfId="9949" xr:uid="{04A3D5D1-23C7-41DE-B2AA-67201D65D918}"/>
    <cellStyle name="Normal 9 3 7" xfId="1823" xr:uid="{00000000-0005-0000-0000-00003E200000}"/>
    <cellStyle name="Normal 9 3 7 2" xfId="4053" xr:uid="{00000000-0005-0000-0000-00003F200000}"/>
    <cellStyle name="Normal 9 3 7 2 2" xfId="8275" xr:uid="{00000000-0005-0000-0000-000040200000}"/>
    <cellStyle name="Normal 9 3 7 2 2 2" xfId="16725" xr:uid="{D0DB5710-0A0B-4966-ADD5-40B867FA7911}"/>
    <cellStyle name="Normal 9 3 7 2 3" xfId="12507" xr:uid="{233C7430-B5AC-4475-98B7-2C903CAD0DE6}"/>
    <cellStyle name="Normal 9 3 7 3" xfId="6130" xr:uid="{00000000-0005-0000-0000-000041200000}"/>
    <cellStyle name="Normal 9 3 7 3 2" xfId="14580" xr:uid="{FBE3E2F2-684E-4AD2-9AD7-3B6A7D512EE8}"/>
    <cellStyle name="Normal 9 3 7 4" xfId="10362" xr:uid="{1AF3CE35-2B5A-44F7-9A78-C5D420D4E683}"/>
    <cellStyle name="Normal 9 3 8" xfId="2237" xr:uid="{00000000-0005-0000-0000-000042200000}"/>
    <cellStyle name="Normal 9 3 8 2" xfId="4466" xr:uid="{00000000-0005-0000-0000-000043200000}"/>
    <cellStyle name="Normal 9 3 8 2 2" xfId="8688" xr:uid="{00000000-0005-0000-0000-000044200000}"/>
    <cellStyle name="Normal 9 3 8 2 2 2" xfId="17138" xr:uid="{6BFDC281-2A10-4653-8FD7-930C4F7DA6F6}"/>
    <cellStyle name="Normal 9 3 8 2 3" xfId="12920" xr:uid="{081A8930-3D80-4548-8206-921755B87A6D}"/>
    <cellStyle name="Normal 9 3 8 3" xfId="6543" xr:uid="{00000000-0005-0000-0000-000045200000}"/>
    <cellStyle name="Normal 9 3 8 3 2" xfId="14993" xr:uid="{1BF58F04-98AB-483D-8A61-F20455211347}"/>
    <cellStyle name="Normal 9 3 8 4" xfId="10775" xr:uid="{85F57B8E-8516-4FFD-8C41-B25ECAA47F6A}"/>
    <cellStyle name="Normal 9 3 9" xfId="2673" xr:uid="{00000000-0005-0000-0000-000046200000}"/>
    <cellStyle name="Normal 9 3 9 2" xfId="6956" xr:uid="{00000000-0005-0000-0000-000047200000}"/>
    <cellStyle name="Normal 9 3 9 2 2" xfId="15406" xr:uid="{BDAFD440-174D-4119-8160-E947995DE91D}"/>
    <cellStyle name="Normal 9 3 9 3" xfId="11188" xr:uid="{193898C8-6379-49EB-A2AE-334735941D82}"/>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3138913E-27A1-4A73-9400-55BAC2E66A57}"/>
    <cellStyle name="Normal 9 5 2 2 2 3" xfId="11690" xr:uid="{DD2A76C9-8D7A-45EF-921A-4E92F8B981C4}"/>
    <cellStyle name="Normal 9 5 2 2 3" xfId="5313" xr:uid="{00000000-0005-0000-0000-00004F200000}"/>
    <cellStyle name="Normal 9 5 2 2 3 2" xfId="13763" xr:uid="{56F6573C-EEED-48B1-BDDC-64D2EFDA0047}"/>
    <cellStyle name="Normal 9 5 2 2 4" xfId="9545" xr:uid="{6DB0DA69-B20E-42B5-8C29-10F79E4EA212}"/>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C8CABD1A-6F34-46E0-9F45-F124BACC6354}"/>
    <cellStyle name="Normal 9 5 2 3 2 3" xfId="12103" xr:uid="{8BAA78EE-A66B-4356-B631-7C3809A5A0A8}"/>
    <cellStyle name="Normal 9 5 2 3 3" xfId="5726" xr:uid="{00000000-0005-0000-0000-000053200000}"/>
    <cellStyle name="Normal 9 5 2 3 3 2" xfId="14176" xr:uid="{AB8F1A4A-EE8B-4814-8D24-8DE894DA90E7}"/>
    <cellStyle name="Normal 9 5 2 3 4" xfId="9958" xr:uid="{19A08B69-4275-452D-AF95-66E98A87972F}"/>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19D3AA24-08B6-4322-A7A9-6C5DA4D6E2CF}"/>
    <cellStyle name="Normal 9 5 2 4 2 3" xfId="12516" xr:uid="{D3A22E67-4FEA-4B4A-8ABF-B54528DEDB49}"/>
    <cellStyle name="Normal 9 5 2 4 3" xfId="6139" xr:uid="{00000000-0005-0000-0000-000057200000}"/>
    <cellStyle name="Normal 9 5 2 4 3 2" xfId="14589" xr:uid="{3B5DDE29-6886-48C3-A0B1-C34A227E350A}"/>
    <cellStyle name="Normal 9 5 2 4 4" xfId="10371" xr:uid="{0203B877-1393-4E2D-8895-F022A2823F89}"/>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83FD9398-B123-4888-A70E-06A93909515A}"/>
    <cellStyle name="Normal 9 5 2 5 2 3" xfId="12929" xr:uid="{CDF741AC-2C35-4C52-8F1A-EDF8EE8E5E36}"/>
    <cellStyle name="Normal 9 5 2 5 3" xfId="6552" xr:uid="{00000000-0005-0000-0000-00005B200000}"/>
    <cellStyle name="Normal 9 5 2 5 3 2" xfId="15002" xr:uid="{C1864904-BC5C-4D20-9F14-E7973ABD545C}"/>
    <cellStyle name="Normal 9 5 2 5 4" xfId="10784" xr:uid="{EE0E7301-CC03-4F96-844F-EDE25CA8EC06}"/>
    <cellStyle name="Normal 9 5 2 6" xfId="2682" xr:uid="{00000000-0005-0000-0000-00005C200000}"/>
    <cellStyle name="Normal 9 5 2 6 2" xfId="6965" xr:uid="{00000000-0005-0000-0000-00005D200000}"/>
    <cellStyle name="Normal 9 5 2 6 2 2" xfId="15415" xr:uid="{4826DB3A-CE9E-4619-A83B-18927FC362FF}"/>
    <cellStyle name="Normal 9 5 2 6 3" xfId="11197" xr:uid="{28B74F95-147F-4927-BE53-B7C599142844}"/>
    <cellStyle name="Normal 9 5 2 7" xfId="4900" xr:uid="{00000000-0005-0000-0000-00005E200000}"/>
    <cellStyle name="Normal 9 5 2 7 2" xfId="13350" xr:uid="{FCFB1384-4E70-4A9F-BE8A-C05192DEE759}"/>
    <cellStyle name="Normal 9 5 2 8" xfId="9132" xr:uid="{821258F8-07DD-4BB9-BFF2-9149E6B95BD6}"/>
    <cellStyle name="Normal 9 5 3" xfId="1003" xr:uid="{00000000-0005-0000-0000-00005F200000}"/>
    <cellStyle name="Normal 9 5 3 2" xfId="3235" xr:uid="{00000000-0005-0000-0000-000060200000}"/>
    <cellStyle name="Normal 9 5 3 2 2" xfId="7457" xr:uid="{00000000-0005-0000-0000-000061200000}"/>
    <cellStyle name="Normal 9 5 3 2 2 2" xfId="15907" xr:uid="{4F2E15F8-5693-40EB-A87F-494E437FBACF}"/>
    <cellStyle name="Normal 9 5 3 2 3" xfId="11689" xr:uid="{9B791964-7FF4-43E5-91DC-5E0DD481205E}"/>
    <cellStyle name="Normal 9 5 3 3" xfId="5312" xr:uid="{00000000-0005-0000-0000-000062200000}"/>
    <cellStyle name="Normal 9 5 3 3 2" xfId="13762" xr:uid="{F252724B-6B9F-416C-B1B8-67683BFE48D7}"/>
    <cellStyle name="Normal 9 5 3 4" xfId="9544" xr:uid="{E7A2BF03-925B-42DE-A6B7-02331E01E348}"/>
    <cellStyle name="Normal 9 5 4" xfId="1418" xr:uid="{00000000-0005-0000-0000-000063200000}"/>
    <cellStyle name="Normal 9 5 4 2" xfId="3648" xr:uid="{00000000-0005-0000-0000-000064200000}"/>
    <cellStyle name="Normal 9 5 4 2 2" xfId="7870" xr:uid="{00000000-0005-0000-0000-000065200000}"/>
    <cellStyle name="Normal 9 5 4 2 2 2" xfId="16320" xr:uid="{17BFAE25-0D67-470E-8EC3-3350CF5E5102}"/>
    <cellStyle name="Normal 9 5 4 2 3" xfId="12102" xr:uid="{E09BA0D9-9156-4D42-9020-AB172FD0BB33}"/>
    <cellStyle name="Normal 9 5 4 3" xfId="5725" xr:uid="{00000000-0005-0000-0000-000066200000}"/>
    <cellStyle name="Normal 9 5 4 3 2" xfId="14175" xr:uid="{52185C9E-7E94-4E27-8072-B8A9365DB9E0}"/>
    <cellStyle name="Normal 9 5 4 4" xfId="9957" xr:uid="{2BBE28D6-BCE0-4418-B256-0EAFFF55EB0A}"/>
    <cellStyle name="Normal 9 5 5" xfId="1831" xr:uid="{00000000-0005-0000-0000-000067200000}"/>
    <cellStyle name="Normal 9 5 5 2" xfId="4061" xr:uid="{00000000-0005-0000-0000-000068200000}"/>
    <cellStyle name="Normal 9 5 5 2 2" xfId="8283" xr:uid="{00000000-0005-0000-0000-000069200000}"/>
    <cellStyle name="Normal 9 5 5 2 2 2" xfId="16733" xr:uid="{72A9299F-8526-4A36-9C0A-3CE009D530E0}"/>
    <cellStyle name="Normal 9 5 5 2 3" xfId="12515" xr:uid="{44B597C3-F626-41A7-BDC0-92976CD22E27}"/>
    <cellStyle name="Normal 9 5 5 3" xfId="6138" xr:uid="{00000000-0005-0000-0000-00006A200000}"/>
    <cellStyle name="Normal 9 5 5 3 2" xfId="14588" xr:uid="{7A740768-3534-41AA-BCDC-41FFD673B424}"/>
    <cellStyle name="Normal 9 5 5 4" xfId="10370" xr:uid="{1E5E2030-63E3-4FD5-9DB1-AC7D1440F15F}"/>
    <cellStyle name="Normal 9 5 6" xfId="2245" xr:uid="{00000000-0005-0000-0000-00006B200000}"/>
    <cellStyle name="Normal 9 5 6 2" xfId="4474" xr:uid="{00000000-0005-0000-0000-00006C200000}"/>
    <cellStyle name="Normal 9 5 6 2 2" xfId="8696" xr:uid="{00000000-0005-0000-0000-00006D200000}"/>
    <cellStyle name="Normal 9 5 6 2 2 2" xfId="17146" xr:uid="{8CDB3499-53B1-44C5-8981-1B8ADD938EF6}"/>
    <cellStyle name="Normal 9 5 6 2 3" xfId="12928" xr:uid="{22801100-334F-4A9F-985D-C8F5D79405B0}"/>
    <cellStyle name="Normal 9 5 6 3" xfId="6551" xr:uid="{00000000-0005-0000-0000-00006E200000}"/>
    <cellStyle name="Normal 9 5 6 3 2" xfId="15001" xr:uid="{0694658D-C632-442F-A884-75FF13FBBB82}"/>
    <cellStyle name="Normal 9 5 6 4" xfId="10783" xr:uid="{AABB5BA4-004C-4F64-9C14-473C6345A510}"/>
    <cellStyle name="Normal 9 5 7" xfId="2681" xr:uid="{00000000-0005-0000-0000-00006F200000}"/>
    <cellStyle name="Normal 9 5 7 2" xfId="6964" xr:uid="{00000000-0005-0000-0000-000070200000}"/>
    <cellStyle name="Normal 9 5 7 2 2" xfId="15414" xr:uid="{D0ADDB9E-8CC2-4487-8748-82289B57927F}"/>
    <cellStyle name="Normal 9 5 7 3" xfId="11196" xr:uid="{5B92A988-A0FC-4B83-8D82-438102A11D24}"/>
    <cellStyle name="Normal 9 5 8" xfId="4899" xr:uid="{00000000-0005-0000-0000-000071200000}"/>
    <cellStyle name="Normal 9 5 8 2" xfId="13349" xr:uid="{7C8EBA90-2105-488E-B694-2DD5667ECED1}"/>
    <cellStyle name="Normal 9 5 9" xfId="9131" xr:uid="{85664607-E33F-465C-9D38-525EACD46043}"/>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2FFA1A15-0CA6-400E-B4A1-A060E8E95B36}"/>
    <cellStyle name="Normal 9 6 2 2 3" xfId="11691" xr:uid="{1878834F-87F3-4890-8938-4E612D7033CD}"/>
    <cellStyle name="Normal 9 6 2 3" xfId="5314" xr:uid="{00000000-0005-0000-0000-000076200000}"/>
    <cellStyle name="Normal 9 6 2 3 2" xfId="13764" xr:uid="{048E1687-447C-49A2-BF8B-D92C1A702081}"/>
    <cellStyle name="Normal 9 6 2 4" xfId="9546" xr:uid="{D887FCBB-ECA9-4635-9840-4347B330071B}"/>
    <cellStyle name="Normal 9 6 3" xfId="1420" xr:uid="{00000000-0005-0000-0000-000077200000}"/>
    <cellStyle name="Normal 9 6 3 2" xfId="3650" xr:uid="{00000000-0005-0000-0000-000078200000}"/>
    <cellStyle name="Normal 9 6 3 2 2" xfId="7872" xr:uid="{00000000-0005-0000-0000-000079200000}"/>
    <cellStyle name="Normal 9 6 3 2 2 2" xfId="16322" xr:uid="{A3DB341B-C76C-4654-A2E7-7B6DB933953E}"/>
    <cellStyle name="Normal 9 6 3 2 3" xfId="12104" xr:uid="{3005B544-5CF9-46B3-AB1C-E96334176F9A}"/>
    <cellStyle name="Normal 9 6 3 3" xfId="5727" xr:uid="{00000000-0005-0000-0000-00007A200000}"/>
    <cellStyle name="Normal 9 6 3 3 2" xfId="14177" xr:uid="{DFCE6EE7-E20E-41AC-AFE4-B1F8AD8360E0}"/>
    <cellStyle name="Normal 9 6 3 4" xfId="9959" xr:uid="{3A3AC75E-38C9-4EE7-B0D7-DAF17D0B41BD}"/>
    <cellStyle name="Normal 9 6 4" xfId="1833" xr:uid="{00000000-0005-0000-0000-00007B200000}"/>
    <cellStyle name="Normal 9 6 4 2" xfId="4063" xr:uid="{00000000-0005-0000-0000-00007C200000}"/>
    <cellStyle name="Normal 9 6 4 2 2" xfId="8285" xr:uid="{00000000-0005-0000-0000-00007D200000}"/>
    <cellStyle name="Normal 9 6 4 2 2 2" xfId="16735" xr:uid="{315C74CC-4AFB-4B4D-9C11-74B44E9C8D16}"/>
    <cellStyle name="Normal 9 6 4 2 3" xfId="12517" xr:uid="{E19C715A-0E3F-4943-85C1-4AE92C0CBACD}"/>
    <cellStyle name="Normal 9 6 4 3" xfId="6140" xr:uid="{00000000-0005-0000-0000-00007E200000}"/>
    <cellStyle name="Normal 9 6 4 3 2" xfId="14590" xr:uid="{0DC510E9-1E7B-4169-A6D5-B912CDE5427C}"/>
    <cellStyle name="Normal 9 6 4 4" xfId="10372" xr:uid="{28F95D07-A2D6-48FE-B846-6FFC9C10B4E4}"/>
    <cellStyle name="Normal 9 6 5" xfId="2247" xr:uid="{00000000-0005-0000-0000-00007F200000}"/>
    <cellStyle name="Normal 9 6 5 2" xfId="4476" xr:uid="{00000000-0005-0000-0000-000080200000}"/>
    <cellStyle name="Normal 9 6 5 2 2" xfId="8698" xr:uid="{00000000-0005-0000-0000-000081200000}"/>
    <cellStyle name="Normal 9 6 5 2 2 2" xfId="17148" xr:uid="{7C357F80-1838-4614-BE6C-B9D8BE978354}"/>
    <cellStyle name="Normal 9 6 5 2 3" xfId="12930" xr:uid="{30D54985-C237-4BFB-A07D-179A61B9CE51}"/>
    <cellStyle name="Normal 9 6 5 3" xfId="6553" xr:uid="{00000000-0005-0000-0000-000082200000}"/>
    <cellStyle name="Normal 9 6 5 3 2" xfId="15003" xr:uid="{9365905D-60B1-48B3-BACC-5C298B7B0B00}"/>
    <cellStyle name="Normal 9 6 5 4" xfId="10785" xr:uid="{568D0745-42D7-4393-90C3-76D190377B27}"/>
    <cellStyle name="Normal 9 6 6" xfId="2683" xr:uid="{00000000-0005-0000-0000-000083200000}"/>
    <cellStyle name="Normal 9 6 6 2" xfId="6966" xr:uid="{00000000-0005-0000-0000-000084200000}"/>
    <cellStyle name="Normal 9 6 6 2 2" xfId="15416" xr:uid="{512A7C13-6F59-4135-8FB2-EF8D7AD73EB7}"/>
    <cellStyle name="Normal 9 6 6 3" xfId="11198" xr:uid="{2FF2B701-487E-4367-86C5-2CB0771F2C42}"/>
    <cellStyle name="Normal 9 6 7" xfId="4901" xr:uid="{00000000-0005-0000-0000-000085200000}"/>
    <cellStyle name="Normal 9 6 7 2" xfId="13351" xr:uid="{4694FB7F-7316-41D2-812B-6320120622A0}"/>
    <cellStyle name="Normal 9 6 8" xfId="9133" xr:uid="{85F432F0-5EFB-45A9-97AB-E73A58940921}"/>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54E1866D-EAF3-4A24-A73C-613B25CB7612}"/>
    <cellStyle name="Note 2 2 10 3" xfId="11279" xr:uid="{697E4644-2F4C-48E1-B0CF-311A085CFD93}"/>
    <cellStyle name="Note 2 2 11" xfId="4902" xr:uid="{00000000-0005-0000-0000-000094200000}"/>
    <cellStyle name="Note 2 2 11 2" xfId="13352" xr:uid="{EF4DE1A7-8739-4630-893F-67FBE883DBC9}"/>
    <cellStyle name="Note 2 2 12" xfId="9134" xr:uid="{D7BEEC2A-8E06-4967-B492-45E1EFA00201}"/>
    <cellStyle name="Note 2 2 2" xfId="546" xr:uid="{00000000-0005-0000-0000-000095200000}"/>
    <cellStyle name="Note 2 2 2 10" xfId="4903" xr:uid="{00000000-0005-0000-0000-000096200000}"/>
    <cellStyle name="Note 2 2 2 10 2" xfId="13353" xr:uid="{3833712C-F9EB-4855-AFB3-7ED739E7B21B}"/>
    <cellStyle name="Note 2 2 2 11" xfId="9135" xr:uid="{D472B570-ABB5-441A-909F-016F454FC54B}"/>
    <cellStyle name="Note 2 2 2 2" xfId="547" xr:uid="{00000000-0005-0000-0000-000097200000}"/>
    <cellStyle name="Note 2 2 2 2 10" xfId="9136" xr:uid="{FB3ED11A-A2D4-412D-BE72-770033CD079E}"/>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B9EFA964-8B86-4B85-BE2A-40A2E81637D5}"/>
    <cellStyle name="Note 2 2 2 2 2 2 3" xfId="11694" xr:uid="{D0931431-700B-4918-8B9C-247CB0EC1427}"/>
    <cellStyle name="Note 2 2 2 2 2 3" xfId="5317" xr:uid="{00000000-0005-0000-0000-00009B200000}"/>
    <cellStyle name="Note 2 2 2 2 2 3 2" xfId="13767" xr:uid="{47FE5B68-AC80-40C2-9F8A-E05918AA93F7}"/>
    <cellStyle name="Note 2 2 2 2 2 4" xfId="9549" xr:uid="{939FE594-34B8-4026-BC29-B05ACD6E2222}"/>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5578A2DD-395B-460C-A0C9-4108A713FF56}"/>
    <cellStyle name="Note 2 2 2 2 3 2 3" xfId="12107" xr:uid="{0889D535-64E2-475A-925E-E9409EAD6865}"/>
    <cellStyle name="Note 2 2 2 2 3 3" xfId="5730" xr:uid="{00000000-0005-0000-0000-00009F200000}"/>
    <cellStyle name="Note 2 2 2 2 3 3 2" xfId="14180" xr:uid="{35348DEA-0007-4258-AC5B-B69FFD6C2A5C}"/>
    <cellStyle name="Note 2 2 2 2 3 4" xfId="9962" xr:uid="{E3CDA420-2A9F-41AA-9743-FDAAAF9D6E75}"/>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56FAF785-301C-48DD-9473-69DB1854C0CF}"/>
    <cellStyle name="Note 2 2 2 2 4 2 3" xfId="12520" xr:uid="{1294249C-2836-4249-9595-5FA36335AFC6}"/>
    <cellStyle name="Note 2 2 2 2 4 3" xfId="6143" xr:uid="{00000000-0005-0000-0000-0000A3200000}"/>
    <cellStyle name="Note 2 2 2 2 4 3 2" xfId="14593" xr:uid="{2331DEA9-1C5B-4573-BC8C-F9546E21F56F}"/>
    <cellStyle name="Note 2 2 2 2 4 4" xfId="10375" xr:uid="{9C68E4B0-3D7D-4D50-840C-83ED10AA8DF8}"/>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137CC104-96C9-41CC-A11F-9D4856585EAB}"/>
    <cellStyle name="Note 2 2 2 2 5 2 3" xfId="12933" xr:uid="{245CFB53-420F-422F-8B67-75C10229FDB7}"/>
    <cellStyle name="Note 2 2 2 2 5 3" xfId="6556" xr:uid="{00000000-0005-0000-0000-0000A7200000}"/>
    <cellStyle name="Note 2 2 2 2 5 3 2" xfId="15006" xr:uid="{C472A285-01D4-4EBB-BBE3-3D8EE7C0D81A}"/>
    <cellStyle name="Note 2 2 2 2 5 4" xfId="10788" xr:uid="{38038386-37F6-4BF6-829D-DB8D1B3EA954}"/>
    <cellStyle name="Note 2 2 2 2 6" xfId="2686" xr:uid="{00000000-0005-0000-0000-0000A8200000}"/>
    <cellStyle name="Note 2 2 2 2 6 2" xfId="6969" xr:uid="{00000000-0005-0000-0000-0000A9200000}"/>
    <cellStyle name="Note 2 2 2 2 6 2 2" xfId="15419" xr:uid="{FA5984FC-95E8-4513-9B0C-8D42A6A1DE8F}"/>
    <cellStyle name="Note 2 2 2 2 6 3" xfId="11201" xr:uid="{77093994-3F2F-43D5-8A41-6A5C1C404832}"/>
    <cellStyle name="Note 2 2 2 2 7" xfId="2745" xr:uid="{00000000-0005-0000-0000-0000AA200000}"/>
    <cellStyle name="Note 2 2 2 2 8" xfId="2826" xr:uid="{00000000-0005-0000-0000-0000AB200000}"/>
    <cellStyle name="Note 2 2 2 2 8 2" xfId="7049" xr:uid="{00000000-0005-0000-0000-0000AC200000}"/>
    <cellStyle name="Note 2 2 2 2 8 2 2" xfId="15499" xr:uid="{39F9F46B-14A3-402C-A4A2-DBD2E5DA9B7E}"/>
    <cellStyle name="Note 2 2 2 2 8 3" xfId="11281" xr:uid="{A54CCE1B-0F50-4A8E-A298-B42383578696}"/>
    <cellStyle name="Note 2 2 2 2 9" xfId="4904" xr:uid="{00000000-0005-0000-0000-0000AD200000}"/>
    <cellStyle name="Note 2 2 2 2 9 2" xfId="13354" xr:uid="{27388E82-3C35-4D0C-93F6-CCF7877BA057}"/>
    <cellStyle name="Note 2 2 2 3" xfId="1007" xr:uid="{00000000-0005-0000-0000-0000AE200000}"/>
    <cellStyle name="Note 2 2 2 3 2" xfId="3239" xr:uid="{00000000-0005-0000-0000-0000AF200000}"/>
    <cellStyle name="Note 2 2 2 3 2 2" xfId="7461" xr:uid="{00000000-0005-0000-0000-0000B0200000}"/>
    <cellStyle name="Note 2 2 2 3 2 2 2" xfId="15911" xr:uid="{88BEB3BE-2468-4009-9BD5-566D8AA0341A}"/>
    <cellStyle name="Note 2 2 2 3 2 3" xfId="11693" xr:uid="{C26CD1CC-AC51-4786-AC52-9F8C83106A25}"/>
    <cellStyle name="Note 2 2 2 3 3" xfId="5316" xr:uid="{00000000-0005-0000-0000-0000B1200000}"/>
    <cellStyle name="Note 2 2 2 3 3 2" xfId="13766" xr:uid="{938A5DB3-8AF6-4B0E-8579-921A6772790C}"/>
    <cellStyle name="Note 2 2 2 3 4" xfId="9548" xr:uid="{BA2601CD-B8EA-4BE7-A034-0A064303919B}"/>
    <cellStyle name="Note 2 2 2 4" xfId="1422" xr:uid="{00000000-0005-0000-0000-0000B2200000}"/>
    <cellStyle name="Note 2 2 2 4 2" xfId="3652" xr:uid="{00000000-0005-0000-0000-0000B3200000}"/>
    <cellStyle name="Note 2 2 2 4 2 2" xfId="7874" xr:uid="{00000000-0005-0000-0000-0000B4200000}"/>
    <cellStyle name="Note 2 2 2 4 2 2 2" xfId="16324" xr:uid="{5675F2CF-5CD4-4855-ACFD-B36AE15D4EED}"/>
    <cellStyle name="Note 2 2 2 4 2 3" xfId="12106" xr:uid="{27A524E5-083A-4C74-972A-074B06620924}"/>
    <cellStyle name="Note 2 2 2 4 3" xfId="5729" xr:uid="{00000000-0005-0000-0000-0000B5200000}"/>
    <cellStyle name="Note 2 2 2 4 3 2" xfId="14179" xr:uid="{3BD01AE9-B7D7-4CA7-9961-C1E28A274F5F}"/>
    <cellStyle name="Note 2 2 2 4 4" xfId="9961" xr:uid="{AD949770-C624-47A5-A891-155A7CD00AD7}"/>
    <cellStyle name="Note 2 2 2 5" xfId="1836" xr:uid="{00000000-0005-0000-0000-0000B6200000}"/>
    <cellStyle name="Note 2 2 2 5 2" xfId="4065" xr:uid="{00000000-0005-0000-0000-0000B7200000}"/>
    <cellStyle name="Note 2 2 2 5 2 2" xfId="8287" xr:uid="{00000000-0005-0000-0000-0000B8200000}"/>
    <cellStyle name="Note 2 2 2 5 2 2 2" xfId="16737" xr:uid="{2943B692-8BEE-4179-8173-757CFF2124AA}"/>
    <cellStyle name="Note 2 2 2 5 2 3" xfId="12519" xr:uid="{59C4F205-3D05-4B7C-AE45-B0202CCCF22C}"/>
    <cellStyle name="Note 2 2 2 5 3" xfId="6142" xr:uid="{00000000-0005-0000-0000-0000B9200000}"/>
    <cellStyle name="Note 2 2 2 5 3 2" xfId="14592" xr:uid="{29CBAC3B-796B-44CF-9F70-00CE6DBFF7D2}"/>
    <cellStyle name="Note 2 2 2 5 4" xfId="10374" xr:uid="{FF392078-05B7-4F74-88FD-11DFD5BCC2BA}"/>
    <cellStyle name="Note 2 2 2 6" xfId="2249" xr:uid="{00000000-0005-0000-0000-0000BA200000}"/>
    <cellStyle name="Note 2 2 2 6 2" xfId="4478" xr:uid="{00000000-0005-0000-0000-0000BB200000}"/>
    <cellStyle name="Note 2 2 2 6 2 2" xfId="8700" xr:uid="{00000000-0005-0000-0000-0000BC200000}"/>
    <cellStyle name="Note 2 2 2 6 2 2 2" xfId="17150" xr:uid="{85345523-5CEF-44F5-8519-9FFBE5B86C1C}"/>
    <cellStyle name="Note 2 2 2 6 2 3" xfId="12932" xr:uid="{28957F96-51A8-4C99-994E-E67B61A9382D}"/>
    <cellStyle name="Note 2 2 2 6 3" xfId="6555" xr:uid="{00000000-0005-0000-0000-0000BD200000}"/>
    <cellStyle name="Note 2 2 2 6 3 2" xfId="15005" xr:uid="{562A0760-3F5B-4B0B-BCF4-57F346D0532C}"/>
    <cellStyle name="Note 2 2 2 6 4" xfId="10787" xr:uid="{12A8CD4F-D030-43FC-BACF-BE987BCE6717}"/>
    <cellStyle name="Note 2 2 2 7" xfId="2685" xr:uid="{00000000-0005-0000-0000-0000BE200000}"/>
    <cellStyle name="Note 2 2 2 7 2" xfId="6968" xr:uid="{00000000-0005-0000-0000-0000BF200000}"/>
    <cellStyle name="Note 2 2 2 7 2 2" xfId="15418" xr:uid="{1EE014B6-37AF-418B-9AE8-18F5D7DDA535}"/>
    <cellStyle name="Note 2 2 2 7 3" xfId="11200" xr:uid="{0E7280D4-DB6F-441B-9B87-C5115787318E}"/>
    <cellStyle name="Note 2 2 2 8" xfId="2744" xr:uid="{00000000-0005-0000-0000-0000C0200000}"/>
    <cellStyle name="Note 2 2 2 9" xfId="2825" xr:uid="{00000000-0005-0000-0000-0000C1200000}"/>
    <cellStyle name="Note 2 2 2 9 2" xfId="7048" xr:uid="{00000000-0005-0000-0000-0000C2200000}"/>
    <cellStyle name="Note 2 2 2 9 2 2" xfId="15498" xr:uid="{E25EF3B9-D2C1-48FA-B4B2-B9CC7B7FA198}"/>
    <cellStyle name="Note 2 2 2 9 3" xfId="11280" xr:uid="{A3C68DA3-2C16-4AC1-86BD-42D518961BFD}"/>
    <cellStyle name="Note 2 2 3" xfId="548" xr:uid="{00000000-0005-0000-0000-0000C3200000}"/>
    <cellStyle name="Note 2 2 3 10" xfId="9137" xr:uid="{7F448558-9A62-4050-95A4-4F8E0464348E}"/>
    <cellStyle name="Note 2 2 3 2" xfId="1009" xr:uid="{00000000-0005-0000-0000-0000C4200000}"/>
    <cellStyle name="Note 2 2 3 2 2" xfId="3241" xr:uid="{00000000-0005-0000-0000-0000C5200000}"/>
    <cellStyle name="Note 2 2 3 2 2 2" xfId="7463" xr:uid="{00000000-0005-0000-0000-0000C6200000}"/>
    <cellStyle name="Note 2 2 3 2 2 2 2" xfId="15913" xr:uid="{9FB5857D-883C-47AE-A7AD-0166E3404759}"/>
    <cellStyle name="Note 2 2 3 2 2 3" xfId="11695" xr:uid="{D1B253C7-2BFF-46D0-A319-08F5365E79B3}"/>
    <cellStyle name="Note 2 2 3 2 3" xfId="5318" xr:uid="{00000000-0005-0000-0000-0000C7200000}"/>
    <cellStyle name="Note 2 2 3 2 3 2" xfId="13768" xr:uid="{6D13D51A-D71D-4CFF-9479-09D9EBC2144F}"/>
    <cellStyle name="Note 2 2 3 2 4" xfId="9550" xr:uid="{1C87A1FA-6A00-45DA-9B4E-A5542E3EC658}"/>
    <cellStyle name="Note 2 2 3 3" xfId="1424" xr:uid="{00000000-0005-0000-0000-0000C8200000}"/>
    <cellStyle name="Note 2 2 3 3 2" xfId="3654" xr:uid="{00000000-0005-0000-0000-0000C9200000}"/>
    <cellStyle name="Note 2 2 3 3 2 2" xfId="7876" xr:uid="{00000000-0005-0000-0000-0000CA200000}"/>
    <cellStyle name="Note 2 2 3 3 2 2 2" xfId="16326" xr:uid="{71CA68D3-F4A4-4835-BD37-3665A2D53589}"/>
    <cellStyle name="Note 2 2 3 3 2 3" xfId="12108" xr:uid="{3F44C39A-A7E0-4F8B-B9D6-42CBAA4665C5}"/>
    <cellStyle name="Note 2 2 3 3 3" xfId="5731" xr:uid="{00000000-0005-0000-0000-0000CB200000}"/>
    <cellStyle name="Note 2 2 3 3 3 2" xfId="14181" xr:uid="{6E111B2F-AA3C-416D-8DC5-412DD2235E34}"/>
    <cellStyle name="Note 2 2 3 3 4" xfId="9963" xr:uid="{1477892A-3353-4477-85C2-3794FA002C37}"/>
    <cellStyle name="Note 2 2 3 4" xfId="1838" xr:uid="{00000000-0005-0000-0000-0000CC200000}"/>
    <cellStyle name="Note 2 2 3 4 2" xfId="4067" xr:uid="{00000000-0005-0000-0000-0000CD200000}"/>
    <cellStyle name="Note 2 2 3 4 2 2" xfId="8289" xr:uid="{00000000-0005-0000-0000-0000CE200000}"/>
    <cellStyle name="Note 2 2 3 4 2 2 2" xfId="16739" xr:uid="{75BEB327-43EB-4738-BF2E-A0EA31CAE894}"/>
    <cellStyle name="Note 2 2 3 4 2 3" xfId="12521" xr:uid="{12AABC6C-C2C3-43EF-ACCE-455C0920D792}"/>
    <cellStyle name="Note 2 2 3 4 3" xfId="6144" xr:uid="{00000000-0005-0000-0000-0000CF200000}"/>
    <cellStyle name="Note 2 2 3 4 3 2" xfId="14594" xr:uid="{1B479264-789A-4F0E-92CF-E0E399C45414}"/>
    <cellStyle name="Note 2 2 3 4 4" xfId="10376" xr:uid="{7E40278B-84B7-45BA-AE5B-8FE2493708AC}"/>
    <cellStyle name="Note 2 2 3 5" xfId="2251" xr:uid="{00000000-0005-0000-0000-0000D0200000}"/>
    <cellStyle name="Note 2 2 3 5 2" xfId="4480" xr:uid="{00000000-0005-0000-0000-0000D1200000}"/>
    <cellStyle name="Note 2 2 3 5 2 2" xfId="8702" xr:uid="{00000000-0005-0000-0000-0000D2200000}"/>
    <cellStyle name="Note 2 2 3 5 2 2 2" xfId="17152" xr:uid="{E06F40C8-6A70-45C0-9043-65998155AD12}"/>
    <cellStyle name="Note 2 2 3 5 2 3" xfId="12934" xr:uid="{00E95E10-E0CD-4D6A-A960-87FBC887E6DE}"/>
    <cellStyle name="Note 2 2 3 5 3" xfId="6557" xr:uid="{00000000-0005-0000-0000-0000D3200000}"/>
    <cellStyle name="Note 2 2 3 5 3 2" xfId="15007" xr:uid="{65954E4D-87A4-4935-AB45-A484E14EADDB}"/>
    <cellStyle name="Note 2 2 3 5 4" xfId="10789" xr:uid="{FB180035-4F66-4429-9EAA-4227B13AF86C}"/>
    <cellStyle name="Note 2 2 3 6" xfId="2687" xr:uid="{00000000-0005-0000-0000-0000D4200000}"/>
    <cellStyle name="Note 2 2 3 6 2" xfId="6970" xr:uid="{00000000-0005-0000-0000-0000D5200000}"/>
    <cellStyle name="Note 2 2 3 6 2 2" xfId="15420" xr:uid="{231C0D41-83BB-41D2-A4CF-2BE72F68362A}"/>
    <cellStyle name="Note 2 2 3 6 3" xfId="11202" xr:uid="{11F6920B-8794-42C5-9F22-3EF79D3A9056}"/>
    <cellStyle name="Note 2 2 3 7" xfId="2746" xr:uid="{00000000-0005-0000-0000-0000D6200000}"/>
    <cellStyle name="Note 2 2 3 8" xfId="2827" xr:uid="{00000000-0005-0000-0000-0000D7200000}"/>
    <cellStyle name="Note 2 2 3 8 2" xfId="7050" xr:uid="{00000000-0005-0000-0000-0000D8200000}"/>
    <cellStyle name="Note 2 2 3 8 2 2" xfId="15500" xr:uid="{9FD4E7AF-4546-478B-A6A6-B50F77EA1CB0}"/>
    <cellStyle name="Note 2 2 3 8 3" xfId="11282" xr:uid="{EA397720-8EE3-46DD-B757-0C694BC0840B}"/>
    <cellStyle name="Note 2 2 3 9" xfId="4905" xr:uid="{00000000-0005-0000-0000-0000D9200000}"/>
    <cellStyle name="Note 2 2 3 9 2" xfId="13355" xr:uid="{EE628FF2-3CE3-423A-BB80-652ACACC14DA}"/>
    <cellStyle name="Note 2 2 4" xfId="1006" xr:uid="{00000000-0005-0000-0000-0000DA200000}"/>
    <cellStyle name="Note 2 2 4 2" xfId="3238" xr:uid="{00000000-0005-0000-0000-0000DB200000}"/>
    <cellStyle name="Note 2 2 4 2 2" xfId="7460" xr:uid="{00000000-0005-0000-0000-0000DC200000}"/>
    <cellStyle name="Note 2 2 4 2 2 2" xfId="15910" xr:uid="{917AE833-450C-4A3E-8F0D-3E35D0C86103}"/>
    <cellStyle name="Note 2 2 4 2 3" xfId="11692" xr:uid="{FB814C6A-70EC-4146-BCBA-E28731ECDE4B}"/>
    <cellStyle name="Note 2 2 4 3" xfId="5315" xr:uid="{00000000-0005-0000-0000-0000DD200000}"/>
    <cellStyle name="Note 2 2 4 3 2" xfId="13765" xr:uid="{F2E17C16-4900-4728-BD16-F0DAD741AF96}"/>
    <cellStyle name="Note 2 2 4 4" xfId="9547" xr:uid="{A2FF17E8-BFA7-4930-A3A3-8B012111FFC3}"/>
    <cellStyle name="Note 2 2 5" xfId="1421" xr:uid="{00000000-0005-0000-0000-0000DE200000}"/>
    <cellStyle name="Note 2 2 5 2" xfId="3651" xr:uid="{00000000-0005-0000-0000-0000DF200000}"/>
    <cellStyle name="Note 2 2 5 2 2" xfId="7873" xr:uid="{00000000-0005-0000-0000-0000E0200000}"/>
    <cellStyle name="Note 2 2 5 2 2 2" xfId="16323" xr:uid="{434BE0CF-23D7-44E7-8F2B-99D0DF7DD64F}"/>
    <cellStyle name="Note 2 2 5 2 3" xfId="12105" xr:uid="{0BB4A192-8B23-404C-9647-51DAA14ED015}"/>
    <cellStyle name="Note 2 2 5 3" xfId="5728" xr:uid="{00000000-0005-0000-0000-0000E1200000}"/>
    <cellStyle name="Note 2 2 5 3 2" xfId="14178" xr:uid="{38DAC155-A39C-4A00-8079-4BE8A145BB4A}"/>
    <cellStyle name="Note 2 2 5 4" xfId="9960" xr:uid="{CEF7BDEA-01CD-4220-B2B3-CBD40180B0FD}"/>
    <cellStyle name="Note 2 2 6" xfId="1835" xr:uid="{00000000-0005-0000-0000-0000E2200000}"/>
    <cellStyle name="Note 2 2 6 2" xfId="4064" xr:uid="{00000000-0005-0000-0000-0000E3200000}"/>
    <cellStyle name="Note 2 2 6 2 2" xfId="8286" xr:uid="{00000000-0005-0000-0000-0000E4200000}"/>
    <cellStyle name="Note 2 2 6 2 2 2" xfId="16736" xr:uid="{A777D0E6-7BF6-495E-A44C-ECABABD3F731}"/>
    <cellStyle name="Note 2 2 6 2 3" xfId="12518" xr:uid="{ED82EAF6-E4AB-4B06-B422-31556D30C31E}"/>
    <cellStyle name="Note 2 2 6 3" xfId="6141" xr:uid="{00000000-0005-0000-0000-0000E5200000}"/>
    <cellStyle name="Note 2 2 6 3 2" xfId="14591" xr:uid="{A20FAE0B-4895-49C2-9C6E-D41EB059CC53}"/>
    <cellStyle name="Note 2 2 6 4" xfId="10373" xr:uid="{87F288F2-11F2-4F07-BE72-ACB2EED90593}"/>
    <cellStyle name="Note 2 2 7" xfId="2248" xr:uid="{00000000-0005-0000-0000-0000E6200000}"/>
    <cellStyle name="Note 2 2 7 2" xfId="4477" xr:uid="{00000000-0005-0000-0000-0000E7200000}"/>
    <cellStyle name="Note 2 2 7 2 2" xfId="8699" xr:uid="{00000000-0005-0000-0000-0000E8200000}"/>
    <cellStyle name="Note 2 2 7 2 2 2" xfId="17149" xr:uid="{7BD0D436-2C53-4B63-93D9-29645C36227A}"/>
    <cellStyle name="Note 2 2 7 2 3" xfId="12931" xr:uid="{43B162A1-24CF-4445-8B0E-EF6E6BED38C6}"/>
    <cellStyle name="Note 2 2 7 3" xfId="6554" xr:uid="{00000000-0005-0000-0000-0000E9200000}"/>
    <cellStyle name="Note 2 2 7 3 2" xfId="15004" xr:uid="{66732021-84AA-4774-80AC-7CBADC6DB08C}"/>
    <cellStyle name="Note 2 2 7 4" xfId="10786" xr:uid="{60868C38-5A81-439F-900E-0825911CC1C1}"/>
    <cellStyle name="Note 2 2 8" xfId="2684" xr:uid="{00000000-0005-0000-0000-0000EA200000}"/>
    <cellStyle name="Note 2 2 8 2" xfId="6967" xr:uid="{00000000-0005-0000-0000-0000EB200000}"/>
    <cellStyle name="Note 2 2 8 2 2" xfId="15417" xr:uid="{66907563-2A6F-4CD8-AA60-E05409289069}"/>
    <cellStyle name="Note 2 2 8 3" xfId="11199" xr:uid="{F9C9B56F-3A0B-49DD-A636-F4CF4DE101F8}"/>
    <cellStyle name="Note 2 2 9" xfId="2743" xr:uid="{00000000-0005-0000-0000-0000EC200000}"/>
    <cellStyle name="Note 2 3" xfId="549" xr:uid="{00000000-0005-0000-0000-0000ED200000}"/>
    <cellStyle name="Note 2 3 10" xfId="4906" xr:uid="{00000000-0005-0000-0000-0000EE200000}"/>
    <cellStyle name="Note 2 3 10 2" xfId="13356" xr:uid="{F3C29D1C-DDDB-42A5-B9E8-ECADFBE138F3}"/>
    <cellStyle name="Note 2 3 11" xfId="9138" xr:uid="{42D9CC7B-DA39-46A1-A603-B52C85E131FB}"/>
    <cellStyle name="Note 2 3 2" xfId="550" xr:uid="{00000000-0005-0000-0000-0000EF200000}"/>
    <cellStyle name="Note 2 3 2 10" xfId="9139" xr:uid="{038790CD-4419-4167-B595-B8EDE07566BC}"/>
    <cellStyle name="Note 2 3 2 2" xfId="1011" xr:uid="{00000000-0005-0000-0000-0000F0200000}"/>
    <cellStyle name="Note 2 3 2 2 2" xfId="3243" xr:uid="{00000000-0005-0000-0000-0000F1200000}"/>
    <cellStyle name="Note 2 3 2 2 2 2" xfId="7465" xr:uid="{00000000-0005-0000-0000-0000F2200000}"/>
    <cellStyle name="Note 2 3 2 2 2 2 2" xfId="15915" xr:uid="{99B928F4-466C-42BF-97A3-5F29DE3A04E4}"/>
    <cellStyle name="Note 2 3 2 2 2 3" xfId="11697" xr:uid="{B25A6CDF-B01D-48A8-89CF-109F2423E886}"/>
    <cellStyle name="Note 2 3 2 2 3" xfId="5320" xr:uid="{00000000-0005-0000-0000-0000F3200000}"/>
    <cellStyle name="Note 2 3 2 2 3 2" xfId="13770" xr:uid="{9C44D6BC-9CB5-4307-9291-D494E6DC9583}"/>
    <cellStyle name="Note 2 3 2 2 4" xfId="9552" xr:uid="{61055EB3-52B7-4B59-8B53-2B90A5002933}"/>
    <cellStyle name="Note 2 3 2 3" xfId="1426" xr:uid="{00000000-0005-0000-0000-0000F4200000}"/>
    <cellStyle name="Note 2 3 2 3 2" xfId="3656" xr:uid="{00000000-0005-0000-0000-0000F5200000}"/>
    <cellStyle name="Note 2 3 2 3 2 2" xfId="7878" xr:uid="{00000000-0005-0000-0000-0000F6200000}"/>
    <cellStyle name="Note 2 3 2 3 2 2 2" xfId="16328" xr:uid="{7F5AC9EC-BA25-414F-AD52-3310B112F214}"/>
    <cellStyle name="Note 2 3 2 3 2 3" xfId="12110" xr:uid="{28693176-6118-4701-A05A-926CADBF2D00}"/>
    <cellStyle name="Note 2 3 2 3 3" xfId="5733" xr:uid="{00000000-0005-0000-0000-0000F7200000}"/>
    <cellStyle name="Note 2 3 2 3 3 2" xfId="14183" xr:uid="{25D81A63-009E-4483-B962-A501D732A705}"/>
    <cellStyle name="Note 2 3 2 3 4" xfId="9965" xr:uid="{DAA2BEC6-AE05-49A1-AD4A-03D8F21D98F6}"/>
    <cellStyle name="Note 2 3 2 4" xfId="1840" xr:uid="{00000000-0005-0000-0000-0000F8200000}"/>
    <cellStyle name="Note 2 3 2 4 2" xfId="4069" xr:uid="{00000000-0005-0000-0000-0000F9200000}"/>
    <cellStyle name="Note 2 3 2 4 2 2" xfId="8291" xr:uid="{00000000-0005-0000-0000-0000FA200000}"/>
    <cellStyle name="Note 2 3 2 4 2 2 2" xfId="16741" xr:uid="{D0437F76-4F59-4540-92C4-7435ED4A667F}"/>
    <cellStyle name="Note 2 3 2 4 2 3" xfId="12523" xr:uid="{B81CFD2B-CFEA-4E9F-B8F0-FDD01DC57AC6}"/>
    <cellStyle name="Note 2 3 2 4 3" xfId="6146" xr:uid="{00000000-0005-0000-0000-0000FB200000}"/>
    <cellStyle name="Note 2 3 2 4 3 2" xfId="14596" xr:uid="{25887DCB-CE8E-48C1-B130-FC88DAA65074}"/>
    <cellStyle name="Note 2 3 2 4 4" xfId="10378" xr:uid="{CFAFB670-D053-4597-9F29-A2E0C94E6336}"/>
    <cellStyle name="Note 2 3 2 5" xfId="2253" xr:uid="{00000000-0005-0000-0000-0000FC200000}"/>
    <cellStyle name="Note 2 3 2 5 2" xfId="4482" xr:uid="{00000000-0005-0000-0000-0000FD200000}"/>
    <cellStyle name="Note 2 3 2 5 2 2" xfId="8704" xr:uid="{00000000-0005-0000-0000-0000FE200000}"/>
    <cellStyle name="Note 2 3 2 5 2 2 2" xfId="17154" xr:uid="{D2BD8C33-6179-4589-902A-4A1A4B988689}"/>
    <cellStyle name="Note 2 3 2 5 2 3" xfId="12936" xr:uid="{7A73EF73-A6A7-4206-86CA-605AEC624778}"/>
    <cellStyle name="Note 2 3 2 5 3" xfId="6559" xr:uid="{00000000-0005-0000-0000-0000FF200000}"/>
    <cellStyle name="Note 2 3 2 5 3 2" xfId="15009" xr:uid="{1045500B-F916-4509-9003-0877A74E492B}"/>
    <cellStyle name="Note 2 3 2 5 4" xfId="10791" xr:uid="{0E68C2D9-B1BC-45F6-9759-3C2FB33FE494}"/>
    <cellStyle name="Note 2 3 2 6" xfId="2689" xr:uid="{00000000-0005-0000-0000-000000210000}"/>
    <cellStyle name="Note 2 3 2 6 2" xfId="6972" xr:uid="{00000000-0005-0000-0000-000001210000}"/>
    <cellStyle name="Note 2 3 2 6 2 2" xfId="15422" xr:uid="{7662B865-BC13-4D7A-B3B6-7FC60517309E}"/>
    <cellStyle name="Note 2 3 2 6 3" xfId="11204" xr:uid="{C29612DF-C243-4552-8E56-C49E3DFC1B25}"/>
    <cellStyle name="Note 2 3 2 7" xfId="2748" xr:uid="{00000000-0005-0000-0000-000002210000}"/>
    <cellStyle name="Note 2 3 2 8" xfId="2829" xr:uid="{00000000-0005-0000-0000-000003210000}"/>
    <cellStyle name="Note 2 3 2 8 2" xfId="7052" xr:uid="{00000000-0005-0000-0000-000004210000}"/>
    <cellStyle name="Note 2 3 2 8 2 2" xfId="15502" xr:uid="{0F6AFB87-D892-470F-8A84-F6A4EEB02F08}"/>
    <cellStyle name="Note 2 3 2 8 3" xfId="11284" xr:uid="{283BBE93-5F5B-446B-B5B6-A1F35B8B82F4}"/>
    <cellStyle name="Note 2 3 2 9" xfId="4907" xr:uid="{00000000-0005-0000-0000-000005210000}"/>
    <cellStyle name="Note 2 3 2 9 2" xfId="13357" xr:uid="{6420244F-3195-4124-8E3C-91F01DF2E661}"/>
    <cellStyle name="Note 2 3 3" xfId="1010" xr:uid="{00000000-0005-0000-0000-000006210000}"/>
    <cellStyle name="Note 2 3 3 2" xfId="3242" xr:uid="{00000000-0005-0000-0000-000007210000}"/>
    <cellStyle name="Note 2 3 3 2 2" xfId="7464" xr:uid="{00000000-0005-0000-0000-000008210000}"/>
    <cellStyle name="Note 2 3 3 2 2 2" xfId="15914" xr:uid="{B38AF2F6-4EAD-47C6-A691-2FC06042844B}"/>
    <cellStyle name="Note 2 3 3 2 3" xfId="11696" xr:uid="{0D4DF93E-FE20-44A9-82CD-7BA12FF00C38}"/>
    <cellStyle name="Note 2 3 3 3" xfId="5319" xr:uid="{00000000-0005-0000-0000-000009210000}"/>
    <cellStyle name="Note 2 3 3 3 2" xfId="13769" xr:uid="{5E9E0F80-C309-44EF-817D-C52AC9405099}"/>
    <cellStyle name="Note 2 3 3 4" xfId="9551" xr:uid="{256F5C20-27A8-4CCC-BFA5-AE641B6BA34F}"/>
    <cellStyle name="Note 2 3 4" xfId="1425" xr:uid="{00000000-0005-0000-0000-00000A210000}"/>
    <cellStyle name="Note 2 3 4 2" xfId="3655" xr:uid="{00000000-0005-0000-0000-00000B210000}"/>
    <cellStyle name="Note 2 3 4 2 2" xfId="7877" xr:uid="{00000000-0005-0000-0000-00000C210000}"/>
    <cellStyle name="Note 2 3 4 2 2 2" xfId="16327" xr:uid="{ADFE1680-A43F-400F-86D1-CEE80FC30544}"/>
    <cellStyle name="Note 2 3 4 2 3" xfId="12109" xr:uid="{B7E8D65D-1431-45F7-8E32-CC83D7785D80}"/>
    <cellStyle name="Note 2 3 4 3" xfId="5732" xr:uid="{00000000-0005-0000-0000-00000D210000}"/>
    <cellStyle name="Note 2 3 4 3 2" xfId="14182" xr:uid="{E37B495F-9D9D-4B08-BA2A-C89D4A47E194}"/>
    <cellStyle name="Note 2 3 4 4" xfId="9964" xr:uid="{0A7636B9-1827-4A15-B5F3-1415ADFB0197}"/>
    <cellStyle name="Note 2 3 5" xfId="1839" xr:uid="{00000000-0005-0000-0000-00000E210000}"/>
    <cellStyle name="Note 2 3 5 2" xfId="4068" xr:uid="{00000000-0005-0000-0000-00000F210000}"/>
    <cellStyle name="Note 2 3 5 2 2" xfId="8290" xr:uid="{00000000-0005-0000-0000-000010210000}"/>
    <cellStyle name="Note 2 3 5 2 2 2" xfId="16740" xr:uid="{7A35E748-6829-4B28-AEC6-C982BCCEDB59}"/>
    <cellStyle name="Note 2 3 5 2 3" xfId="12522" xr:uid="{11FF170E-2C58-4F7F-9948-07CA72E1A7C2}"/>
    <cellStyle name="Note 2 3 5 3" xfId="6145" xr:uid="{00000000-0005-0000-0000-000011210000}"/>
    <cellStyle name="Note 2 3 5 3 2" xfId="14595" xr:uid="{17D0B0F4-34D1-4435-903A-B8AE5005B617}"/>
    <cellStyle name="Note 2 3 5 4" xfId="10377" xr:uid="{1258B459-4D95-478A-B623-2CAE40143E9A}"/>
    <cellStyle name="Note 2 3 6" xfId="2252" xr:uid="{00000000-0005-0000-0000-000012210000}"/>
    <cellStyle name="Note 2 3 6 2" xfId="4481" xr:uid="{00000000-0005-0000-0000-000013210000}"/>
    <cellStyle name="Note 2 3 6 2 2" xfId="8703" xr:uid="{00000000-0005-0000-0000-000014210000}"/>
    <cellStyle name="Note 2 3 6 2 2 2" xfId="17153" xr:uid="{4C78EF8D-216F-4869-80DE-0404B18CB1D4}"/>
    <cellStyle name="Note 2 3 6 2 3" xfId="12935" xr:uid="{C7172ACA-1521-41CB-AF1F-22F56E054A8F}"/>
    <cellStyle name="Note 2 3 6 3" xfId="6558" xr:uid="{00000000-0005-0000-0000-000015210000}"/>
    <cellStyle name="Note 2 3 6 3 2" xfId="15008" xr:uid="{7C0A9FCF-DAE4-4298-80F9-632C03B8A957}"/>
    <cellStyle name="Note 2 3 6 4" xfId="10790" xr:uid="{B2A4D016-E3CD-4316-B896-047174073468}"/>
    <cellStyle name="Note 2 3 7" xfId="2688" xr:uid="{00000000-0005-0000-0000-000016210000}"/>
    <cellStyle name="Note 2 3 7 2" xfId="6971" xr:uid="{00000000-0005-0000-0000-000017210000}"/>
    <cellStyle name="Note 2 3 7 2 2" xfId="15421" xr:uid="{33717F3E-E636-451F-8D07-2D2C9D04FDB0}"/>
    <cellStyle name="Note 2 3 7 3" xfId="11203" xr:uid="{856FD689-497B-46DC-BF98-4E56F86F6770}"/>
    <cellStyle name="Note 2 3 8" xfId="2747" xr:uid="{00000000-0005-0000-0000-000018210000}"/>
    <cellStyle name="Note 2 3 9" xfId="2828" xr:uid="{00000000-0005-0000-0000-000019210000}"/>
    <cellStyle name="Note 2 3 9 2" xfId="7051" xr:uid="{00000000-0005-0000-0000-00001A210000}"/>
    <cellStyle name="Note 2 3 9 2 2" xfId="15501" xr:uid="{115CDECF-C83B-4008-A162-02F96505FF5B}"/>
    <cellStyle name="Note 2 3 9 3" xfId="11283" xr:uid="{44224494-852F-40E7-8155-63A25335E5AF}"/>
    <cellStyle name="Note 2 4" xfId="551" xr:uid="{00000000-0005-0000-0000-00001B210000}"/>
    <cellStyle name="Note 2 4 10" xfId="9140" xr:uid="{DCDBBFE0-E846-4D14-AFAA-4177A2AA8136}"/>
    <cellStyle name="Note 2 4 2" xfId="1012" xr:uid="{00000000-0005-0000-0000-00001C210000}"/>
    <cellStyle name="Note 2 4 2 2" xfId="3244" xr:uid="{00000000-0005-0000-0000-00001D210000}"/>
    <cellStyle name="Note 2 4 2 2 2" xfId="7466" xr:uid="{00000000-0005-0000-0000-00001E210000}"/>
    <cellStyle name="Note 2 4 2 2 2 2" xfId="15916" xr:uid="{75C6F377-390B-4F97-91A4-0C7506B6F322}"/>
    <cellStyle name="Note 2 4 2 2 3" xfId="11698" xr:uid="{556D0D09-64AF-4CDD-8F56-CFA8AE7CE356}"/>
    <cellStyle name="Note 2 4 2 3" xfId="5321" xr:uid="{00000000-0005-0000-0000-00001F210000}"/>
    <cellStyle name="Note 2 4 2 3 2" xfId="13771" xr:uid="{5B00CFD9-C73C-48B4-B91E-A8D5D2C1C139}"/>
    <cellStyle name="Note 2 4 2 4" xfId="9553" xr:uid="{1B2EF939-F061-4CB4-B53C-7399F3C5958A}"/>
    <cellStyle name="Note 2 4 3" xfId="1427" xr:uid="{00000000-0005-0000-0000-000020210000}"/>
    <cellStyle name="Note 2 4 3 2" xfId="3657" xr:uid="{00000000-0005-0000-0000-000021210000}"/>
    <cellStyle name="Note 2 4 3 2 2" xfId="7879" xr:uid="{00000000-0005-0000-0000-000022210000}"/>
    <cellStyle name="Note 2 4 3 2 2 2" xfId="16329" xr:uid="{62E1E2D0-D443-4719-9DAE-FF362700E55A}"/>
    <cellStyle name="Note 2 4 3 2 3" xfId="12111" xr:uid="{1D4A2362-77BA-4999-A6FC-C08CEDF024FE}"/>
    <cellStyle name="Note 2 4 3 3" xfId="5734" xr:uid="{00000000-0005-0000-0000-000023210000}"/>
    <cellStyle name="Note 2 4 3 3 2" xfId="14184" xr:uid="{1C2FC406-58A1-49FE-AA1A-0DC99B315612}"/>
    <cellStyle name="Note 2 4 3 4" xfId="9966" xr:uid="{0BB0D8BB-F2E2-4B8F-84E3-6A3B0573ADFA}"/>
    <cellStyle name="Note 2 4 4" xfId="1841" xr:uid="{00000000-0005-0000-0000-000024210000}"/>
    <cellStyle name="Note 2 4 4 2" xfId="4070" xr:uid="{00000000-0005-0000-0000-000025210000}"/>
    <cellStyle name="Note 2 4 4 2 2" xfId="8292" xr:uid="{00000000-0005-0000-0000-000026210000}"/>
    <cellStyle name="Note 2 4 4 2 2 2" xfId="16742" xr:uid="{EC1A643F-4869-4FAC-AEB5-8A29CFD9DCAE}"/>
    <cellStyle name="Note 2 4 4 2 3" xfId="12524" xr:uid="{CCAC2083-7D33-4C0C-8ED8-4D1F0AB40B77}"/>
    <cellStyle name="Note 2 4 4 3" xfId="6147" xr:uid="{00000000-0005-0000-0000-000027210000}"/>
    <cellStyle name="Note 2 4 4 3 2" xfId="14597" xr:uid="{3D0A8560-3647-4064-A400-4300F2F0B239}"/>
    <cellStyle name="Note 2 4 4 4" xfId="10379" xr:uid="{02455149-B5D0-43A4-AA62-14FB7420854E}"/>
    <cellStyle name="Note 2 4 5" xfId="2254" xr:uid="{00000000-0005-0000-0000-000028210000}"/>
    <cellStyle name="Note 2 4 5 2" xfId="4483" xr:uid="{00000000-0005-0000-0000-000029210000}"/>
    <cellStyle name="Note 2 4 5 2 2" xfId="8705" xr:uid="{00000000-0005-0000-0000-00002A210000}"/>
    <cellStyle name="Note 2 4 5 2 2 2" xfId="17155" xr:uid="{4C271310-2312-4629-9C08-76961108632D}"/>
    <cellStyle name="Note 2 4 5 2 3" xfId="12937" xr:uid="{949BB519-9AA2-4B49-AB6C-A5903D7EACBD}"/>
    <cellStyle name="Note 2 4 5 3" xfId="6560" xr:uid="{00000000-0005-0000-0000-00002B210000}"/>
    <cellStyle name="Note 2 4 5 3 2" xfId="15010" xr:uid="{9EC4454D-9379-424D-9B74-5C8493D7A3F9}"/>
    <cellStyle name="Note 2 4 5 4" xfId="10792" xr:uid="{0878E861-2134-470E-B8C1-9FE825BBF37A}"/>
    <cellStyle name="Note 2 4 6" xfId="2690" xr:uid="{00000000-0005-0000-0000-00002C210000}"/>
    <cellStyle name="Note 2 4 6 2" xfId="6973" xr:uid="{00000000-0005-0000-0000-00002D210000}"/>
    <cellStyle name="Note 2 4 6 2 2" xfId="15423" xr:uid="{3F89688E-DB21-4013-80B9-8D6917818B7C}"/>
    <cellStyle name="Note 2 4 6 3" xfId="11205" xr:uid="{3F772600-F65B-4D91-B5FF-101AB564E73D}"/>
    <cellStyle name="Note 2 4 7" xfId="2749" xr:uid="{00000000-0005-0000-0000-00002E210000}"/>
    <cellStyle name="Note 2 4 8" xfId="2830" xr:uid="{00000000-0005-0000-0000-00002F210000}"/>
    <cellStyle name="Note 2 4 8 2" xfId="7053" xr:uid="{00000000-0005-0000-0000-000030210000}"/>
    <cellStyle name="Note 2 4 8 2 2" xfId="15503" xr:uid="{04284369-5C07-47B6-836A-74B6B2FFC402}"/>
    <cellStyle name="Note 2 4 8 3" xfId="11285" xr:uid="{249A42DB-D518-4131-B714-E8F69ED89755}"/>
    <cellStyle name="Note 2 4 9" xfId="4908" xr:uid="{00000000-0005-0000-0000-000031210000}"/>
    <cellStyle name="Note 2 4 9 2" xfId="13358" xr:uid="{F07FAFF3-B60C-4B96-A070-71049CED979C}"/>
    <cellStyle name="Note 2 5" xfId="552" xr:uid="{00000000-0005-0000-0000-000032210000}"/>
    <cellStyle name="Note 2 5 10" xfId="9141" xr:uid="{C8B1BA8F-D6BC-476C-8000-095B27270F7C}"/>
    <cellStyle name="Note 2 5 2" xfId="1013" xr:uid="{00000000-0005-0000-0000-000033210000}"/>
    <cellStyle name="Note 2 5 2 2" xfId="3245" xr:uid="{00000000-0005-0000-0000-000034210000}"/>
    <cellStyle name="Note 2 5 2 2 2" xfId="7467" xr:uid="{00000000-0005-0000-0000-000035210000}"/>
    <cellStyle name="Note 2 5 2 2 2 2" xfId="15917" xr:uid="{4CEA85EE-F9B3-4F0A-8883-1DB47A9632AA}"/>
    <cellStyle name="Note 2 5 2 2 3" xfId="11699" xr:uid="{F6EFCD00-0AD2-42A1-A3B0-A1B3133281C7}"/>
    <cellStyle name="Note 2 5 2 3" xfId="5322" xr:uid="{00000000-0005-0000-0000-000036210000}"/>
    <cellStyle name="Note 2 5 2 3 2" xfId="13772" xr:uid="{A81CDA4F-5DFF-4089-8F5B-4762843204C2}"/>
    <cellStyle name="Note 2 5 2 4" xfId="9554" xr:uid="{7E543253-451C-4724-8176-3294F2B7EF30}"/>
    <cellStyle name="Note 2 5 3" xfId="1428" xr:uid="{00000000-0005-0000-0000-000037210000}"/>
    <cellStyle name="Note 2 5 3 2" xfId="3658" xr:uid="{00000000-0005-0000-0000-000038210000}"/>
    <cellStyle name="Note 2 5 3 2 2" xfId="7880" xr:uid="{00000000-0005-0000-0000-000039210000}"/>
    <cellStyle name="Note 2 5 3 2 2 2" xfId="16330" xr:uid="{C3472DE3-382A-4ED5-8A01-D7944AACF67B}"/>
    <cellStyle name="Note 2 5 3 2 3" xfId="12112" xr:uid="{1904638A-9824-4968-9A9D-AA015DF38830}"/>
    <cellStyle name="Note 2 5 3 3" xfId="5735" xr:uid="{00000000-0005-0000-0000-00003A210000}"/>
    <cellStyle name="Note 2 5 3 3 2" xfId="14185" xr:uid="{13421867-4E24-4903-BCA4-4B9AFC7B6BB7}"/>
    <cellStyle name="Note 2 5 3 4" xfId="9967" xr:uid="{167F4843-8A56-4EBD-8A52-2CF26FA43E23}"/>
    <cellStyle name="Note 2 5 4" xfId="1842" xr:uid="{00000000-0005-0000-0000-00003B210000}"/>
    <cellStyle name="Note 2 5 4 2" xfId="4071" xr:uid="{00000000-0005-0000-0000-00003C210000}"/>
    <cellStyle name="Note 2 5 4 2 2" xfId="8293" xr:uid="{00000000-0005-0000-0000-00003D210000}"/>
    <cellStyle name="Note 2 5 4 2 2 2" xfId="16743" xr:uid="{B6D8046D-FA83-491D-994B-F7DCC3D426BB}"/>
    <cellStyle name="Note 2 5 4 2 3" xfId="12525" xr:uid="{18147E92-E0B6-439A-96B8-C0D77AC9B127}"/>
    <cellStyle name="Note 2 5 4 3" xfId="6148" xr:uid="{00000000-0005-0000-0000-00003E210000}"/>
    <cellStyle name="Note 2 5 4 3 2" xfId="14598" xr:uid="{3258B690-A15E-46EB-8EE1-D8099E3D9942}"/>
    <cellStyle name="Note 2 5 4 4" xfId="10380" xr:uid="{C5F7D66A-7D25-4374-B62D-50E1BF64B10F}"/>
    <cellStyle name="Note 2 5 5" xfId="2255" xr:uid="{00000000-0005-0000-0000-00003F210000}"/>
    <cellStyle name="Note 2 5 5 2" xfId="4484" xr:uid="{00000000-0005-0000-0000-000040210000}"/>
    <cellStyle name="Note 2 5 5 2 2" xfId="8706" xr:uid="{00000000-0005-0000-0000-000041210000}"/>
    <cellStyle name="Note 2 5 5 2 2 2" xfId="17156" xr:uid="{DD3D8208-17FF-4E44-92FB-C39C4084E4EA}"/>
    <cellStyle name="Note 2 5 5 2 3" xfId="12938" xr:uid="{899DEB33-9917-489B-B852-ED492DA2B05C}"/>
    <cellStyle name="Note 2 5 5 3" xfId="6561" xr:uid="{00000000-0005-0000-0000-000042210000}"/>
    <cellStyle name="Note 2 5 5 3 2" xfId="15011" xr:uid="{36BC598D-6DB2-4BC2-9C5A-139B3FE101AF}"/>
    <cellStyle name="Note 2 5 5 4" xfId="10793" xr:uid="{DC424B82-5482-4458-8390-BCBD6BD41A91}"/>
    <cellStyle name="Note 2 5 6" xfId="2691" xr:uid="{00000000-0005-0000-0000-000043210000}"/>
    <cellStyle name="Note 2 5 6 2" xfId="6974" xr:uid="{00000000-0005-0000-0000-000044210000}"/>
    <cellStyle name="Note 2 5 6 2 2" xfId="15424" xr:uid="{AAD89B20-58EE-4763-8BDD-FF50E151C2AE}"/>
    <cellStyle name="Note 2 5 6 3" xfId="11206" xr:uid="{78B4FFB4-8A2F-4E3C-AD33-89EB5F3A78BA}"/>
    <cellStyle name="Note 2 5 7" xfId="2750" xr:uid="{00000000-0005-0000-0000-000045210000}"/>
    <cellStyle name="Note 2 5 8" xfId="2831" xr:uid="{00000000-0005-0000-0000-000046210000}"/>
    <cellStyle name="Note 2 5 8 2" xfId="7054" xr:uid="{00000000-0005-0000-0000-000047210000}"/>
    <cellStyle name="Note 2 5 8 2 2" xfId="15504" xr:uid="{3F2B2BD9-8B7A-497A-83F2-8E16FD6F2985}"/>
    <cellStyle name="Note 2 5 8 3" xfId="11286" xr:uid="{8DE06D23-2AC8-4889-B031-EB5BF92B307A}"/>
    <cellStyle name="Note 2 5 9" xfId="4909" xr:uid="{00000000-0005-0000-0000-000048210000}"/>
    <cellStyle name="Note 2 5 9 2" xfId="13359" xr:uid="{F30B88B5-D44D-428F-A4A8-0FA6627C11A7}"/>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61A2F48B-5242-4DC1-8D08-50EC26A268AA}"/>
    <cellStyle name="Note 3 2 10 3" xfId="11287" xr:uid="{FDFD5B01-CA5D-4425-810E-2D66C14112D6}"/>
    <cellStyle name="Note 3 2 11" xfId="4910" xr:uid="{00000000-0005-0000-0000-00004D210000}"/>
    <cellStyle name="Note 3 2 11 2" xfId="13360" xr:uid="{F3C23ABD-A245-412A-BC4F-67ABD796731C}"/>
    <cellStyle name="Note 3 2 12" xfId="9142" xr:uid="{6001E80B-CB57-417B-8113-DBCB98B543E4}"/>
    <cellStyle name="Note 3 2 2" xfId="555" xr:uid="{00000000-0005-0000-0000-00004E210000}"/>
    <cellStyle name="Note 3 2 2 10" xfId="4911" xr:uid="{00000000-0005-0000-0000-00004F210000}"/>
    <cellStyle name="Note 3 2 2 10 2" xfId="13361" xr:uid="{D479EE0F-F349-41B4-AF7F-16D55C7143FA}"/>
    <cellStyle name="Note 3 2 2 11" xfId="9143" xr:uid="{3A61AB09-108F-4D4E-BB84-412BC0437FC4}"/>
    <cellStyle name="Note 3 2 2 2" xfId="556" xr:uid="{00000000-0005-0000-0000-000050210000}"/>
    <cellStyle name="Note 3 2 2 2 10" xfId="9144" xr:uid="{DF9D7FFB-6C53-4F2D-B114-674D6A88D44C}"/>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DE7219E9-1AA0-442B-A6B0-D2CFAE1BFE97}"/>
    <cellStyle name="Note 3 2 2 2 2 2 3" xfId="11702" xr:uid="{2B050A80-0373-463B-8BD6-8DC1E4C61AA9}"/>
    <cellStyle name="Note 3 2 2 2 2 3" xfId="5325" xr:uid="{00000000-0005-0000-0000-000054210000}"/>
    <cellStyle name="Note 3 2 2 2 2 3 2" xfId="13775" xr:uid="{35CE4641-440E-485D-BFB4-08EE41F1C4FA}"/>
    <cellStyle name="Note 3 2 2 2 2 4" xfId="9557" xr:uid="{DF0A88E6-5884-46D9-B288-B156A30EAF56}"/>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65B5F900-BB0E-4D43-B45B-10962C8531EE}"/>
    <cellStyle name="Note 3 2 2 2 3 2 3" xfId="12115" xr:uid="{4634D695-26C7-4A14-B2D3-7746FAB759EB}"/>
    <cellStyle name="Note 3 2 2 2 3 3" xfId="5738" xr:uid="{00000000-0005-0000-0000-000058210000}"/>
    <cellStyle name="Note 3 2 2 2 3 3 2" xfId="14188" xr:uid="{81FB7799-7F30-4979-81D1-22DB49F3A054}"/>
    <cellStyle name="Note 3 2 2 2 3 4" xfId="9970" xr:uid="{4CE84025-81EA-4DB9-99FA-D22152D84E33}"/>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6ED893A1-A76B-46D5-AA7A-F490EEBA837F}"/>
    <cellStyle name="Note 3 2 2 2 4 2 3" xfId="12528" xr:uid="{987A7DEF-0292-4275-8A98-3F1DAACF3CA4}"/>
    <cellStyle name="Note 3 2 2 2 4 3" xfId="6151" xr:uid="{00000000-0005-0000-0000-00005C210000}"/>
    <cellStyle name="Note 3 2 2 2 4 3 2" xfId="14601" xr:uid="{4744E7C5-0631-4747-BD6A-3FE51D586441}"/>
    <cellStyle name="Note 3 2 2 2 4 4" xfId="10383" xr:uid="{CE4510B7-CCFF-44BC-B8F0-8D176B780C96}"/>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7583D232-33A2-4AAE-A8BC-EBBA9CE41322}"/>
    <cellStyle name="Note 3 2 2 2 5 2 3" xfId="12941" xr:uid="{320B61B8-C7F8-4CA2-BAFA-D0CEA0BB0153}"/>
    <cellStyle name="Note 3 2 2 2 5 3" xfId="6564" xr:uid="{00000000-0005-0000-0000-000060210000}"/>
    <cellStyle name="Note 3 2 2 2 5 3 2" xfId="15014" xr:uid="{2A5BD8CE-91D5-4C7B-8BA3-E333E404D49F}"/>
    <cellStyle name="Note 3 2 2 2 5 4" xfId="10796" xr:uid="{4D4E75AF-597C-46A8-9B45-6A5C5F0E193A}"/>
    <cellStyle name="Note 3 2 2 2 6" xfId="2694" xr:uid="{00000000-0005-0000-0000-000061210000}"/>
    <cellStyle name="Note 3 2 2 2 6 2" xfId="6977" xr:uid="{00000000-0005-0000-0000-000062210000}"/>
    <cellStyle name="Note 3 2 2 2 6 2 2" xfId="15427" xr:uid="{35727460-FBDE-4BD1-9AD1-211C2B5FFB98}"/>
    <cellStyle name="Note 3 2 2 2 6 3" xfId="11209" xr:uid="{930BC9C0-CB33-4F75-9FEE-45A2C29F4FFC}"/>
    <cellStyle name="Note 3 2 2 2 7" xfId="2753" xr:uid="{00000000-0005-0000-0000-000063210000}"/>
    <cellStyle name="Note 3 2 2 2 8" xfId="2834" xr:uid="{00000000-0005-0000-0000-000064210000}"/>
    <cellStyle name="Note 3 2 2 2 8 2" xfId="7057" xr:uid="{00000000-0005-0000-0000-000065210000}"/>
    <cellStyle name="Note 3 2 2 2 8 2 2" xfId="15507" xr:uid="{0BD97C48-33A0-4E2A-9FCC-7547AC87B9DC}"/>
    <cellStyle name="Note 3 2 2 2 8 3" xfId="11289" xr:uid="{EB1691F0-BF79-4FC0-B618-5B0785E13FC4}"/>
    <cellStyle name="Note 3 2 2 2 9" xfId="4912" xr:uid="{00000000-0005-0000-0000-000066210000}"/>
    <cellStyle name="Note 3 2 2 2 9 2" xfId="13362" xr:uid="{31FAE1C3-4459-4CA9-B2C4-D607CAAE3312}"/>
    <cellStyle name="Note 3 2 2 3" xfId="1015" xr:uid="{00000000-0005-0000-0000-000067210000}"/>
    <cellStyle name="Note 3 2 2 3 2" xfId="3247" xr:uid="{00000000-0005-0000-0000-000068210000}"/>
    <cellStyle name="Note 3 2 2 3 2 2" xfId="7469" xr:uid="{00000000-0005-0000-0000-000069210000}"/>
    <cellStyle name="Note 3 2 2 3 2 2 2" xfId="15919" xr:uid="{D67E9986-6186-4917-AC30-7EB1AE8CDE70}"/>
    <cellStyle name="Note 3 2 2 3 2 3" xfId="11701" xr:uid="{182B8F5A-65A0-4DD2-9B0B-E3CE37B4786D}"/>
    <cellStyle name="Note 3 2 2 3 3" xfId="5324" xr:uid="{00000000-0005-0000-0000-00006A210000}"/>
    <cellStyle name="Note 3 2 2 3 3 2" xfId="13774" xr:uid="{9361311A-9455-42AC-A52E-95B4739BD913}"/>
    <cellStyle name="Note 3 2 2 3 4" xfId="9556" xr:uid="{D504D4B5-B485-490B-A3E0-275D145103C9}"/>
    <cellStyle name="Note 3 2 2 4" xfId="1430" xr:uid="{00000000-0005-0000-0000-00006B210000}"/>
    <cellStyle name="Note 3 2 2 4 2" xfId="3660" xr:uid="{00000000-0005-0000-0000-00006C210000}"/>
    <cellStyle name="Note 3 2 2 4 2 2" xfId="7882" xr:uid="{00000000-0005-0000-0000-00006D210000}"/>
    <cellStyle name="Note 3 2 2 4 2 2 2" xfId="16332" xr:uid="{7FCFCC34-CC2B-48A1-A2CE-B15093D9F6D6}"/>
    <cellStyle name="Note 3 2 2 4 2 3" xfId="12114" xr:uid="{D2FB6113-F0B1-47C7-9861-9287E50B44A6}"/>
    <cellStyle name="Note 3 2 2 4 3" xfId="5737" xr:uid="{00000000-0005-0000-0000-00006E210000}"/>
    <cellStyle name="Note 3 2 2 4 3 2" xfId="14187" xr:uid="{C909B32F-BC0B-4203-88AC-7F58AE584B2A}"/>
    <cellStyle name="Note 3 2 2 4 4" xfId="9969" xr:uid="{D76208AD-9D95-4713-97DD-7BED02123AE6}"/>
    <cellStyle name="Note 3 2 2 5" xfId="1844" xr:uid="{00000000-0005-0000-0000-00006F210000}"/>
    <cellStyle name="Note 3 2 2 5 2" xfId="4073" xr:uid="{00000000-0005-0000-0000-000070210000}"/>
    <cellStyle name="Note 3 2 2 5 2 2" xfId="8295" xr:uid="{00000000-0005-0000-0000-000071210000}"/>
    <cellStyle name="Note 3 2 2 5 2 2 2" xfId="16745" xr:uid="{2FBE6DFA-6C46-4A80-A02C-26CF31A5D5B3}"/>
    <cellStyle name="Note 3 2 2 5 2 3" xfId="12527" xr:uid="{41AB645D-F61D-4487-A46B-1B3A34CE2AA8}"/>
    <cellStyle name="Note 3 2 2 5 3" xfId="6150" xr:uid="{00000000-0005-0000-0000-000072210000}"/>
    <cellStyle name="Note 3 2 2 5 3 2" xfId="14600" xr:uid="{C2E37A95-C349-407C-B29B-10295AA8AE9E}"/>
    <cellStyle name="Note 3 2 2 5 4" xfId="10382" xr:uid="{D2A3D97A-0F52-4036-A8D0-18A0D0FAA049}"/>
    <cellStyle name="Note 3 2 2 6" xfId="2257" xr:uid="{00000000-0005-0000-0000-000073210000}"/>
    <cellStyle name="Note 3 2 2 6 2" xfId="4486" xr:uid="{00000000-0005-0000-0000-000074210000}"/>
    <cellStyle name="Note 3 2 2 6 2 2" xfId="8708" xr:uid="{00000000-0005-0000-0000-000075210000}"/>
    <cellStyle name="Note 3 2 2 6 2 2 2" xfId="17158" xr:uid="{3FA07817-52F2-4354-86DE-9F82437A3452}"/>
    <cellStyle name="Note 3 2 2 6 2 3" xfId="12940" xr:uid="{CD7F8242-744C-42B2-8D4A-00E6D58F3C05}"/>
    <cellStyle name="Note 3 2 2 6 3" xfId="6563" xr:uid="{00000000-0005-0000-0000-000076210000}"/>
    <cellStyle name="Note 3 2 2 6 3 2" xfId="15013" xr:uid="{432D7D60-0DA6-4BB7-8A74-BCB16B560ABD}"/>
    <cellStyle name="Note 3 2 2 6 4" xfId="10795" xr:uid="{A321E25E-5F16-4003-83EC-4D13D9F241D0}"/>
    <cellStyle name="Note 3 2 2 7" xfId="2693" xr:uid="{00000000-0005-0000-0000-000077210000}"/>
    <cellStyle name="Note 3 2 2 7 2" xfId="6976" xr:uid="{00000000-0005-0000-0000-000078210000}"/>
    <cellStyle name="Note 3 2 2 7 2 2" xfId="15426" xr:uid="{89EF0C25-90DD-4D1D-9C75-E87F6E244472}"/>
    <cellStyle name="Note 3 2 2 7 3" xfId="11208" xr:uid="{DB490DFD-FF80-4374-B963-17F3DE1293A1}"/>
    <cellStyle name="Note 3 2 2 8" xfId="2752" xr:uid="{00000000-0005-0000-0000-000079210000}"/>
    <cellStyle name="Note 3 2 2 9" xfId="2833" xr:uid="{00000000-0005-0000-0000-00007A210000}"/>
    <cellStyle name="Note 3 2 2 9 2" xfId="7056" xr:uid="{00000000-0005-0000-0000-00007B210000}"/>
    <cellStyle name="Note 3 2 2 9 2 2" xfId="15506" xr:uid="{C1D7152B-6836-4C35-A93C-011A978C0221}"/>
    <cellStyle name="Note 3 2 2 9 3" xfId="11288" xr:uid="{85E1237F-8838-46FF-B336-FCEE6B6D2BAF}"/>
    <cellStyle name="Note 3 2 3" xfId="557" xr:uid="{00000000-0005-0000-0000-00007C210000}"/>
    <cellStyle name="Note 3 2 3 10" xfId="9145" xr:uid="{AFAE7513-4C83-4804-96EC-903006263E69}"/>
    <cellStyle name="Note 3 2 3 2" xfId="1017" xr:uid="{00000000-0005-0000-0000-00007D210000}"/>
    <cellStyle name="Note 3 2 3 2 2" xfId="3249" xr:uid="{00000000-0005-0000-0000-00007E210000}"/>
    <cellStyle name="Note 3 2 3 2 2 2" xfId="7471" xr:uid="{00000000-0005-0000-0000-00007F210000}"/>
    <cellStyle name="Note 3 2 3 2 2 2 2" xfId="15921" xr:uid="{E0027E1E-03FF-4E42-B4E1-439EBB82B04B}"/>
    <cellStyle name="Note 3 2 3 2 2 3" xfId="11703" xr:uid="{7D8721DD-6A31-41A4-85AE-2413C3128B02}"/>
    <cellStyle name="Note 3 2 3 2 3" xfId="5326" xr:uid="{00000000-0005-0000-0000-000080210000}"/>
    <cellStyle name="Note 3 2 3 2 3 2" xfId="13776" xr:uid="{CE225871-97B2-4525-B321-465D6DD01581}"/>
    <cellStyle name="Note 3 2 3 2 4" xfId="9558" xr:uid="{7330E7C6-BACD-406B-A8F0-5F53D87B1493}"/>
    <cellStyle name="Note 3 2 3 3" xfId="1432" xr:uid="{00000000-0005-0000-0000-000081210000}"/>
    <cellStyle name="Note 3 2 3 3 2" xfId="3662" xr:uid="{00000000-0005-0000-0000-000082210000}"/>
    <cellStyle name="Note 3 2 3 3 2 2" xfId="7884" xr:uid="{00000000-0005-0000-0000-000083210000}"/>
    <cellStyle name="Note 3 2 3 3 2 2 2" xfId="16334" xr:uid="{78804FBB-40DD-4D79-A456-291EA6EC2749}"/>
    <cellStyle name="Note 3 2 3 3 2 3" xfId="12116" xr:uid="{73252198-9C1F-4DF5-9E8F-80BDE1948441}"/>
    <cellStyle name="Note 3 2 3 3 3" xfId="5739" xr:uid="{00000000-0005-0000-0000-000084210000}"/>
    <cellStyle name="Note 3 2 3 3 3 2" xfId="14189" xr:uid="{97B4BB00-91A4-4AE0-A050-DF7637AA7928}"/>
    <cellStyle name="Note 3 2 3 3 4" xfId="9971" xr:uid="{1AD2F9A9-38B0-4B7F-9F6E-D460D6388D86}"/>
    <cellStyle name="Note 3 2 3 4" xfId="1846" xr:uid="{00000000-0005-0000-0000-000085210000}"/>
    <cellStyle name="Note 3 2 3 4 2" xfId="4075" xr:uid="{00000000-0005-0000-0000-000086210000}"/>
    <cellStyle name="Note 3 2 3 4 2 2" xfId="8297" xr:uid="{00000000-0005-0000-0000-000087210000}"/>
    <cellStyle name="Note 3 2 3 4 2 2 2" xfId="16747" xr:uid="{C340AF95-208A-407D-B0BB-06770A871F17}"/>
    <cellStyle name="Note 3 2 3 4 2 3" xfId="12529" xr:uid="{91BCFCC9-89AE-4E59-B2A2-D0085C897141}"/>
    <cellStyle name="Note 3 2 3 4 3" xfId="6152" xr:uid="{00000000-0005-0000-0000-000088210000}"/>
    <cellStyle name="Note 3 2 3 4 3 2" xfId="14602" xr:uid="{4B96E908-4C37-46DD-8EAE-782F5D36BC85}"/>
    <cellStyle name="Note 3 2 3 4 4" xfId="10384" xr:uid="{2ACC4F1E-F6CD-403D-8C47-A914E3B96F7B}"/>
    <cellStyle name="Note 3 2 3 5" xfId="2259" xr:uid="{00000000-0005-0000-0000-000089210000}"/>
    <cellStyle name="Note 3 2 3 5 2" xfId="4488" xr:uid="{00000000-0005-0000-0000-00008A210000}"/>
    <cellStyle name="Note 3 2 3 5 2 2" xfId="8710" xr:uid="{00000000-0005-0000-0000-00008B210000}"/>
    <cellStyle name="Note 3 2 3 5 2 2 2" xfId="17160" xr:uid="{A3468920-168A-492C-930F-4D97DD1235B9}"/>
    <cellStyle name="Note 3 2 3 5 2 3" xfId="12942" xr:uid="{96611517-572E-4201-A6A1-D556918591A1}"/>
    <cellStyle name="Note 3 2 3 5 3" xfId="6565" xr:uid="{00000000-0005-0000-0000-00008C210000}"/>
    <cellStyle name="Note 3 2 3 5 3 2" xfId="15015" xr:uid="{C6C3EDF0-5866-4D8D-A214-AB1DEDEF4B61}"/>
    <cellStyle name="Note 3 2 3 5 4" xfId="10797" xr:uid="{554CBD95-E8BF-4780-B4CF-817E542E9FAF}"/>
    <cellStyle name="Note 3 2 3 6" xfId="2695" xr:uid="{00000000-0005-0000-0000-00008D210000}"/>
    <cellStyle name="Note 3 2 3 6 2" xfId="6978" xr:uid="{00000000-0005-0000-0000-00008E210000}"/>
    <cellStyle name="Note 3 2 3 6 2 2" xfId="15428" xr:uid="{77C29CA0-CC2A-403F-899A-FC4F20DB7F63}"/>
    <cellStyle name="Note 3 2 3 6 3" xfId="11210" xr:uid="{1238DC91-3880-421F-B0E2-B16FB02CA397}"/>
    <cellStyle name="Note 3 2 3 7" xfId="2754" xr:uid="{00000000-0005-0000-0000-00008F210000}"/>
    <cellStyle name="Note 3 2 3 8" xfId="2835" xr:uid="{00000000-0005-0000-0000-000090210000}"/>
    <cellStyle name="Note 3 2 3 8 2" xfId="7058" xr:uid="{00000000-0005-0000-0000-000091210000}"/>
    <cellStyle name="Note 3 2 3 8 2 2" xfId="15508" xr:uid="{F054297C-8EA5-4A9F-B008-EA9CE9EB96BE}"/>
    <cellStyle name="Note 3 2 3 8 3" xfId="11290" xr:uid="{AB2500D5-C3FF-4811-8FAD-E332F4096712}"/>
    <cellStyle name="Note 3 2 3 9" xfId="4913" xr:uid="{00000000-0005-0000-0000-000092210000}"/>
    <cellStyle name="Note 3 2 3 9 2" xfId="13363" xr:uid="{14558D85-4230-44E2-BA2A-AD9381337A46}"/>
    <cellStyle name="Note 3 2 4" xfId="1014" xr:uid="{00000000-0005-0000-0000-000093210000}"/>
    <cellStyle name="Note 3 2 4 2" xfId="3246" xr:uid="{00000000-0005-0000-0000-000094210000}"/>
    <cellStyle name="Note 3 2 4 2 2" xfId="7468" xr:uid="{00000000-0005-0000-0000-000095210000}"/>
    <cellStyle name="Note 3 2 4 2 2 2" xfId="15918" xr:uid="{06AD6705-B31A-4C1D-9F0F-724519668C88}"/>
    <cellStyle name="Note 3 2 4 2 3" xfId="11700" xr:uid="{44C20241-E8F5-40C6-8A69-E66482F01A6B}"/>
    <cellStyle name="Note 3 2 4 3" xfId="5323" xr:uid="{00000000-0005-0000-0000-000096210000}"/>
    <cellStyle name="Note 3 2 4 3 2" xfId="13773" xr:uid="{5F5D0E0B-F146-4267-A345-DD92DEA9FA59}"/>
    <cellStyle name="Note 3 2 4 4" xfId="9555" xr:uid="{E708CD2D-6CD8-44DE-B766-F46007D4734E}"/>
    <cellStyle name="Note 3 2 5" xfId="1429" xr:uid="{00000000-0005-0000-0000-000097210000}"/>
    <cellStyle name="Note 3 2 5 2" xfId="3659" xr:uid="{00000000-0005-0000-0000-000098210000}"/>
    <cellStyle name="Note 3 2 5 2 2" xfId="7881" xr:uid="{00000000-0005-0000-0000-000099210000}"/>
    <cellStyle name="Note 3 2 5 2 2 2" xfId="16331" xr:uid="{0E0C141A-170E-49D3-9A73-FFFA80F79E91}"/>
    <cellStyle name="Note 3 2 5 2 3" xfId="12113" xr:uid="{EAEBDEA1-05CC-4CBB-98AC-68723C554C12}"/>
    <cellStyle name="Note 3 2 5 3" xfId="5736" xr:uid="{00000000-0005-0000-0000-00009A210000}"/>
    <cellStyle name="Note 3 2 5 3 2" xfId="14186" xr:uid="{FB9DA55B-C3B4-4E2E-9949-1B2321173BAD}"/>
    <cellStyle name="Note 3 2 5 4" xfId="9968" xr:uid="{1FA039A3-2245-4D5E-9BE2-2B7939D9CF24}"/>
    <cellStyle name="Note 3 2 6" xfId="1843" xr:uid="{00000000-0005-0000-0000-00009B210000}"/>
    <cellStyle name="Note 3 2 6 2" xfId="4072" xr:uid="{00000000-0005-0000-0000-00009C210000}"/>
    <cellStyle name="Note 3 2 6 2 2" xfId="8294" xr:uid="{00000000-0005-0000-0000-00009D210000}"/>
    <cellStyle name="Note 3 2 6 2 2 2" xfId="16744" xr:uid="{1FD2B188-5C3A-4D41-8D4C-83FDF535BB3A}"/>
    <cellStyle name="Note 3 2 6 2 3" xfId="12526" xr:uid="{D6702132-8605-43B0-BD97-95FA38A9EFCB}"/>
    <cellStyle name="Note 3 2 6 3" xfId="6149" xr:uid="{00000000-0005-0000-0000-00009E210000}"/>
    <cellStyle name="Note 3 2 6 3 2" xfId="14599" xr:uid="{F0D975F1-D430-437E-B61D-04EA9DC4C71F}"/>
    <cellStyle name="Note 3 2 6 4" xfId="10381" xr:uid="{8A720C23-6572-42DA-B433-F38498DBFFA4}"/>
    <cellStyle name="Note 3 2 7" xfId="2256" xr:uid="{00000000-0005-0000-0000-00009F210000}"/>
    <cellStyle name="Note 3 2 7 2" xfId="4485" xr:uid="{00000000-0005-0000-0000-0000A0210000}"/>
    <cellStyle name="Note 3 2 7 2 2" xfId="8707" xr:uid="{00000000-0005-0000-0000-0000A1210000}"/>
    <cellStyle name="Note 3 2 7 2 2 2" xfId="17157" xr:uid="{A3FAA28C-EBDE-4682-A749-85FBCCE179CC}"/>
    <cellStyle name="Note 3 2 7 2 3" xfId="12939" xr:uid="{568C506A-A126-412C-9932-41BCA80738DA}"/>
    <cellStyle name="Note 3 2 7 3" xfId="6562" xr:uid="{00000000-0005-0000-0000-0000A2210000}"/>
    <cellStyle name="Note 3 2 7 3 2" xfId="15012" xr:uid="{4448E1CF-A7AE-4BFB-AA52-5C6F1B5B7530}"/>
    <cellStyle name="Note 3 2 7 4" xfId="10794" xr:uid="{7BBB87F2-18BC-454D-A167-BA239A67205B}"/>
    <cellStyle name="Note 3 2 8" xfId="2692" xr:uid="{00000000-0005-0000-0000-0000A3210000}"/>
    <cellStyle name="Note 3 2 8 2" xfId="6975" xr:uid="{00000000-0005-0000-0000-0000A4210000}"/>
    <cellStyle name="Note 3 2 8 2 2" xfId="15425" xr:uid="{D2116D2D-5AAC-4E7A-AB2C-5341AE071F07}"/>
    <cellStyle name="Note 3 2 8 3" xfId="11207" xr:uid="{9913CA4D-F7B5-412A-8FB0-4AB5BE98F608}"/>
    <cellStyle name="Note 3 2 9" xfId="2751" xr:uid="{00000000-0005-0000-0000-0000A5210000}"/>
    <cellStyle name="Note 3 3" xfId="558" xr:uid="{00000000-0005-0000-0000-0000A6210000}"/>
    <cellStyle name="Note 3 3 10" xfId="4914" xr:uid="{00000000-0005-0000-0000-0000A7210000}"/>
    <cellStyle name="Note 3 3 10 2" xfId="13364" xr:uid="{4B682F53-5B72-45AE-815B-0FCDC48E073E}"/>
    <cellStyle name="Note 3 3 11" xfId="9146" xr:uid="{9414684E-013F-4CCC-BED6-1C4492BD8B18}"/>
    <cellStyle name="Note 3 3 2" xfId="559" xr:uid="{00000000-0005-0000-0000-0000A8210000}"/>
    <cellStyle name="Note 3 3 2 10" xfId="9147" xr:uid="{0372ABDB-07E1-4B9B-B7C7-C8ADBFF4C96A}"/>
    <cellStyle name="Note 3 3 2 2" xfId="1019" xr:uid="{00000000-0005-0000-0000-0000A9210000}"/>
    <cellStyle name="Note 3 3 2 2 2" xfId="3251" xr:uid="{00000000-0005-0000-0000-0000AA210000}"/>
    <cellStyle name="Note 3 3 2 2 2 2" xfId="7473" xr:uid="{00000000-0005-0000-0000-0000AB210000}"/>
    <cellStyle name="Note 3 3 2 2 2 2 2" xfId="15923" xr:uid="{18427E54-0451-4591-ABDE-A04A4890700C}"/>
    <cellStyle name="Note 3 3 2 2 2 3" xfId="11705" xr:uid="{4000B99E-8132-4EC8-A199-88398E51DA6D}"/>
    <cellStyle name="Note 3 3 2 2 3" xfId="5328" xr:uid="{00000000-0005-0000-0000-0000AC210000}"/>
    <cellStyle name="Note 3 3 2 2 3 2" xfId="13778" xr:uid="{54873315-0917-48B6-8464-D8ACE48B7E99}"/>
    <cellStyle name="Note 3 3 2 2 4" xfId="9560" xr:uid="{54223A61-2A64-42E2-8279-1ABD8F3B1175}"/>
    <cellStyle name="Note 3 3 2 3" xfId="1434" xr:uid="{00000000-0005-0000-0000-0000AD210000}"/>
    <cellStyle name="Note 3 3 2 3 2" xfId="3664" xr:uid="{00000000-0005-0000-0000-0000AE210000}"/>
    <cellStyle name="Note 3 3 2 3 2 2" xfId="7886" xr:uid="{00000000-0005-0000-0000-0000AF210000}"/>
    <cellStyle name="Note 3 3 2 3 2 2 2" xfId="16336" xr:uid="{8792E1E3-1EF8-4EC5-8116-1314AEB012C4}"/>
    <cellStyle name="Note 3 3 2 3 2 3" xfId="12118" xr:uid="{5338B07C-7C44-4AEF-A216-C35443362D70}"/>
    <cellStyle name="Note 3 3 2 3 3" xfId="5741" xr:uid="{00000000-0005-0000-0000-0000B0210000}"/>
    <cellStyle name="Note 3 3 2 3 3 2" xfId="14191" xr:uid="{40D1DD25-B1A8-48A2-8421-E83D2A733E66}"/>
    <cellStyle name="Note 3 3 2 3 4" xfId="9973" xr:uid="{448D4B2B-EE4F-43AC-86E1-044A33EDF68E}"/>
    <cellStyle name="Note 3 3 2 4" xfId="1848" xr:uid="{00000000-0005-0000-0000-0000B1210000}"/>
    <cellStyle name="Note 3 3 2 4 2" xfId="4077" xr:uid="{00000000-0005-0000-0000-0000B2210000}"/>
    <cellStyle name="Note 3 3 2 4 2 2" xfId="8299" xr:uid="{00000000-0005-0000-0000-0000B3210000}"/>
    <cellStyle name="Note 3 3 2 4 2 2 2" xfId="16749" xr:uid="{5E58ED48-4B34-43A8-A8B9-89D48642E558}"/>
    <cellStyle name="Note 3 3 2 4 2 3" xfId="12531" xr:uid="{D06116B5-2C4C-4762-8D03-A100EE4D7438}"/>
    <cellStyle name="Note 3 3 2 4 3" xfId="6154" xr:uid="{00000000-0005-0000-0000-0000B4210000}"/>
    <cellStyle name="Note 3 3 2 4 3 2" xfId="14604" xr:uid="{F196A717-AE3E-4F65-88A1-91FAA3AD8C11}"/>
    <cellStyle name="Note 3 3 2 4 4" xfId="10386" xr:uid="{06C0ADB5-67A0-424D-94C3-8619EAC8C55D}"/>
    <cellStyle name="Note 3 3 2 5" xfId="2261" xr:uid="{00000000-0005-0000-0000-0000B5210000}"/>
    <cellStyle name="Note 3 3 2 5 2" xfId="4490" xr:uid="{00000000-0005-0000-0000-0000B6210000}"/>
    <cellStyle name="Note 3 3 2 5 2 2" xfId="8712" xr:uid="{00000000-0005-0000-0000-0000B7210000}"/>
    <cellStyle name="Note 3 3 2 5 2 2 2" xfId="17162" xr:uid="{457E050E-8960-403A-8702-3213322411FB}"/>
    <cellStyle name="Note 3 3 2 5 2 3" xfId="12944" xr:uid="{F25C4505-C914-4A15-8CFA-EE56D648D5F8}"/>
    <cellStyle name="Note 3 3 2 5 3" xfId="6567" xr:uid="{00000000-0005-0000-0000-0000B8210000}"/>
    <cellStyle name="Note 3 3 2 5 3 2" xfId="15017" xr:uid="{1C84D419-D39C-47AA-8917-40A431175791}"/>
    <cellStyle name="Note 3 3 2 5 4" xfId="10799" xr:uid="{B6A30754-6EF3-4FC3-9BB5-065E10B8FED9}"/>
    <cellStyle name="Note 3 3 2 6" xfId="2697" xr:uid="{00000000-0005-0000-0000-0000B9210000}"/>
    <cellStyle name="Note 3 3 2 6 2" xfId="6980" xr:uid="{00000000-0005-0000-0000-0000BA210000}"/>
    <cellStyle name="Note 3 3 2 6 2 2" xfId="15430" xr:uid="{EB11D445-C1A9-43DD-A381-D64C070C6A9F}"/>
    <cellStyle name="Note 3 3 2 6 3" xfId="11212" xr:uid="{42CC1887-EF2E-42B0-99BA-8BFA50185B2D}"/>
    <cellStyle name="Note 3 3 2 7" xfId="2756" xr:uid="{00000000-0005-0000-0000-0000BB210000}"/>
    <cellStyle name="Note 3 3 2 8" xfId="2837" xr:uid="{00000000-0005-0000-0000-0000BC210000}"/>
    <cellStyle name="Note 3 3 2 8 2" xfId="7060" xr:uid="{00000000-0005-0000-0000-0000BD210000}"/>
    <cellStyle name="Note 3 3 2 8 2 2" xfId="15510" xr:uid="{595CE67E-227A-484B-BC5A-A8DCA1E3351D}"/>
    <cellStyle name="Note 3 3 2 8 3" xfId="11292" xr:uid="{E341EAF7-1FF1-439F-B86E-7E028EFA8995}"/>
    <cellStyle name="Note 3 3 2 9" xfId="4915" xr:uid="{00000000-0005-0000-0000-0000BE210000}"/>
    <cellStyle name="Note 3 3 2 9 2" xfId="13365" xr:uid="{80F9B652-D546-4FBF-B38C-7A453B341E4C}"/>
    <cellStyle name="Note 3 3 3" xfId="1018" xr:uid="{00000000-0005-0000-0000-0000BF210000}"/>
    <cellStyle name="Note 3 3 3 2" xfId="3250" xr:uid="{00000000-0005-0000-0000-0000C0210000}"/>
    <cellStyle name="Note 3 3 3 2 2" xfId="7472" xr:uid="{00000000-0005-0000-0000-0000C1210000}"/>
    <cellStyle name="Note 3 3 3 2 2 2" xfId="15922" xr:uid="{08EF3D10-91EF-4BBC-BD9C-0B6390A83D5D}"/>
    <cellStyle name="Note 3 3 3 2 3" xfId="11704" xr:uid="{715F32E4-2ACC-440D-86F4-0B23C35C3201}"/>
    <cellStyle name="Note 3 3 3 3" xfId="5327" xr:uid="{00000000-0005-0000-0000-0000C2210000}"/>
    <cellStyle name="Note 3 3 3 3 2" xfId="13777" xr:uid="{D1CA4620-F359-4BAB-98FE-C0BFFFB262E6}"/>
    <cellStyle name="Note 3 3 3 4" xfId="9559" xr:uid="{9D3FC999-C38F-4451-809E-0B4558049DF3}"/>
    <cellStyle name="Note 3 3 4" xfId="1433" xr:uid="{00000000-0005-0000-0000-0000C3210000}"/>
    <cellStyle name="Note 3 3 4 2" xfId="3663" xr:uid="{00000000-0005-0000-0000-0000C4210000}"/>
    <cellStyle name="Note 3 3 4 2 2" xfId="7885" xr:uid="{00000000-0005-0000-0000-0000C5210000}"/>
    <cellStyle name="Note 3 3 4 2 2 2" xfId="16335" xr:uid="{F3730B0A-75FA-4497-8345-DB837417959D}"/>
    <cellStyle name="Note 3 3 4 2 3" xfId="12117" xr:uid="{DD84A397-7F64-4E75-8A9F-95E60B22BC80}"/>
    <cellStyle name="Note 3 3 4 3" xfId="5740" xr:uid="{00000000-0005-0000-0000-0000C6210000}"/>
    <cellStyle name="Note 3 3 4 3 2" xfId="14190" xr:uid="{BDD10B9F-1F91-4585-89AE-C4F1F4E1E20E}"/>
    <cellStyle name="Note 3 3 4 4" xfId="9972" xr:uid="{9E8E9CBF-C429-4C43-9CA5-982ABB899407}"/>
    <cellStyle name="Note 3 3 5" xfId="1847" xr:uid="{00000000-0005-0000-0000-0000C7210000}"/>
    <cellStyle name="Note 3 3 5 2" xfId="4076" xr:uid="{00000000-0005-0000-0000-0000C8210000}"/>
    <cellStyle name="Note 3 3 5 2 2" xfId="8298" xr:uid="{00000000-0005-0000-0000-0000C9210000}"/>
    <cellStyle name="Note 3 3 5 2 2 2" xfId="16748" xr:uid="{04C2EA36-B52A-4EE2-9EBD-AE6599D8F08F}"/>
    <cellStyle name="Note 3 3 5 2 3" xfId="12530" xr:uid="{BE75C71E-BE2B-4AE6-9567-8F67B0435823}"/>
    <cellStyle name="Note 3 3 5 3" xfId="6153" xr:uid="{00000000-0005-0000-0000-0000CA210000}"/>
    <cellStyle name="Note 3 3 5 3 2" xfId="14603" xr:uid="{C4937B64-DA20-4416-91F5-33CA1F510153}"/>
    <cellStyle name="Note 3 3 5 4" xfId="10385" xr:uid="{D49905AF-4F5C-4D98-829B-DF21F2180684}"/>
    <cellStyle name="Note 3 3 6" xfId="2260" xr:uid="{00000000-0005-0000-0000-0000CB210000}"/>
    <cellStyle name="Note 3 3 6 2" xfId="4489" xr:uid="{00000000-0005-0000-0000-0000CC210000}"/>
    <cellStyle name="Note 3 3 6 2 2" xfId="8711" xr:uid="{00000000-0005-0000-0000-0000CD210000}"/>
    <cellStyle name="Note 3 3 6 2 2 2" xfId="17161" xr:uid="{6F3F69A1-7335-4A9F-B4DB-1A5DA1276037}"/>
    <cellStyle name="Note 3 3 6 2 3" xfId="12943" xr:uid="{38418DDC-9433-41F3-8095-66D08909A17C}"/>
    <cellStyle name="Note 3 3 6 3" xfId="6566" xr:uid="{00000000-0005-0000-0000-0000CE210000}"/>
    <cellStyle name="Note 3 3 6 3 2" xfId="15016" xr:uid="{4E217205-EBE6-4AFC-802C-1F722710B16F}"/>
    <cellStyle name="Note 3 3 6 4" xfId="10798" xr:uid="{71FF820B-F235-4473-B106-4CE7DEA26C34}"/>
    <cellStyle name="Note 3 3 7" xfId="2696" xr:uid="{00000000-0005-0000-0000-0000CF210000}"/>
    <cellStyle name="Note 3 3 7 2" xfId="6979" xr:uid="{00000000-0005-0000-0000-0000D0210000}"/>
    <cellStyle name="Note 3 3 7 2 2" xfId="15429" xr:uid="{7583CBD8-C611-4FB0-A8F4-A17695D4CF80}"/>
    <cellStyle name="Note 3 3 7 3" xfId="11211" xr:uid="{1B10CE67-C8DF-46D0-AC20-3D55034F43C2}"/>
    <cellStyle name="Note 3 3 8" xfId="2755" xr:uid="{00000000-0005-0000-0000-0000D1210000}"/>
    <cellStyle name="Note 3 3 9" xfId="2836" xr:uid="{00000000-0005-0000-0000-0000D2210000}"/>
    <cellStyle name="Note 3 3 9 2" xfId="7059" xr:uid="{00000000-0005-0000-0000-0000D3210000}"/>
    <cellStyle name="Note 3 3 9 2 2" xfId="15509" xr:uid="{CE20F55B-8594-4E31-A128-2A65C407CDB1}"/>
    <cellStyle name="Note 3 3 9 3" xfId="11291" xr:uid="{6D204602-3DCE-47CF-9C0E-C075351FE5BE}"/>
    <cellStyle name="Note 3 4" xfId="560" xr:uid="{00000000-0005-0000-0000-0000D4210000}"/>
    <cellStyle name="Note 3 4 10" xfId="9148" xr:uid="{5E15EC80-B3D0-458C-B329-0267AAFF6A79}"/>
    <cellStyle name="Note 3 4 2" xfId="1020" xr:uid="{00000000-0005-0000-0000-0000D5210000}"/>
    <cellStyle name="Note 3 4 2 2" xfId="3252" xr:uid="{00000000-0005-0000-0000-0000D6210000}"/>
    <cellStyle name="Note 3 4 2 2 2" xfId="7474" xr:uid="{00000000-0005-0000-0000-0000D7210000}"/>
    <cellStyle name="Note 3 4 2 2 2 2" xfId="15924" xr:uid="{B254CD6B-28A0-4943-9F43-46FE0665C562}"/>
    <cellStyle name="Note 3 4 2 2 3" xfId="11706" xr:uid="{4355CBE1-5D4F-49BF-AEE9-DB8918E1AAEB}"/>
    <cellStyle name="Note 3 4 2 3" xfId="5329" xr:uid="{00000000-0005-0000-0000-0000D8210000}"/>
    <cellStyle name="Note 3 4 2 3 2" xfId="13779" xr:uid="{456FE4B1-3222-481A-92BE-22926C798B97}"/>
    <cellStyle name="Note 3 4 2 4" xfId="9561" xr:uid="{3C97D701-17DD-47BF-B01A-BC64F2FD02EC}"/>
    <cellStyle name="Note 3 4 3" xfId="1435" xr:uid="{00000000-0005-0000-0000-0000D9210000}"/>
    <cellStyle name="Note 3 4 3 2" xfId="3665" xr:uid="{00000000-0005-0000-0000-0000DA210000}"/>
    <cellStyle name="Note 3 4 3 2 2" xfId="7887" xr:uid="{00000000-0005-0000-0000-0000DB210000}"/>
    <cellStyle name="Note 3 4 3 2 2 2" xfId="16337" xr:uid="{A2326FA9-A969-4F4F-8C95-F8C86B6D6F0E}"/>
    <cellStyle name="Note 3 4 3 2 3" xfId="12119" xr:uid="{D51577C9-BBD4-4441-993F-493CCE59A3DC}"/>
    <cellStyle name="Note 3 4 3 3" xfId="5742" xr:uid="{00000000-0005-0000-0000-0000DC210000}"/>
    <cellStyle name="Note 3 4 3 3 2" xfId="14192" xr:uid="{85954353-909D-48DE-A4E5-BA9B654D5342}"/>
    <cellStyle name="Note 3 4 3 4" xfId="9974" xr:uid="{5865B02B-228C-45D0-84CE-343BD349E58C}"/>
    <cellStyle name="Note 3 4 4" xfId="1849" xr:uid="{00000000-0005-0000-0000-0000DD210000}"/>
    <cellStyle name="Note 3 4 4 2" xfId="4078" xr:uid="{00000000-0005-0000-0000-0000DE210000}"/>
    <cellStyle name="Note 3 4 4 2 2" xfId="8300" xr:uid="{00000000-0005-0000-0000-0000DF210000}"/>
    <cellStyle name="Note 3 4 4 2 2 2" xfId="16750" xr:uid="{6E3302D9-625D-45BB-B9AB-C7667B8B562C}"/>
    <cellStyle name="Note 3 4 4 2 3" xfId="12532" xr:uid="{2095D50D-A34C-42A5-9AB3-FA7B74E5D7A2}"/>
    <cellStyle name="Note 3 4 4 3" xfId="6155" xr:uid="{00000000-0005-0000-0000-0000E0210000}"/>
    <cellStyle name="Note 3 4 4 3 2" xfId="14605" xr:uid="{9AE3AED5-E734-4B2D-B663-57868B88B92B}"/>
    <cellStyle name="Note 3 4 4 4" xfId="10387" xr:uid="{10B5E02C-4182-46FF-909D-B3D7C3E270AB}"/>
    <cellStyle name="Note 3 4 5" xfId="2262" xr:uid="{00000000-0005-0000-0000-0000E1210000}"/>
    <cellStyle name="Note 3 4 5 2" xfId="4491" xr:uid="{00000000-0005-0000-0000-0000E2210000}"/>
    <cellStyle name="Note 3 4 5 2 2" xfId="8713" xr:uid="{00000000-0005-0000-0000-0000E3210000}"/>
    <cellStyle name="Note 3 4 5 2 2 2" xfId="17163" xr:uid="{E2383779-47B9-423E-9BC2-770618785977}"/>
    <cellStyle name="Note 3 4 5 2 3" xfId="12945" xr:uid="{BC7E1D5F-73CC-47C7-8E70-E6FC64F72D13}"/>
    <cellStyle name="Note 3 4 5 3" xfId="6568" xr:uid="{00000000-0005-0000-0000-0000E4210000}"/>
    <cellStyle name="Note 3 4 5 3 2" xfId="15018" xr:uid="{B158D709-7DE9-4224-936A-94A464099D5B}"/>
    <cellStyle name="Note 3 4 5 4" xfId="10800" xr:uid="{6F01F6BF-D07F-4F3B-939C-8DB15D15287E}"/>
    <cellStyle name="Note 3 4 6" xfId="2698" xr:uid="{00000000-0005-0000-0000-0000E5210000}"/>
    <cellStyle name="Note 3 4 6 2" xfId="6981" xr:uid="{00000000-0005-0000-0000-0000E6210000}"/>
    <cellStyle name="Note 3 4 6 2 2" xfId="15431" xr:uid="{0E3EE7EC-EDAC-47F7-8A86-CF6394C27628}"/>
    <cellStyle name="Note 3 4 6 3" xfId="11213" xr:uid="{40953D08-D3A0-4BE2-9F46-090B3C945E75}"/>
    <cellStyle name="Note 3 4 7" xfId="2757" xr:uid="{00000000-0005-0000-0000-0000E7210000}"/>
    <cellStyle name="Note 3 4 8" xfId="2838" xr:uid="{00000000-0005-0000-0000-0000E8210000}"/>
    <cellStyle name="Note 3 4 8 2" xfId="7061" xr:uid="{00000000-0005-0000-0000-0000E9210000}"/>
    <cellStyle name="Note 3 4 8 2 2" xfId="15511" xr:uid="{9ACCDF53-2CDF-40E1-8C5E-8BCF6E87C778}"/>
    <cellStyle name="Note 3 4 8 3" xfId="11293" xr:uid="{CA60BC97-ADE3-49AD-96B2-F95E77C8B5C1}"/>
    <cellStyle name="Note 3 4 9" xfId="4916" xr:uid="{00000000-0005-0000-0000-0000EA210000}"/>
    <cellStyle name="Note 3 4 9 2" xfId="13366" xr:uid="{105BFF91-62E2-4E2A-AFE5-9BEAF5485529}"/>
    <cellStyle name="Note 3 5" xfId="561" xr:uid="{00000000-0005-0000-0000-0000EB210000}"/>
    <cellStyle name="Note 3 5 10" xfId="9149" xr:uid="{7A58AD29-9A8C-4D44-AEFF-B859B4614601}"/>
    <cellStyle name="Note 3 5 2" xfId="1021" xr:uid="{00000000-0005-0000-0000-0000EC210000}"/>
    <cellStyle name="Note 3 5 2 2" xfId="3253" xr:uid="{00000000-0005-0000-0000-0000ED210000}"/>
    <cellStyle name="Note 3 5 2 2 2" xfId="7475" xr:uid="{00000000-0005-0000-0000-0000EE210000}"/>
    <cellStyle name="Note 3 5 2 2 2 2" xfId="15925" xr:uid="{62C8AF8D-2672-4C0D-8B88-5F99ADACA69E}"/>
    <cellStyle name="Note 3 5 2 2 3" xfId="11707" xr:uid="{5779E350-C3BC-4D5E-8DFC-92E71966D6D5}"/>
    <cellStyle name="Note 3 5 2 3" xfId="5330" xr:uid="{00000000-0005-0000-0000-0000EF210000}"/>
    <cellStyle name="Note 3 5 2 3 2" xfId="13780" xr:uid="{2EB32532-EE14-4897-9E1F-682343F709EC}"/>
    <cellStyle name="Note 3 5 2 4" xfId="9562" xr:uid="{8723449A-EECB-4E48-81BB-C01AE72A9481}"/>
    <cellStyle name="Note 3 5 3" xfId="1436" xr:uid="{00000000-0005-0000-0000-0000F0210000}"/>
    <cellStyle name="Note 3 5 3 2" xfId="3666" xr:uid="{00000000-0005-0000-0000-0000F1210000}"/>
    <cellStyle name="Note 3 5 3 2 2" xfId="7888" xr:uid="{00000000-0005-0000-0000-0000F2210000}"/>
    <cellStyle name="Note 3 5 3 2 2 2" xfId="16338" xr:uid="{92C580A0-678C-48FC-90F5-00DE86409B1C}"/>
    <cellStyle name="Note 3 5 3 2 3" xfId="12120" xr:uid="{06819FD4-A928-4BD8-9A1C-A49ED67460E8}"/>
    <cellStyle name="Note 3 5 3 3" xfId="5743" xr:uid="{00000000-0005-0000-0000-0000F3210000}"/>
    <cellStyle name="Note 3 5 3 3 2" xfId="14193" xr:uid="{05F11561-42D2-42FF-AE09-DDB137BCC4D1}"/>
    <cellStyle name="Note 3 5 3 4" xfId="9975" xr:uid="{F89412A6-9FB3-4528-B3FB-A43D8E112FB1}"/>
    <cellStyle name="Note 3 5 4" xfId="1850" xr:uid="{00000000-0005-0000-0000-0000F4210000}"/>
    <cellStyle name="Note 3 5 4 2" xfId="4079" xr:uid="{00000000-0005-0000-0000-0000F5210000}"/>
    <cellStyle name="Note 3 5 4 2 2" xfId="8301" xr:uid="{00000000-0005-0000-0000-0000F6210000}"/>
    <cellStyle name="Note 3 5 4 2 2 2" xfId="16751" xr:uid="{950753E6-05F5-4B2D-9322-9C577CB9DBE3}"/>
    <cellStyle name="Note 3 5 4 2 3" xfId="12533" xr:uid="{2677648C-4DF2-46CC-8599-2300D50F3DAE}"/>
    <cellStyle name="Note 3 5 4 3" xfId="6156" xr:uid="{00000000-0005-0000-0000-0000F7210000}"/>
    <cellStyle name="Note 3 5 4 3 2" xfId="14606" xr:uid="{0578A42A-A738-4984-881B-9A6411906F66}"/>
    <cellStyle name="Note 3 5 4 4" xfId="10388" xr:uid="{EE3152AE-2686-4187-B8B0-7A3FCB1D74B9}"/>
    <cellStyle name="Note 3 5 5" xfId="2263" xr:uid="{00000000-0005-0000-0000-0000F8210000}"/>
    <cellStyle name="Note 3 5 5 2" xfId="4492" xr:uid="{00000000-0005-0000-0000-0000F9210000}"/>
    <cellStyle name="Note 3 5 5 2 2" xfId="8714" xr:uid="{00000000-0005-0000-0000-0000FA210000}"/>
    <cellStyle name="Note 3 5 5 2 2 2" xfId="17164" xr:uid="{98673449-FA40-4FEA-A4B6-79ABBA75E89C}"/>
    <cellStyle name="Note 3 5 5 2 3" xfId="12946" xr:uid="{E217BB0A-0EB8-4010-8712-2CEFBB18DD76}"/>
    <cellStyle name="Note 3 5 5 3" xfId="6569" xr:uid="{00000000-0005-0000-0000-0000FB210000}"/>
    <cellStyle name="Note 3 5 5 3 2" xfId="15019" xr:uid="{7C1C4762-3A7D-4D0F-AC33-A6C00E8162C2}"/>
    <cellStyle name="Note 3 5 5 4" xfId="10801" xr:uid="{38B462EF-44D5-4327-841C-A581CDE60CA5}"/>
    <cellStyle name="Note 3 5 6" xfId="2699" xr:uid="{00000000-0005-0000-0000-0000FC210000}"/>
    <cellStyle name="Note 3 5 6 2" xfId="6982" xr:uid="{00000000-0005-0000-0000-0000FD210000}"/>
    <cellStyle name="Note 3 5 6 2 2" xfId="15432" xr:uid="{F724A4C6-4B84-4B73-A8D9-22DB8CD277F2}"/>
    <cellStyle name="Note 3 5 6 3" xfId="11214" xr:uid="{10ACAB4D-189D-43A1-A7B9-759B8E13DAAF}"/>
    <cellStyle name="Note 3 5 7" xfId="2758" xr:uid="{00000000-0005-0000-0000-0000FE210000}"/>
    <cellStyle name="Note 3 5 8" xfId="2839" xr:uid="{00000000-0005-0000-0000-0000FF210000}"/>
    <cellStyle name="Note 3 5 8 2" xfId="7062" xr:uid="{00000000-0005-0000-0000-000000220000}"/>
    <cellStyle name="Note 3 5 8 2 2" xfId="15512" xr:uid="{A62708BE-9D0F-4839-B629-1D8318855E1B}"/>
    <cellStyle name="Note 3 5 8 3" xfId="11294" xr:uid="{A1793E5E-4924-4DAD-99E0-6ACEC4820CB2}"/>
    <cellStyle name="Note 3 5 9" xfId="4917" xr:uid="{00000000-0005-0000-0000-000001220000}"/>
    <cellStyle name="Note 3 5 9 2" xfId="13367" xr:uid="{14295593-4FE7-4FE8-9C9C-FD4ACEC2C53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469A3728-4459-4C5E-97D8-B23B1E895FCF}"/>
    <cellStyle name="Percent 4" xfId="4502" xr:uid="{00000000-0005-0000-0000-000007220000}"/>
    <cellStyle name="Percent 4 2" xfId="8717" xr:uid="{00000000-0005-0000-0000-000008220000}"/>
    <cellStyle name="Percent 4 2 2" xfId="17167" xr:uid="{31B18170-8D00-401F-9F9C-3A1A7EBBC55F}"/>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A373974F-E386-4B0B-9610-C0A7635D9CAF}"/>
    <cellStyle name="Percent 4 3 2 3" xfId="17173" xr:uid="{966D8C07-6593-459B-890C-551F3DA419AC}"/>
    <cellStyle name="Percent 4 3 3" xfId="17170" xr:uid="{434A9ED4-02DF-4F0B-A50C-F403D8758C30}"/>
    <cellStyle name="Percent 4 4" xfId="12953" xr:uid="{F6E85A74-A3B1-4283-9976-B74F0715A29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85" t="s">
        <v>550</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row>
    <row r="2" spans="1:38" ht="13.5" thickBot="1">
      <c r="A2" s="1286"/>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6"/>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5" customHeight="1">
      <c r="A7" s="205"/>
      <c r="B7" s="205"/>
      <c r="C7" s="206"/>
      <c r="D7" s="1275" t="s">
        <v>2036</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56"/>
    </row>
    <row r="8" spans="1:38">
      <c r="A8" s="205"/>
      <c r="B8" s="205"/>
      <c r="C8" s="206"/>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56"/>
    </row>
    <row r="9" spans="1:38">
      <c r="A9" s="205"/>
      <c r="B9" s="205"/>
      <c r="C9" s="206"/>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75" t="s">
        <v>2037</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56"/>
    </row>
    <row r="12" spans="1:38">
      <c r="A12" s="205"/>
      <c r="B12" s="205"/>
      <c r="C12" s="206"/>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56"/>
    </row>
    <row r="13" spans="1:38">
      <c r="A13" s="205"/>
      <c r="B13" s="205"/>
      <c r="C13" s="206"/>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5" customHeight="1">
      <c r="A15" s="205"/>
      <c r="B15" s="205"/>
      <c r="C15" s="206"/>
      <c r="D15" s="1275" t="s">
        <v>2608</v>
      </c>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56"/>
    </row>
    <row r="16" spans="1:38" ht="13.5" customHeight="1">
      <c r="A16" s="205"/>
      <c r="B16" s="205"/>
      <c r="C16" s="206"/>
      <c r="D16" s="1275"/>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56"/>
    </row>
    <row r="17" spans="1:38">
      <c r="A17" s="205"/>
      <c r="B17" s="205"/>
      <c r="C17" s="206"/>
      <c r="D17" s="1275"/>
      <c r="E17" s="1275"/>
      <c r="F17" s="1275"/>
      <c r="G17" s="1275"/>
      <c r="H17" s="1275"/>
      <c r="I17" s="1275"/>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456"/>
    </row>
    <row r="18" spans="1:38">
      <c r="A18" s="205"/>
      <c r="B18" s="205"/>
      <c r="C18" s="206"/>
      <c r="D18" s="520" t="s">
        <v>2607</v>
      </c>
      <c r="E18" s="442"/>
      <c r="G18" s="442"/>
      <c r="H18" s="442"/>
      <c r="I18" s="442"/>
      <c r="J18" s="1288" t="s">
        <v>2606</v>
      </c>
      <c r="K18" s="1288"/>
      <c r="L18" s="1288"/>
      <c r="M18" s="1288"/>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5" customHeight="1">
      <c r="A20" s="205"/>
      <c r="B20" s="205"/>
      <c r="C20" s="206"/>
      <c r="D20" s="1275" t="s">
        <v>2038</v>
      </c>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05"/>
    </row>
    <row r="21" spans="1:38">
      <c r="A21" s="205"/>
      <c r="B21" s="205"/>
      <c r="C21" s="206"/>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05"/>
    </row>
    <row r="22" spans="1:38">
      <c r="A22" s="205"/>
      <c r="B22" s="205"/>
      <c r="C22" s="206"/>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05"/>
    </row>
    <row r="23" spans="1:38" ht="13.5" customHeight="1">
      <c r="A23" s="205"/>
      <c r="B23" s="205"/>
      <c r="C23" s="206"/>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05"/>
    </row>
    <row r="24" spans="1:38">
      <c r="A24" s="205"/>
      <c r="B24" s="205"/>
      <c r="C24" s="206"/>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05"/>
    </row>
    <row r="25" spans="1:38">
      <c r="A25" s="205"/>
      <c r="B25" s="205"/>
      <c r="C25" s="206"/>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05"/>
    </row>
    <row r="26" spans="1:38">
      <c r="A26" s="205"/>
      <c r="B26" s="205"/>
      <c r="C26" s="206"/>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05"/>
    </row>
    <row r="27" spans="1:38">
      <c r="A27" s="205"/>
      <c r="B27" s="205"/>
      <c r="C27" s="206"/>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05"/>
    </row>
    <row r="28" spans="1:38">
      <c r="A28" s="205"/>
      <c r="B28" s="205"/>
      <c r="C28" s="206"/>
      <c r="D28" s="1275"/>
      <c r="E28" s="1275"/>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5" customHeight="1">
      <c r="A30" s="205"/>
      <c r="B30" s="205"/>
      <c r="C30" s="206"/>
      <c r="D30" s="1275" t="s">
        <v>2039</v>
      </c>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05"/>
    </row>
    <row r="31" spans="1:38">
      <c r="A31" s="205"/>
      <c r="B31" s="205"/>
      <c r="C31" s="206"/>
      <c r="D31" s="456"/>
      <c r="E31" s="1276" t="s">
        <v>2521</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5"/>
    </row>
    <row r="32" spans="1:38">
      <c r="A32" s="4"/>
      <c r="C32" s="2"/>
    </row>
    <row r="33" spans="1:38">
      <c r="A33" s="4"/>
      <c r="D33" s="1287" t="s">
        <v>2143</v>
      </c>
      <c r="E33" s="1287"/>
      <c r="F33" s="1287"/>
      <c r="G33" s="1287"/>
      <c r="H33" s="1287"/>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7"/>
    </row>
    <row r="34" spans="1:38">
      <c r="A34" s="4"/>
      <c r="D34" s="1287"/>
      <c r="E34" s="1287"/>
      <c r="F34" s="1287"/>
      <c r="G34" s="1287"/>
      <c r="H34" s="1287"/>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c r="AK34" s="1287"/>
    </row>
    <row r="35" spans="1:38">
      <c r="A35" s="4"/>
      <c r="D35" s="120"/>
      <c r="E35" s="1282" t="s">
        <v>2046</v>
      </c>
      <c r="F35" s="1282"/>
      <c r="G35" s="1282"/>
      <c r="H35" s="1282"/>
      <c r="I35" s="1282"/>
      <c r="J35" s="1282"/>
      <c r="K35" s="1282"/>
      <c r="L35" s="1282"/>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row>
    <row r="36" spans="1:38">
      <c r="A36" s="4"/>
      <c r="D36" s="120"/>
      <c r="E36" s="1282" t="s">
        <v>2047</v>
      </c>
      <c r="F36" s="1282"/>
      <c r="G36" s="1282"/>
      <c r="H36" s="1282"/>
      <c r="I36" s="1282"/>
      <c r="J36" s="1282"/>
      <c r="K36" s="1282"/>
      <c r="L36" s="1282"/>
      <c r="M36" s="1282"/>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5" customFormat="1" ht="13.5" customHeight="1">
      <c r="A40" s="4"/>
      <c r="B40"/>
      <c r="C40" s="2"/>
      <c r="D40" s="4"/>
      <c r="E40" s="4" t="s">
        <v>653</v>
      </c>
      <c r="F40" s="1275" t="s">
        <v>1164</v>
      </c>
    </row>
    <row r="41" spans="1:38" s="1275" customFormat="1" ht="13.5"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5" customHeight="1">
      <c r="A43" s="4"/>
      <c r="B43"/>
      <c r="C43" s="2"/>
      <c r="D43" s="4"/>
      <c r="E43" s="3" t="s">
        <v>347</v>
      </c>
      <c r="F43" s="1281" t="s">
        <v>1246</v>
      </c>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row>
    <row r="44" spans="1:38" s="118" customFormat="1">
      <c r="A44" s="4"/>
      <c r="B44"/>
      <c r="C44" s="2"/>
      <c r="D44" s="4"/>
      <c r="E44" s="4"/>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row>
    <row r="45" spans="1:38" s="118" customFormat="1" ht="13.5" customHeight="1">
      <c r="A45" s="4"/>
      <c r="B45"/>
      <c r="C45" s="2"/>
      <c r="D45" s="4"/>
      <c r="E45" s="4"/>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75" t="s">
        <v>2041</v>
      </c>
      <c r="G48" s="1275"/>
      <c r="H48" s="1275"/>
      <c r="I48" s="1275"/>
      <c r="J48" s="1275"/>
      <c r="K48" s="1275"/>
      <c r="L48" s="1275"/>
      <c r="M48" s="1275"/>
      <c r="N48" s="1275"/>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row>
    <row r="49" spans="1:38">
      <c r="A49" s="4"/>
      <c r="C49" s="2"/>
      <c r="D49" s="4"/>
      <c r="E49" s="4"/>
      <c r="F49" s="1275"/>
      <c r="G49" s="1275"/>
      <c r="H49" s="1275"/>
      <c r="I49" s="1275"/>
      <c r="J49" s="1275"/>
      <c r="K49" s="1275"/>
      <c r="L49" s="1275"/>
      <c r="M49" s="1275"/>
      <c r="N49" s="1275"/>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row>
    <row r="50" spans="1:38">
      <c r="A50" s="4"/>
      <c r="C50" s="2"/>
      <c r="D50" s="4"/>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5" customHeight="1">
      <c r="A54" s="205"/>
      <c r="B54" s="205"/>
      <c r="C54" s="206"/>
      <c r="D54" s="206"/>
      <c r="E54" s="205"/>
      <c r="F54" s="207" t="s">
        <v>687</v>
      </c>
      <c r="G54" s="1280" t="s">
        <v>1191</v>
      </c>
      <c r="H54" s="1280"/>
      <c r="I54" s="1280"/>
      <c r="J54" s="1280"/>
      <c r="K54" s="1280"/>
      <c r="L54" s="1280"/>
      <c r="M54" s="1280"/>
      <c r="N54" s="1280"/>
      <c r="O54" s="1280"/>
      <c r="P54" s="1280"/>
      <c r="Q54" s="1280"/>
      <c r="R54" s="1280"/>
      <c r="S54" s="1280"/>
      <c r="T54" s="1280"/>
      <c r="U54" s="1280"/>
      <c r="V54" s="1280"/>
      <c r="W54" s="1280"/>
      <c r="X54" s="1280"/>
      <c r="Y54" s="1280"/>
      <c r="Z54" s="1280"/>
      <c r="AA54" s="1280"/>
      <c r="AB54" s="1280"/>
      <c r="AC54" s="1280"/>
      <c r="AD54" s="1280"/>
      <c r="AE54" s="1280"/>
      <c r="AF54" s="1280"/>
      <c r="AG54" s="1280"/>
      <c r="AH54" s="1280"/>
      <c r="AI54" s="1280"/>
      <c r="AJ54" s="1280"/>
      <c r="AK54" s="1280"/>
      <c r="AL54" s="205"/>
    </row>
    <row r="55" spans="1:38" ht="13.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80" t="s">
        <v>575</v>
      </c>
      <c r="H56" s="1280"/>
      <c r="I56" s="1280"/>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5" customHeight="1">
      <c r="A57" s="205"/>
      <c r="B57" s="206"/>
      <c r="C57" s="206"/>
      <c r="D57" s="206"/>
      <c r="E57" s="205"/>
      <c r="F57" s="207" t="s">
        <v>509</v>
      </c>
      <c r="G57" s="1280" t="s">
        <v>2042</v>
      </c>
      <c r="H57" s="1280"/>
      <c r="I57" s="1280"/>
      <c r="J57" s="1280"/>
      <c r="K57" s="1280"/>
      <c r="L57" s="1280"/>
      <c r="M57" s="1280"/>
      <c r="N57" s="1280"/>
      <c r="O57" s="1280"/>
      <c r="P57" s="1280"/>
      <c r="Q57" s="1280"/>
      <c r="R57" s="1280"/>
      <c r="S57" s="1280"/>
      <c r="T57" s="1280"/>
      <c r="U57" s="1280"/>
      <c r="V57" s="1280"/>
      <c r="W57" s="1280"/>
      <c r="X57" s="1280"/>
      <c r="Y57" s="1280"/>
      <c r="Z57" s="1280"/>
      <c r="AA57" s="1280"/>
      <c r="AB57" s="1280"/>
      <c r="AC57" s="1280"/>
      <c r="AD57" s="1280"/>
      <c r="AE57" s="1280"/>
      <c r="AF57" s="1280"/>
      <c r="AG57" s="1280"/>
      <c r="AH57" s="1280"/>
      <c r="AI57" s="1280"/>
      <c r="AJ57" s="1280"/>
      <c r="AK57" s="1280"/>
      <c r="AL57" s="1280"/>
    </row>
    <row r="58" spans="1:38">
      <c r="A58" s="205"/>
      <c r="B58" s="205"/>
      <c r="C58" s="206"/>
      <c r="D58" s="206"/>
      <c r="E58" s="205"/>
      <c r="F58" s="207"/>
      <c r="G58" s="1280"/>
      <c r="H58" s="1280"/>
      <c r="I58" s="1280"/>
      <c r="J58" s="1280"/>
      <c r="K58" s="1280"/>
      <c r="L58" s="1280"/>
      <c r="M58" s="1280"/>
      <c r="N58" s="1280"/>
      <c r="O58" s="1280"/>
      <c r="P58" s="1280"/>
      <c r="Q58" s="1280"/>
      <c r="R58" s="1280"/>
      <c r="S58" s="1280"/>
      <c r="T58" s="1280"/>
      <c r="U58" s="1280"/>
      <c r="V58" s="1280"/>
      <c r="W58" s="1280"/>
      <c r="X58" s="1280"/>
      <c r="Y58" s="1280"/>
      <c r="Z58" s="1280"/>
      <c r="AA58" s="1280"/>
      <c r="AB58" s="1280"/>
      <c r="AC58" s="1280"/>
      <c r="AD58" s="1280"/>
      <c r="AE58" s="1280"/>
      <c r="AF58" s="1280"/>
      <c r="AG58" s="1280"/>
      <c r="AH58" s="1280"/>
      <c r="AI58" s="1280"/>
      <c r="AJ58" s="1280"/>
      <c r="AK58" s="1280"/>
      <c r="AL58" s="1280"/>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5" t="s">
        <v>1166</v>
      </c>
      <c r="H64" s="1275"/>
      <c r="I64" s="1275"/>
      <c r="J64" s="1275"/>
      <c r="K64" s="1275"/>
      <c r="L64" s="1275"/>
      <c r="M64" s="1275"/>
      <c r="N64" s="1275"/>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row>
    <row r="65" spans="1:37">
      <c r="A65" s="4"/>
      <c r="C65" s="2"/>
      <c r="D65" s="4"/>
      <c r="E65" s="4"/>
      <c r="G65" s="1275"/>
      <c r="H65" s="1275"/>
      <c r="I65" s="1275"/>
      <c r="J65" s="1275"/>
      <c r="K65" s="1275"/>
      <c r="L65" s="1275"/>
      <c r="M65" s="1275"/>
      <c r="N65" s="1275"/>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row>
    <row r="66" spans="1:37">
      <c r="A66" s="4"/>
      <c r="C66" s="2"/>
      <c r="D66" s="4"/>
      <c r="E66" s="4"/>
      <c r="G66" s="1275"/>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ht="13.5" customHeight="1">
      <c r="A67" s="4"/>
      <c r="C67" s="2"/>
      <c r="D67" s="4"/>
      <c r="E67" s="4"/>
      <c r="F67" t="s">
        <v>509</v>
      </c>
      <c r="G67" s="1275" t="s">
        <v>1167</v>
      </c>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c r="A68" s="4"/>
      <c r="C68" s="2"/>
      <c r="D68" s="4"/>
      <c r="E68" s="4"/>
      <c r="F68" s="27"/>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75" t="s">
        <v>1168</v>
      </c>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c r="A71" s="4"/>
      <c r="C71" s="2"/>
      <c r="D71" s="4"/>
      <c r="E71" s="4"/>
      <c r="F71" s="8"/>
      <c r="G71" s="1275"/>
      <c r="H71" s="1275"/>
      <c r="I71" s="1275"/>
      <c r="J71" s="1275"/>
      <c r="K71" s="1275"/>
      <c r="L71" s="1275"/>
      <c r="M71" s="1275"/>
      <c r="N71" s="1275"/>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row>
    <row r="72" spans="1:37">
      <c r="A72" s="4"/>
      <c r="C72" s="2"/>
      <c r="D72" s="4"/>
      <c r="E72" s="4"/>
      <c r="F72" s="8" t="s">
        <v>509</v>
      </c>
      <c r="G72" s="1275" t="s">
        <v>1169</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5" t="s">
        <v>1170</v>
      </c>
      <c r="H80" s="1275"/>
      <c r="I80" s="1275"/>
      <c r="J80" s="1275"/>
      <c r="K80" s="1275"/>
      <c r="L80" s="1275"/>
      <c r="M80" s="1275"/>
      <c r="N80" s="1275"/>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row>
    <row r="81" spans="1:37">
      <c r="A81" s="4"/>
      <c r="C81" s="2"/>
      <c r="D81" s="4"/>
      <c r="E81" s="4"/>
      <c r="F81" s="4"/>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row>
    <row r="82" spans="1:37">
      <c r="A82" s="4"/>
      <c r="C82" s="2"/>
      <c r="D82" s="4"/>
      <c r="E82" s="4"/>
      <c r="F82" s="4"/>
      <c r="G82" s="1275"/>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5" t="s">
        <v>1171</v>
      </c>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c r="A85" s="4"/>
      <c r="C85" s="2"/>
      <c r="D85" s="4"/>
      <c r="E85" s="4"/>
      <c r="F85" s="4"/>
      <c r="G85" s="1275"/>
      <c r="H85" s="1275"/>
      <c r="I85" s="1275"/>
      <c r="J85" s="1275"/>
      <c r="K85" s="1275"/>
      <c r="L85" s="1275"/>
      <c r="M85" s="1275"/>
      <c r="N85" s="1275"/>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row>
    <row r="86" spans="1:37">
      <c r="A86" s="4"/>
      <c r="C86" s="2"/>
      <c r="D86" s="4"/>
      <c r="E86" s="4"/>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5" t="s">
        <v>1173</v>
      </c>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c r="G93" s="1275"/>
      <c r="H93" s="1275"/>
      <c r="I93" s="1275"/>
      <c r="J93" s="1275"/>
      <c r="K93" s="1275"/>
      <c r="L93" s="1275"/>
      <c r="M93" s="1275"/>
      <c r="N93" s="1275"/>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75" t="s">
        <v>1174</v>
      </c>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c r="A96" s="4"/>
      <c r="C96" s="2"/>
      <c r="D96" s="4"/>
      <c r="E96" s="4"/>
      <c r="G96" s="1275"/>
      <c r="H96" s="1275"/>
      <c r="I96" s="1275"/>
      <c r="J96" s="1275"/>
      <c r="K96" s="1275"/>
      <c r="L96" s="1275"/>
      <c r="M96" s="1275"/>
      <c r="N96" s="1275"/>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row>
    <row r="97" spans="1:38">
      <c r="A97" s="4"/>
      <c r="C97" s="2"/>
      <c r="D97" s="4"/>
      <c r="E97" s="4"/>
      <c r="G97" s="1275"/>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5" t="s">
        <v>1176</v>
      </c>
      <c r="H205" s="1275"/>
      <c r="I205" s="1275"/>
      <c r="J205" s="1275"/>
      <c r="K205" s="1275"/>
      <c r="L205" s="1275"/>
      <c r="M205" s="1275"/>
      <c r="N205" s="1275"/>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row>
    <row r="206" spans="2:37">
      <c r="B206" s="4"/>
      <c r="C206" s="4"/>
      <c r="D206" s="2"/>
      <c r="G206" s="1275"/>
      <c r="H206" s="1275"/>
      <c r="I206" s="1275"/>
      <c r="J206" s="1275"/>
      <c r="K206" s="1275"/>
      <c r="L206" s="1275"/>
      <c r="M206" s="1275"/>
      <c r="N206" s="1275"/>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5" t="s">
        <v>1155</v>
      </c>
      <c r="G336" s="1275"/>
      <c r="H336" s="1275"/>
      <c r="I336" s="1275"/>
      <c r="J336" s="1275"/>
      <c r="K336" s="1275"/>
      <c r="L336" s="1275"/>
      <c r="M336" s="1275"/>
      <c r="N336" s="1275"/>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row>
    <row r="337" spans="2:37">
      <c r="B337" s="2"/>
      <c r="E337" s="4"/>
      <c r="F337" s="1275"/>
      <c r="G337" s="1275"/>
      <c r="H337" s="1275"/>
      <c r="I337" s="1275"/>
      <c r="J337" s="1275"/>
      <c r="K337" s="1275"/>
      <c r="L337" s="1275"/>
      <c r="M337" s="1275"/>
      <c r="N337" s="1275"/>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row>
    <row r="338" spans="2:37">
      <c r="B338" s="2"/>
      <c r="E338" s="4"/>
      <c r="F338" s="1275"/>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5" customHeight="1">
      <c r="B341" s="2"/>
      <c r="E341" s="1280" t="s">
        <v>1235</v>
      </c>
      <c r="F341" s="1280"/>
      <c r="G341" s="1280"/>
      <c r="H341" s="1280"/>
      <c r="I341" s="1280"/>
      <c r="J341" s="1280"/>
      <c r="K341" s="1280"/>
      <c r="L341" s="1280"/>
      <c r="M341" s="1280"/>
      <c r="N341" s="1280"/>
      <c r="O341" s="1280"/>
      <c r="P341" s="1280"/>
      <c r="Q341" s="1280"/>
      <c r="R341" s="1280"/>
      <c r="S341" s="1280"/>
      <c r="T341" s="1280"/>
      <c r="U341" s="1280"/>
      <c r="V341" s="1280"/>
      <c r="W341" s="1280"/>
      <c r="X341" s="1280"/>
      <c r="Y341" s="1280"/>
      <c r="Z341" s="1280"/>
      <c r="AA341" s="1280"/>
      <c r="AB341" s="1280"/>
      <c r="AC341" s="1280"/>
      <c r="AD341" s="1280"/>
      <c r="AE341" s="1280"/>
      <c r="AF341" s="1280"/>
      <c r="AG341" s="1280"/>
      <c r="AH341" s="1280"/>
      <c r="AI341" s="1280"/>
      <c r="AJ341" s="1280"/>
      <c r="AK341" s="1280"/>
    </row>
    <row r="342" spans="2:37">
      <c r="B342" s="2"/>
      <c r="E342" s="1280"/>
      <c r="F342" s="1280"/>
      <c r="G342" s="1280"/>
      <c r="H342" s="1280"/>
      <c r="I342" s="1280"/>
      <c r="J342" s="1280"/>
      <c r="K342" s="1280"/>
      <c r="L342" s="1280"/>
      <c r="M342" s="1280"/>
      <c r="N342" s="1280"/>
      <c r="O342" s="1280"/>
      <c r="P342" s="1280"/>
      <c r="Q342" s="1280"/>
      <c r="R342" s="1280"/>
      <c r="S342" s="1280"/>
      <c r="T342" s="1280"/>
      <c r="U342" s="1280"/>
      <c r="V342" s="1280"/>
      <c r="W342" s="1280"/>
      <c r="X342" s="1280"/>
      <c r="Y342" s="1280"/>
      <c r="Z342" s="1280"/>
      <c r="AA342" s="1280"/>
      <c r="AB342" s="1280"/>
      <c r="AC342" s="1280"/>
      <c r="AD342" s="1280"/>
      <c r="AE342" s="1280"/>
      <c r="AF342" s="1280"/>
      <c r="AG342" s="1280"/>
      <c r="AH342" s="1280"/>
      <c r="AI342" s="1280"/>
      <c r="AJ342" s="1280"/>
      <c r="AK342" s="1280"/>
    </row>
    <row r="343" spans="2:37">
      <c r="B343" s="2"/>
      <c r="E343" s="1280"/>
      <c r="F343" s="1280"/>
      <c r="G343" s="1280"/>
      <c r="H343" s="1280"/>
      <c r="I343" s="1280"/>
      <c r="J343" s="1280"/>
      <c r="K343" s="1280"/>
      <c r="L343" s="1280"/>
      <c r="M343" s="1280"/>
      <c r="N343" s="1280"/>
      <c r="O343" s="1280"/>
      <c r="P343" s="1280"/>
      <c r="Q343" s="1280"/>
      <c r="R343" s="1280"/>
      <c r="S343" s="1280"/>
      <c r="T343" s="1280"/>
      <c r="U343" s="1280"/>
      <c r="V343" s="1280"/>
      <c r="W343" s="1280"/>
      <c r="X343" s="1280"/>
      <c r="Y343" s="1280"/>
      <c r="Z343" s="1280"/>
      <c r="AA343" s="1280"/>
      <c r="AB343" s="1280"/>
      <c r="AC343" s="1280"/>
      <c r="AD343" s="1280"/>
      <c r="AE343" s="1280"/>
      <c r="AF343" s="1280"/>
      <c r="AG343" s="1280"/>
      <c r="AH343" s="1280"/>
      <c r="AI343" s="1280"/>
      <c r="AJ343" s="1280"/>
      <c r="AK343" s="1280"/>
    </row>
    <row r="344" spans="2:37">
      <c r="B344" s="2"/>
      <c r="E344" s="1280"/>
      <c r="F344" s="1280"/>
      <c r="G344" s="1280"/>
      <c r="H344" s="1280"/>
      <c r="I344" s="1280"/>
      <c r="J344" s="1280"/>
      <c r="K344" s="1280"/>
      <c r="L344" s="1280"/>
      <c r="M344" s="1280"/>
      <c r="N344" s="1280"/>
      <c r="O344" s="1280"/>
      <c r="P344" s="1280"/>
      <c r="Q344" s="1280"/>
      <c r="R344" s="1280"/>
      <c r="S344" s="1280"/>
      <c r="T344" s="1280"/>
      <c r="U344" s="1280"/>
      <c r="V344" s="1280"/>
      <c r="W344" s="1280"/>
      <c r="X344" s="1280"/>
      <c r="Y344" s="1280"/>
      <c r="Z344" s="1280"/>
      <c r="AA344" s="1280"/>
      <c r="AB344" s="1280"/>
      <c r="AC344" s="1280"/>
      <c r="AD344" s="1280"/>
      <c r="AE344" s="1280"/>
      <c r="AF344" s="1280"/>
      <c r="AG344" s="1280"/>
      <c r="AH344" s="1280"/>
      <c r="AI344" s="1280"/>
      <c r="AJ344" s="1280"/>
      <c r="AK344" s="1280"/>
    </row>
    <row r="345" spans="2:37">
      <c r="B345" s="2"/>
      <c r="E345" s="1280"/>
      <c r="F345" s="1280"/>
      <c r="G345" s="1280"/>
      <c r="H345" s="1280"/>
      <c r="I345" s="1280"/>
      <c r="J345" s="1280"/>
      <c r="K345" s="1280"/>
      <c r="L345" s="1280"/>
      <c r="M345" s="1280"/>
      <c r="N345" s="1280"/>
      <c r="O345" s="1280"/>
      <c r="P345" s="1280"/>
      <c r="Q345" s="1280"/>
      <c r="R345" s="1280"/>
      <c r="S345" s="1280"/>
      <c r="T345" s="1280"/>
      <c r="U345" s="1280"/>
      <c r="V345" s="1280"/>
      <c r="W345" s="1280"/>
      <c r="X345" s="1280"/>
      <c r="Y345" s="1280"/>
      <c r="Z345" s="1280"/>
      <c r="AA345" s="1280"/>
      <c r="AB345" s="1280"/>
      <c r="AC345" s="1280"/>
      <c r="AD345" s="1280"/>
      <c r="AE345" s="1280"/>
      <c r="AF345" s="1280"/>
      <c r="AG345" s="1280"/>
      <c r="AH345" s="1280"/>
      <c r="AI345" s="1280"/>
      <c r="AJ345" s="1280"/>
      <c r="AK345" s="1280"/>
    </row>
    <row r="346" spans="2:37">
      <c r="B346" s="2"/>
      <c r="E346" s="3" t="s">
        <v>112</v>
      </c>
      <c r="F346" s="1275" t="s">
        <v>1237</v>
      </c>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3"/>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c r="F348" s="1275"/>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c r="B350" s="2"/>
      <c r="E350" s="3" t="s">
        <v>113</v>
      </c>
      <c r="F350" s="1275" t="s">
        <v>1236</v>
      </c>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c r="B351" s="2"/>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c r="B352" s="2"/>
      <c r="F352" s="1275"/>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83" t="s">
        <v>1226</v>
      </c>
      <c r="F365" s="1283"/>
      <c r="G365" s="1283"/>
      <c r="H365" s="1283"/>
      <c r="I365" s="1283"/>
      <c r="J365" s="1283"/>
      <c r="K365" s="1283"/>
      <c r="L365" s="1283"/>
      <c r="M365" s="1283"/>
      <c r="N365" s="1283"/>
      <c r="O365" s="1283"/>
      <c r="P365" s="1283"/>
      <c r="Q365" s="1283"/>
      <c r="R365" s="1283"/>
      <c r="S365" s="1283"/>
      <c r="T365" s="1283"/>
      <c r="U365" s="1283"/>
      <c r="V365" s="1283"/>
      <c r="W365" s="1283"/>
      <c r="X365" s="1283"/>
      <c r="Y365" s="1283"/>
      <c r="Z365" s="1283"/>
      <c r="AA365" s="1283"/>
      <c r="AB365" s="1283"/>
      <c r="AC365" s="1283"/>
      <c r="AD365" s="1283"/>
      <c r="AE365" s="1283"/>
      <c r="AF365" s="1283"/>
      <c r="AG365" s="1283"/>
      <c r="AH365" s="1283"/>
      <c r="AI365" s="1283"/>
      <c r="AJ365" s="1283"/>
      <c r="AK365" s="1283"/>
      <c r="AL365" s="1283"/>
    </row>
    <row r="366" spans="1:38">
      <c r="B366" s="2"/>
      <c r="E366" s="1283"/>
      <c r="F366" s="1283"/>
      <c r="G366" s="1283"/>
      <c r="H366" s="1283"/>
      <c r="I366" s="1283"/>
      <c r="J366" s="1283"/>
      <c r="K366" s="1283"/>
      <c r="L366" s="1283"/>
      <c r="M366" s="1283"/>
      <c r="N366" s="1283"/>
      <c r="O366" s="1283"/>
      <c r="P366" s="1283"/>
      <c r="Q366" s="1283"/>
      <c r="R366" s="1283"/>
      <c r="S366" s="1283"/>
      <c r="T366" s="1283"/>
      <c r="U366" s="1283"/>
      <c r="V366" s="1283"/>
      <c r="W366" s="1283"/>
      <c r="X366" s="1283"/>
      <c r="Y366" s="1283"/>
      <c r="Z366" s="1283"/>
      <c r="AA366" s="1283"/>
      <c r="AB366" s="1283"/>
      <c r="AC366" s="1283"/>
      <c r="AD366" s="1283"/>
      <c r="AE366" s="1283"/>
      <c r="AF366" s="1283"/>
      <c r="AG366" s="1283"/>
      <c r="AH366" s="1283"/>
      <c r="AI366" s="1283"/>
      <c r="AJ366" s="1283"/>
      <c r="AK366" s="1283"/>
      <c r="AL366" s="1283"/>
    </row>
    <row r="367" spans="1:38" s="1284" customFormat="1">
      <c r="A367"/>
      <c r="B367" s="2"/>
      <c r="C367"/>
      <c r="D367"/>
      <c r="E367" s="1281" t="s">
        <v>1258</v>
      </c>
    </row>
    <row r="368" spans="1:38" s="1284"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5" t="s">
        <v>1269</v>
      </c>
      <c r="G386" s="1275"/>
      <c r="H386" s="1275"/>
      <c r="I386" s="1275"/>
      <c r="J386" s="1275"/>
      <c r="K386" s="1275"/>
      <c r="L386" s="1275"/>
      <c r="M386" s="1275"/>
      <c r="N386" s="1275"/>
      <c r="O386" s="1275"/>
      <c r="P386" s="1275"/>
      <c r="Q386" s="1275"/>
      <c r="R386" s="1275"/>
      <c r="S386" s="1275"/>
      <c r="T386" s="1275"/>
      <c r="U386" s="1275"/>
      <c r="V386" s="1275"/>
      <c r="W386" s="1275"/>
      <c r="X386" s="1275"/>
      <c r="Y386" s="1275"/>
      <c r="Z386" s="1275"/>
      <c r="AA386" s="1275"/>
      <c r="AB386" s="1275"/>
      <c r="AC386" s="1275"/>
      <c r="AD386" s="1275"/>
      <c r="AE386" s="1275"/>
      <c r="AF386" s="1275"/>
      <c r="AG386" s="1275"/>
      <c r="AH386" s="1275"/>
      <c r="AI386" s="1275"/>
      <c r="AJ386" s="1275"/>
      <c r="AK386" s="1275"/>
    </row>
    <row r="387" spans="1:38">
      <c r="B387" s="2"/>
      <c r="E387" s="3"/>
      <c r="F387" s="1275"/>
      <c r="G387" s="1275"/>
      <c r="H387" s="1275"/>
      <c r="I387" s="1275"/>
      <c r="J387" s="1275"/>
      <c r="K387" s="1275"/>
      <c r="L387" s="1275"/>
      <c r="M387" s="1275"/>
      <c r="N387" s="1275"/>
      <c r="O387" s="1275"/>
      <c r="P387" s="1275"/>
      <c r="Q387" s="1275"/>
      <c r="R387" s="1275"/>
      <c r="S387" s="1275"/>
      <c r="T387" s="1275"/>
      <c r="U387" s="1275"/>
      <c r="V387" s="1275"/>
      <c r="W387" s="1275"/>
      <c r="X387" s="1275"/>
      <c r="Y387" s="1275"/>
      <c r="Z387" s="1275"/>
      <c r="AA387" s="1275"/>
      <c r="AB387" s="1275"/>
      <c r="AC387" s="1275"/>
      <c r="AD387" s="1275"/>
      <c r="AE387" s="1275"/>
      <c r="AF387" s="1275"/>
      <c r="AG387" s="1275"/>
      <c r="AH387" s="1275"/>
      <c r="AI387" s="1275"/>
      <c r="AJ387" s="1275"/>
      <c r="AK387" s="1275"/>
    </row>
    <row r="388" spans="1:38">
      <c r="B388" s="2"/>
      <c r="E388" s="3"/>
      <c r="F388" s="1275"/>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workbookViewId="0">
      <selection sqref="A1:AN2"/>
    </sheetView>
  </sheetViews>
  <sheetFormatPr defaultColWidth="0" defaultRowHeight="12.95" customHeight="1"/>
  <cols>
    <col min="1" max="1" width="1.42578125" style="403" customWidth="1"/>
    <col min="2" max="2" width="0.85546875" style="403" customWidth="1"/>
    <col min="3" max="18" width="2.42578125" style="403" customWidth="1"/>
    <col min="19" max="19" width="6.28515625" style="403" customWidth="1"/>
    <col min="20" max="39" width="2.7109375" style="403" customWidth="1"/>
    <col min="40" max="40" width="1.42578125" style="403" customWidth="1"/>
    <col min="41" max="256" width="2.42578125" style="403" hidden="1"/>
    <col min="257" max="257" width="1.42578125" style="403" hidden="1" customWidth="1"/>
    <col min="258" max="258" width="0.85546875" style="403" hidden="1" customWidth="1"/>
    <col min="259" max="274" width="2.42578125" style="403" hidden="1" customWidth="1"/>
    <col min="275" max="275" width="4" style="403" hidden="1" customWidth="1"/>
    <col min="276" max="295" width="2.42578125" style="403" hidden="1" customWidth="1"/>
    <col min="296" max="296" width="1.42578125" style="403" hidden="1" customWidth="1"/>
    <col min="297" max="512" width="2.42578125" style="403" hidden="1"/>
    <col min="513" max="513" width="1.42578125" style="403" hidden="1" customWidth="1"/>
    <col min="514" max="514" width="0.85546875" style="403" hidden="1" customWidth="1"/>
    <col min="515" max="530" width="2.42578125" style="403" hidden="1" customWidth="1"/>
    <col min="531" max="531" width="4" style="403" hidden="1" customWidth="1"/>
    <col min="532" max="551" width="2.42578125" style="403" hidden="1" customWidth="1"/>
    <col min="552" max="552" width="1.42578125" style="403" hidden="1" customWidth="1"/>
    <col min="553" max="768" width="2.42578125" style="403" hidden="1"/>
    <col min="769" max="769" width="1.42578125" style="403" hidden="1" customWidth="1"/>
    <col min="770" max="770" width="0.85546875" style="403" hidden="1" customWidth="1"/>
    <col min="771" max="786" width="2.42578125" style="403" hidden="1" customWidth="1"/>
    <col min="787" max="787" width="4" style="403" hidden="1" customWidth="1"/>
    <col min="788" max="807" width="2.42578125" style="403" hidden="1" customWidth="1"/>
    <col min="808" max="808" width="1.42578125" style="403" hidden="1" customWidth="1"/>
    <col min="809" max="1024" width="2.42578125" style="403" hidden="1"/>
    <col min="1025" max="1025" width="1.42578125" style="403" hidden="1" customWidth="1"/>
    <col min="1026" max="1026" width="0.85546875" style="403" hidden="1" customWidth="1"/>
    <col min="1027" max="1042" width="2.42578125" style="403" hidden="1" customWidth="1"/>
    <col min="1043" max="1043" width="4" style="403" hidden="1" customWidth="1"/>
    <col min="1044" max="1063" width="2.42578125" style="403" hidden="1" customWidth="1"/>
    <col min="1064" max="1064" width="1.42578125" style="403" hidden="1" customWidth="1"/>
    <col min="1065" max="1280" width="2.42578125" style="403" hidden="1"/>
    <col min="1281" max="1281" width="1.42578125" style="403" hidden="1" customWidth="1"/>
    <col min="1282" max="1282" width="0.85546875" style="403" hidden="1" customWidth="1"/>
    <col min="1283" max="1298" width="2.42578125" style="403" hidden="1" customWidth="1"/>
    <col min="1299" max="1299" width="4" style="403" hidden="1" customWidth="1"/>
    <col min="1300" max="1319" width="2.42578125" style="403" hidden="1" customWidth="1"/>
    <col min="1320" max="1320" width="1.42578125" style="403" hidden="1" customWidth="1"/>
    <col min="1321" max="1536" width="2.42578125" style="403" hidden="1"/>
    <col min="1537" max="1537" width="1.42578125" style="403" hidden="1" customWidth="1"/>
    <col min="1538" max="1538" width="0.85546875" style="403" hidden="1" customWidth="1"/>
    <col min="1539" max="1554" width="2.42578125" style="403" hidden="1" customWidth="1"/>
    <col min="1555" max="1555" width="4" style="403" hidden="1" customWidth="1"/>
    <col min="1556" max="1575" width="2.42578125" style="403" hidden="1" customWidth="1"/>
    <col min="1576" max="1576" width="1.42578125" style="403" hidden="1" customWidth="1"/>
    <col min="1577" max="1792" width="2.42578125" style="403" hidden="1"/>
    <col min="1793" max="1793" width="1.42578125" style="403" hidden="1" customWidth="1"/>
    <col min="1794" max="1794" width="0.85546875" style="403" hidden="1" customWidth="1"/>
    <col min="1795" max="1810" width="2.42578125" style="403" hidden="1" customWidth="1"/>
    <col min="1811" max="1811" width="4" style="403" hidden="1" customWidth="1"/>
    <col min="1812" max="1831" width="2.42578125" style="403" hidden="1" customWidth="1"/>
    <col min="1832" max="1832" width="1.42578125" style="403" hidden="1" customWidth="1"/>
    <col min="1833" max="2048" width="2.42578125" style="403" hidden="1"/>
    <col min="2049" max="2049" width="1.42578125" style="403" hidden="1" customWidth="1"/>
    <col min="2050" max="2050" width="0.85546875" style="403" hidden="1" customWidth="1"/>
    <col min="2051" max="2066" width="2.42578125" style="403" hidden="1" customWidth="1"/>
    <col min="2067" max="2067" width="4" style="403" hidden="1" customWidth="1"/>
    <col min="2068" max="2087" width="2.42578125" style="403" hidden="1" customWidth="1"/>
    <col min="2088" max="2088" width="1.42578125" style="403" hidden="1" customWidth="1"/>
    <col min="2089" max="2304" width="2.42578125" style="403" hidden="1"/>
    <col min="2305" max="2305" width="1.42578125" style="403" hidden="1" customWidth="1"/>
    <col min="2306" max="2306" width="0.85546875" style="403" hidden="1" customWidth="1"/>
    <col min="2307" max="2322" width="2.42578125" style="403" hidden="1" customWidth="1"/>
    <col min="2323" max="2323" width="4" style="403" hidden="1" customWidth="1"/>
    <col min="2324" max="2343" width="2.42578125" style="403" hidden="1" customWidth="1"/>
    <col min="2344" max="2344" width="1.42578125" style="403" hidden="1" customWidth="1"/>
    <col min="2345" max="2560" width="2.42578125" style="403" hidden="1"/>
    <col min="2561" max="2561" width="1.42578125" style="403" hidden="1" customWidth="1"/>
    <col min="2562" max="2562" width="0.85546875" style="403" hidden="1" customWidth="1"/>
    <col min="2563" max="2578" width="2.42578125" style="403" hidden="1" customWidth="1"/>
    <col min="2579" max="2579" width="4" style="403" hidden="1" customWidth="1"/>
    <col min="2580" max="2599" width="2.42578125" style="403" hidden="1" customWidth="1"/>
    <col min="2600" max="2600" width="1.42578125" style="403" hidden="1" customWidth="1"/>
    <col min="2601" max="2816" width="2.42578125" style="403" hidden="1"/>
    <col min="2817" max="2817" width="1.42578125" style="403" hidden="1" customWidth="1"/>
    <col min="2818" max="2818" width="0.85546875" style="403" hidden="1" customWidth="1"/>
    <col min="2819" max="2834" width="2.42578125" style="403" hidden="1" customWidth="1"/>
    <col min="2835" max="2835" width="4" style="403" hidden="1" customWidth="1"/>
    <col min="2836" max="2855" width="2.42578125" style="403" hidden="1" customWidth="1"/>
    <col min="2856" max="2856" width="1.42578125" style="403" hidden="1" customWidth="1"/>
    <col min="2857" max="3072" width="2.42578125" style="403" hidden="1"/>
    <col min="3073" max="3073" width="1.42578125" style="403" hidden="1" customWidth="1"/>
    <col min="3074" max="3074" width="0.85546875" style="403" hidden="1" customWidth="1"/>
    <col min="3075" max="3090" width="2.42578125" style="403" hidden="1" customWidth="1"/>
    <col min="3091" max="3091" width="4" style="403" hidden="1" customWidth="1"/>
    <col min="3092" max="3111" width="2.42578125" style="403" hidden="1" customWidth="1"/>
    <col min="3112" max="3112" width="1.42578125" style="403" hidden="1" customWidth="1"/>
    <col min="3113" max="3328" width="2.42578125" style="403" hidden="1"/>
    <col min="3329" max="3329" width="1.42578125" style="403" hidden="1" customWidth="1"/>
    <col min="3330" max="3330" width="0.85546875" style="403" hidden="1" customWidth="1"/>
    <col min="3331" max="3346" width="2.42578125" style="403" hidden="1" customWidth="1"/>
    <col min="3347" max="3347" width="4" style="403" hidden="1" customWidth="1"/>
    <col min="3348" max="3367" width="2.42578125" style="403" hidden="1" customWidth="1"/>
    <col min="3368" max="3368" width="1.42578125" style="403" hidden="1" customWidth="1"/>
    <col min="3369" max="3584" width="2.42578125" style="403" hidden="1"/>
    <col min="3585" max="3585" width="1.42578125" style="403" hidden="1" customWidth="1"/>
    <col min="3586" max="3586" width="0.85546875" style="403" hidden="1" customWidth="1"/>
    <col min="3587" max="3602" width="2.42578125" style="403" hidden="1" customWidth="1"/>
    <col min="3603" max="3603" width="4" style="403" hidden="1" customWidth="1"/>
    <col min="3604" max="3623" width="2.42578125" style="403" hidden="1" customWidth="1"/>
    <col min="3624" max="3624" width="1.42578125" style="403" hidden="1" customWidth="1"/>
    <col min="3625" max="3840" width="2.42578125" style="403" hidden="1"/>
    <col min="3841" max="3841" width="1.42578125" style="403" hidden="1" customWidth="1"/>
    <col min="3842" max="3842" width="0.85546875" style="403" hidden="1" customWidth="1"/>
    <col min="3843" max="3858" width="2.42578125" style="403" hidden="1" customWidth="1"/>
    <col min="3859" max="3859" width="4" style="403" hidden="1" customWidth="1"/>
    <col min="3860" max="3879" width="2.42578125" style="403" hidden="1" customWidth="1"/>
    <col min="3880" max="3880" width="1.42578125" style="403" hidden="1" customWidth="1"/>
    <col min="3881" max="4096" width="2.42578125" style="403" hidden="1"/>
    <col min="4097" max="4097" width="1.42578125" style="403" hidden="1" customWidth="1"/>
    <col min="4098" max="4098" width="0.85546875" style="403" hidden="1" customWidth="1"/>
    <col min="4099" max="4114" width="2.42578125" style="403" hidden="1" customWidth="1"/>
    <col min="4115" max="4115" width="4" style="403" hidden="1" customWidth="1"/>
    <col min="4116" max="4135" width="2.42578125" style="403" hidden="1" customWidth="1"/>
    <col min="4136" max="4136" width="1.42578125" style="403" hidden="1" customWidth="1"/>
    <col min="4137" max="4352" width="2.42578125" style="403" hidden="1"/>
    <col min="4353" max="4353" width="1.42578125" style="403" hidden="1" customWidth="1"/>
    <col min="4354" max="4354" width="0.85546875" style="403" hidden="1" customWidth="1"/>
    <col min="4355" max="4370" width="2.42578125" style="403" hidden="1" customWidth="1"/>
    <col min="4371" max="4371" width="4" style="403" hidden="1" customWidth="1"/>
    <col min="4372" max="4391" width="2.42578125" style="403" hidden="1" customWidth="1"/>
    <col min="4392" max="4392" width="1.42578125" style="403" hidden="1" customWidth="1"/>
    <col min="4393" max="4608" width="2.42578125" style="403" hidden="1"/>
    <col min="4609" max="4609" width="1.42578125" style="403" hidden="1" customWidth="1"/>
    <col min="4610" max="4610" width="0.85546875" style="403" hidden="1" customWidth="1"/>
    <col min="4611" max="4626" width="2.42578125" style="403" hidden="1" customWidth="1"/>
    <col min="4627" max="4627" width="4" style="403" hidden="1" customWidth="1"/>
    <col min="4628" max="4647" width="2.42578125" style="403" hidden="1" customWidth="1"/>
    <col min="4648" max="4648" width="1.42578125" style="403" hidden="1" customWidth="1"/>
    <col min="4649" max="4864" width="2.42578125" style="403" hidden="1"/>
    <col min="4865" max="4865" width="1.42578125" style="403" hidden="1" customWidth="1"/>
    <col min="4866" max="4866" width="0.85546875" style="403" hidden="1" customWidth="1"/>
    <col min="4867" max="4882" width="2.42578125" style="403" hidden="1" customWidth="1"/>
    <col min="4883" max="4883" width="4" style="403" hidden="1" customWidth="1"/>
    <col min="4884" max="4903" width="2.42578125" style="403" hidden="1" customWidth="1"/>
    <col min="4904" max="4904" width="1.42578125" style="403" hidden="1" customWidth="1"/>
    <col min="4905" max="5120" width="2.42578125" style="403" hidden="1"/>
    <col min="5121" max="5121" width="1.42578125" style="403" hidden="1" customWidth="1"/>
    <col min="5122" max="5122" width="0.85546875" style="403" hidden="1" customWidth="1"/>
    <col min="5123" max="5138" width="2.42578125" style="403" hidden="1" customWidth="1"/>
    <col min="5139" max="5139" width="4" style="403" hidden="1" customWidth="1"/>
    <col min="5140" max="5159" width="2.42578125" style="403" hidden="1" customWidth="1"/>
    <col min="5160" max="5160" width="1.42578125" style="403" hidden="1" customWidth="1"/>
    <col min="5161" max="5376" width="2.42578125" style="403" hidden="1"/>
    <col min="5377" max="5377" width="1.42578125" style="403" hidden="1" customWidth="1"/>
    <col min="5378" max="5378" width="0.85546875" style="403" hidden="1" customWidth="1"/>
    <col min="5379" max="5394" width="2.42578125" style="403" hidden="1" customWidth="1"/>
    <col min="5395" max="5395" width="4" style="403" hidden="1" customWidth="1"/>
    <col min="5396" max="5415" width="2.42578125" style="403" hidden="1" customWidth="1"/>
    <col min="5416" max="5416" width="1.42578125" style="403" hidden="1" customWidth="1"/>
    <col min="5417" max="5632" width="2.42578125" style="403" hidden="1"/>
    <col min="5633" max="5633" width="1.42578125" style="403" hidden="1" customWidth="1"/>
    <col min="5634" max="5634" width="0.85546875" style="403" hidden="1" customWidth="1"/>
    <col min="5635" max="5650" width="2.42578125" style="403" hidden="1" customWidth="1"/>
    <col min="5651" max="5651" width="4" style="403" hidden="1" customWidth="1"/>
    <col min="5652" max="5671" width="2.42578125" style="403" hidden="1" customWidth="1"/>
    <col min="5672" max="5672" width="1.42578125" style="403" hidden="1" customWidth="1"/>
    <col min="5673" max="5888" width="2.42578125" style="403" hidden="1"/>
    <col min="5889" max="5889" width="1.42578125" style="403" hidden="1" customWidth="1"/>
    <col min="5890" max="5890" width="0.85546875" style="403" hidden="1" customWidth="1"/>
    <col min="5891" max="5906" width="2.42578125" style="403" hidden="1" customWidth="1"/>
    <col min="5907" max="5907" width="4" style="403" hidden="1" customWidth="1"/>
    <col min="5908" max="5927" width="2.42578125" style="403" hidden="1" customWidth="1"/>
    <col min="5928" max="5928" width="1.42578125" style="403" hidden="1" customWidth="1"/>
    <col min="5929" max="6144" width="2.42578125" style="403" hidden="1"/>
    <col min="6145" max="6145" width="1.42578125" style="403" hidden="1" customWidth="1"/>
    <col min="6146" max="6146" width="0.85546875" style="403" hidden="1" customWidth="1"/>
    <col min="6147" max="6162" width="2.42578125" style="403" hidden="1" customWidth="1"/>
    <col min="6163" max="6163" width="4" style="403" hidden="1" customWidth="1"/>
    <col min="6164" max="6183" width="2.42578125" style="403" hidden="1" customWidth="1"/>
    <col min="6184" max="6184" width="1.42578125" style="403" hidden="1" customWidth="1"/>
    <col min="6185" max="6400" width="2.42578125" style="403" hidden="1"/>
    <col min="6401" max="6401" width="1.42578125" style="403" hidden="1" customWidth="1"/>
    <col min="6402" max="6402" width="0.85546875" style="403" hidden="1" customWidth="1"/>
    <col min="6403" max="6418" width="2.42578125" style="403" hidden="1" customWidth="1"/>
    <col min="6419" max="6419" width="4" style="403" hidden="1" customWidth="1"/>
    <col min="6420" max="6439" width="2.42578125" style="403" hidden="1" customWidth="1"/>
    <col min="6440" max="6440" width="1.42578125" style="403" hidden="1" customWidth="1"/>
    <col min="6441" max="6656" width="2.42578125" style="403" hidden="1"/>
    <col min="6657" max="6657" width="1.42578125" style="403" hidden="1" customWidth="1"/>
    <col min="6658" max="6658" width="0.85546875" style="403" hidden="1" customWidth="1"/>
    <col min="6659" max="6674" width="2.42578125" style="403" hidden="1" customWidth="1"/>
    <col min="6675" max="6675" width="4" style="403" hidden="1" customWidth="1"/>
    <col min="6676" max="6695" width="2.42578125" style="403" hidden="1" customWidth="1"/>
    <col min="6696" max="6696" width="1.42578125" style="403" hidden="1" customWidth="1"/>
    <col min="6697" max="6912" width="2.42578125" style="403" hidden="1"/>
    <col min="6913" max="6913" width="1.42578125" style="403" hidden="1" customWidth="1"/>
    <col min="6914" max="6914" width="0.85546875" style="403" hidden="1" customWidth="1"/>
    <col min="6915" max="6930" width="2.42578125" style="403" hidden="1" customWidth="1"/>
    <col min="6931" max="6931" width="4" style="403" hidden="1" customWidth="1"/>
    <col min="6932" max="6951" width="2.42578125" style="403" hidden="1" customWidth="1"/>
    <col min="6952" max="6952" width="1.42578125" style="403" hidden="1" customWidth="1"/>
    <col min="6953" max="7168" width="2.42578125" style="403" hidden="1"/>
    <col min="7169" max="7169" width="1.42578125" style="403" hidden="1" customWidth="1"/>
    <col min="7170" max="7170" width="0.85546875" style="403" hidden="1" customWidth="1"/>
    <col min="7171" max="7186" width="2.42578125" style="403" hidden="1" customWidth="1"/>
    <col min="7187" max="7187" width="4" style="403" hidden="1" customWidth="1"/>
    <col min="7188" max="7207" width="2.42578125" style="403" hidden="1" customWidth="1"/>
    <col min="7208" max="7208" width="1.42578125" style="403" hidden="1" customWidth="1"/>
    <col min="7209" max="7424" width="2.42578125" style="403" hidden="1"/>
    <col min="7425" max="7425" width="1.42578125" style="403" hidden="1" customWidth="1"/>
    <col min="7426" max="7426" width="0.85546875" style="403" hidden="1" customWidth="1"/>
    <col min="7427" max="7442" width="2.42578125" style="403" hidden="1" customWidth="1"/>
    <col min="7443" max="7443" width="4" style="403" hidden="1" customWidth="1"/>
    <col min="7444" max="7463" width="2.42578125" style="403" hidden="1" customWidth="1"/>
    <col min="7464" max="7464" width="1.42578125" style="403" hidden="1" customWidth="1"/>
    <col min="7465" max="7680" width="2.42578125" style="403" hidden="1"/>
    <col min="7681" max="7681" width="1.42578125" style="403" hidden="1" customWidth="1"/>
    <col min="7682" max="7682" width="0.85546875" style="403" hidden="1" customWidth="1"/>
    <col min="7683" max="7698" width="2.42578125" style="403" hidden="1" customWidth="1"/>
    <col min="7699" max="7699" width="4" style="403" hidden="1" customWidth="1"/>
    <col min="7700" max="7719" width="2.42578125" style="403" hidden="1" customWidth="1"/>
    <col min="7720" max="7720" width="1.42578125" style="403" hidden="1" customWidth="1"/>
    <col min="7721" max="7936" width="2.42578125" style="403" hidden="1"/>
    <col min="7937" max="7937" width="1.42578125" style="403" hidden="1" customWidth="1"/>
    <col min="7938" max="7938" width="0.85546875" style="403" hidden="1" customWidth="1"/>
    <col min="7939" max="7954" width="2.42578125" style="403" hidden="1" customWidth="1"/>
    <col min="7955" max="7955" width="4" style="403" hidden="1" customWidth="1"/>
    <col min="7956" max="7975" width="2.42578125" style="403" hidden="1" customWidth="1"/>
    <col min="7976" max="7976" width="1.42578125" style="403" hidden="1" customWidth="1"/>
    <col min="7977" max="8192" width="2.42578125" style="403" hidden="1"/>
    <col min="8193" max="8193" width="1.42578125" style="403" hidden="1" customWidth="1"/>
    <col min="8194" max="8194" width="0.85546875" style="403" hidden="1" customWidth="1"/>
    <col min="8195" max="8210" width="2.42578125" style="403" hidden="1" customWidth="1"/>
    <col min="8211" max="8211" width="4" style="403" hidden="1" customWidth="1"/>
    <col min="8212" max="8231" width="2.42578125" style="403" hidden="1" customWidth="1"/>
    <col min="8232" max="8232" width="1.42578125" style="403" hidden="1" customWidth="1"/>
    <col min="8233" max="8448" width="2.42578125" style="403" hidden="1"/>
    <col min="8449" max="8449" width="1.42578125" style="403" hidden="1" customWidth="1"/>
    <col min="8450" max="8450" width="0.85546875" style="403" hidden="1" customWidth="1"/>
    <col min="8451" max="8466" width="2.42578125" style="403" hidden="1" customWidth="1"/>
    <col min="8467" max="8467" width="4" style="403" hidden="1" customWidth="1"/>
    <col min="8468" max="8487" width="2.42578125" style="403" hidden="1" customWidth="1"/>
    <col min="8488" max="8488" width="1.42578125" style="403" hidden="1" customWidth="1"/>
    <col min="8489" max="8704" width="2.42578125" style="403" hidden="1"/>
    <col min="8705" max="8705" width="1.42578125" style="403" hidden="1" customWidth="1"/>
    <col min="8706" max="8706" width="0.85546875" style="403" hidden="1" customWidth="1"/>
    <col min="8707" max="8722" width="2.42578125" style="403" hidden="1" customWidth="1"/>
    <col min="8723" max="8723" width="4" style="403" hidden="1" customWidth="1"/>
    <col min="8724" max="8743" width="2.42578125" style="403" hidden="1" customWidth="1"/>
    <col min="8744" max="8744" width="1.42578125" style="403" hidden="1" customWidth="1"/>
    <col min="8745" max="8960" width="2.42578125" style="403" hidden="1"/>
    <col min="8961" max="8961" width="1.42578125" style="403" hidden="1" customWidth="1"/>
    <col min="8962" max="8962" width="0.85546875" style="403" hidden="1" customWidth="1"/>
    <col min="8963" max="8978" width="2.42578125" style="403" hidden="1" customWidth="1"/>
    <col min="8979" max="8979" width="4" style="403" hidden="1" customWidth="1"/>
    <col min="8980" max="8999" width="2.42578125" style="403" hidden="1" customWidth="1"/>
    <col min="9000" max="9000" width="1.42578125" style="403" hidden="1" customWidth="1"/>
    <col min="9001" max="9216" width="2.42578125" style="403" hidden="1"/>
    <col min="9217" max="9217" width="1.42578125" style="403" hidden="1" customWidth="1"/>
    <col min="9218" max="9218" width="0.85546875" style="403" hidden="1" customWidth="1"/>
    <col min="9219" max="9234" width="2.42578125" style="403" hidden="1" customWidth="1"/>
    <col min="9235" max="9235" width="4" style="403" hidden="1" customWidth="1"/>
    <col min="9236" max="9255" width="2.42578125" style="403" hidden="1" customWidth="1"/>
    <col min="9256" max="9256" width="1.42578125" style="403" hidden="1" customWidth="1"/>
    <col min="9257" max="9472" width="2.42578125" style="403" hidden="1"/>
    <col min="9473" max="9473" width="1.42578125" style="403" hidden="1" customWidth="1"/>
    <col min="9474" max="9474" width="0.85546875" style="403" hidden="1" customWidth="1"/>
    <col min="9475" max="9490" width="2.42578125" style="403" hidden="1" customWidth="1"/>
    <col min="9491" max="9491" width="4" style="403" hidden="1" customWidth="1"/>
    <col min="9492" max="9511" width="2.42578125" style="403" hidden="1" customWidth="1"/>
    <col min="9512" max="9512" width="1.42578125" style="403" hidden="1" customWidth="1"/>
    <col min="9513" max="9728" width="2.42578125" style="403" hidden="1"/>
    <col min="9729" max="9729" width="1.42578125" style="403" hidden="1" customWidth="1"/>
    <col min="9730" max="9730" width="0.85546875" style="403" hidden="1" customWidth="1"/>
    <col min="9731" max="9746" width="2.42578125" style="403" hidden="1" customWidth="1"/>
    <col min="9747" max="9747" width="4" style="403" hidden="1" customWidth="1"/>
    <col min="9748" max="9767" width="2.42578125" style="403" hidden="1" customWidth="1"/>
    <col min="9768" max="9768" width="1.42578125" style="403" hidden="1" customWidth="1"/>
    <col min="9769" max="9984" width="2.42578125" style="403" hidden="1"/>
    <col min="9985" max="9985" width="1.42578125" style="403" hidden="1" customWidth="1"/>
    <col min="9986" max="9986" width="0.85546875" style="403" hidden="1" customWidth="1"/>
    <col min="9987" max="10002" width="2.42578125" style="403" hidden="1" customWidth="1"/>
    <col min="10003" max="10003" width="4" style="403" hidden="1" customWidth="1"/>
    <col min="10004" max="10023" width="2.42578125" style="403" hidden="1" customWidth="1"/>
    <col min="10024" max="10024" width="1.42578125" style="403" hidden="1" customWidth="1"/>
    <col min="10025" max="10240" width="2.42578125" style="403" hidden="1"/>
    <col min="10241" max="10241" width="1.42578125" style="403" hidden="1" customWidth="1"/>
    <col min="10242" max="10242" width="0.85546875" style="403" hidden="1" customWidth="1"/>
    <col min="10243" max="10258" width="2.42578125" style="403" hidden="1" customWidth="1"/>
    <col min="10259" max="10259" width="4" style="403" hidden="1" customWidth="1"/>
    <col min="10260" max="10279" width="2.42578125" style="403" hidden="1" customWidth="1"/>
    <col min="10280" max="10280" width="1.42578125" style="403" hidden="1" customWidth="1"/>
    <col min="10281" max="10496" width="2.42578125" style="403" hidden="1"/>
    <col min="10497" max="10497" width="1.42578125" style="403" hidden="1" customWidth="1"/>
    <col min="10498" max="10498" width="0.85546875" style="403" hidden="1" customWidth="1"/>
    <col min="10499" max="10514" width="2.42578125" style="403" hidden="1" customWidth="1"/>
    <col min="10515" max="10515" width="4" style="403" hidden="1" customWidth="1"/>
    <col min="10516" max="10535" width="2.42578125" style="403" hidden="1" customWidth="1"/>
    <col min="10536" max="10536" width="1.42578125" style="403" hidden="1" customWidth="1"/>
    <col min="10537" max="10752" width="2.42578125" style="403" hidden="1"/>
    <col min="10753" max="10753" width="1.42578125" style="403" hidden="1" customWidth="1"/>
    <col min="10754" max="10754" width="0.85546875" style="403" hidden="1" customWidth="1"/>
    <col min="10755" max="10770" width="2.42578125" style="403" hidden="1" customWidth="1"/>
    <col min="10771" max="10771" width="4" style="403" hidden="1" customWidth="1"/>
    <col min="10772" max="10791" width="2.42578125" style="403" hidden="1" customWidth="1"/>
    <col min="10792" max="10792" width="1.42578125" style="403" hidden="1" customWidth="1"/>
    <col min="10793" max="11008" width="2.42578125" style="403" hidden="1"/>
    <col min="11009" max="11009" width="1.42578125" style="403" hidden="1" customWidth="1"/>
    <col min="11010" max="11010" width="0.85546875" style="403" hidden="1" customWidth="1"/>
    <col min="11011" max="11026" width="2.42578125" style="403" hidden="1" customWidth="1"/>
    <col min="11027" max="11027" width="4" style="403" hidden="1" customWidth="1"/>
    <col min="11028" max="11047" width="2.42578125" style="403" hidden="1" customWidth="1"/>
    <col min="11048" max="11048" width="1.42578125" style="403" hidden="1" customWidth="1"/>
    <col min="11049" max="11264" width="2.42578125" style="403" hidden="1"/>
    <col min="11265" max="11265" width="1.42578125" style="403" hidden="1" customWidth="1"/>
    <col min="11266" max="11266" width="0.85546875" style="403" hidden="1" customWidth="1"/>
    <col min="11267" max="11282" width="2.42578125" style="403" hidden="1" customWidth="1"/>
    <col min="11283" max="11283" width="4" style="403" hidden="1" customWidth="1"/>
    <col min="11284" max="11303" width="2.42578125" style="403" hidden="1" customWidth="1"/>
    <col min="11304" max="11304" width="1.42578125" style="403" hidden="1" customWidth="1"/>
    <col min="11305" max="11520" width="2.42578125" style="403" hidden="1"/>
    <col min="11521" max="11521" width="1.42578125" style="403" hidden="1" customWidth="1"/>
    <col min="11522" max="11522" width="0.85546875" style="403" hidden="1" customWidth="1"/>
    <col min="11523" max="11538" width="2.42578125" style="403" hidden="1" customWidth="1"/>
    <col min="11539" max="11539" width="4" style="403" hidden="1" customWidth="1"/>
    <col min="11540" max="11559" width="2.42578125" style="403" hidden="1" customWidth="1"/>
    <col min="11560" max="11560" width="1.42578125" style="403" hidden="1" customWidth="1"/>
    <col min="11561" max="11776" width="2.42578125" style="403" hidden="1"/>
    <col min="11777" max="11777" width="1.42578125" style="403" hidden="1" customWidth="1"/>
    <col min="11778" max="11778" width="0.85546875" style="403" hidden="1" customWidth="1"/>
    <col min="11779" max="11794" width="2.42578125" style="403" hidden="1" customWidth="1"/>
    <col min="11795" max="11795" width="4" style="403" hidden="1" customWidth="1"/>
    <col min="11796" max="11815" width="2.42578125" style="403" hidden="1" customWidth="1"/>
    <col min="11816" max="11816" width="1.42578125" style="403" hidden="1" customWidth="1"/>
    <col min="11817" max="12032" width="2.42578125" style="403" hidden="1"/>
    <col min="12033" max="12033" width="1.42578125" style="403" hidden="1" customWidth="1"/>
    <col min="12034" max="12034" width="0.85546875" style="403" hidden="1" customWidth="1"/>
    <col min="12035" max="12050" width="2.42578125" style="403" hidden="1" customWidth="1"/>
    <col min="12051" max="12051" width="4" style="403" hidden="1" customWidth="1"/>
    <col min="12052" max="12071" width="2.42578125" style="403" hidden="1" customWidth="1"/>
    <col min="12072" max="12072" width="1.42578125" style="403" hidden="1" customWidth="1"/>
    <col min="12073" max="12288" width="2.42578125" style="403" hidden="1"/>
    <col min="12289" max="12289" width="1.42578125" style="403" hidden="1" customWidth="1"/>
    <col min="12290" max="12290" width="0.85546875" style="403" hidden="1" customWidth="1"/>
    <col min="12291" max="12306" width="2.42578125" style="403" hidden="1" customWidth="1"/>
    <col min="12307" max="12307" width="4" style="403" hidden="1" customWidth="1"/>
    <col min="12308" max="12327" width="2.42578125" style="403" hidden="1" customWidth="1"/>
    <col min="12328" max="12328" width="1.42578125" style="403" hidden="1" customWidth="1"/>
    <col min="12329" max="12544" width="2.42578125" style="403" hidden="1"/>
    <col min="12545" max="12545" width="1.42578125" style="403" hidden="1" customWidth="1"/>
    <col min="12546" max="12546" width="0.85546875" style="403" hidden="1" customWidth="1"/>
    <col min="12547" max="12562" width="2.42578125" style="403" hidden="1" customWidth="1"/>
    <col min="12563" max="12563" width="4" style="403" hidden="1" customWidth="1"/>
    <col min="12564" max="12583" width="2.42578125" style="403" hidden="1" customWidth="1"/>
    <col min="12584" max="12584" width="1.42578125" style="403" hidden="1" customWidth="1"/>
    <col min="12585" max="12800" width="2.42578125" style="403" hidden="1"/>
    <col min="12801" max="12801" width="1.42578125" style="403" hidden="1" customWidth="1"/>
    <col min="12802" max="12802" width="0.85546875" style="403" hidden="1" customWidth="1"/>
    <col min="12803" max="12818" width="2.42578125" style="403" hidden="1" customWidth="1"/>
    <col min="12819" max="12819" width="4" style="403" hidden="1" customWidth="1"/>
    <col min="12820" max="12839" width="2.42578125" style="403" hidden="1" customWidth="1"/>
    <col min="12840" max="12840" width="1.42578125" style="403" hidden="1" customWidth="1"/>
    <col min="12841" max="13056" width="2.42578125" style="403" hidden="1"/>
    <col min="13057" max="13057" width="1.42578125" style="403" hidden="1" customWidth="1"/>
    <col min="13058" max="13058" width="0.85546875" style="403" hidden="1" customWidth="1"/>
    <col min="13059" max="13074" width="2.42578125" style="403" hidden="1" customWidth="1"/>
    <col min="13075" max="13075" width="4" style="403" hidden="1" customWidth="1"/>
    <col min="13076" max="13095" width="2.42578125" style="403" hidden="1" customWidth="1"/>
    <col min="13096" max="13096" width="1.42578125" style="403" hidden="1" customWidth="1"/>
    <col min="13097" max="13312" width="2.42578125" style="403" hidden="1"/>
    <col min="13313" max="13313" width="1.42578125" style="403" hidden="1" customWidth="1"/>
    <col min="13314" max="13314" width="0.85546875" style="403" hidden="1" customWidth="1"/>
    <col min="13315" max="13330" width="2.42578125" style="403" hidden="1" customWidth="1"/>
    <col min="13331" max="13331" width="4" style="403" hidden="1" customWidth="1"/>
    <col min="13332" max="13351" width="2.42578125" style="403" hidden="1" customWidth="1"/>
    <col min="13352" max="13352" width="1.42578125" style="403" hidden="1" customWidth="1"/>
    <col min="13353" max="13568" width="2.42578125" style="403" hidden="1"/>
    <col min="13569" max="13569" width="1.42578125" style="403" hidden="1" customWidth="1"/>
    <col min="13570" max="13570" width="0.85546875" style="403" hidden="1" customWidth="1"/>
    <col min="13571" max="13586" width="2.42578125" style="403" hidden="1" customWidth="1"/>
    <col min="13587" max="13587" width="4" style="403" hidden="1" customWidth="1"/>
    <col min="13588" max="13607" width="2.42578125" style="403" hidden="1" customWidth="1"/>
    <col min="13608" max="13608" width="1.42578125" style="403" hidden="1" customWidth="1"/>
    <col min="13609" max="13824" width="2.42578125" style="403" hidden="1"/>
    <col min="13825" max="13825" width="1.42578125" style="403" hidden="1" customWidth="1"/>
    <col min="13826" max="13826" width="0.85546875" style="403" hidden="1" customWidth="1"/>
    <col min="13827" max="13842" width="2.42578125" style="403" hidden="1" customWidth="1"/>
    <col min="13843" max="13843" width="4" style="403" hidden="1" customWidth="1"/>
    <col min="13844" max="13863" width="2.42578125" style="403" hidden="1" customWidth="1"/>
    <col min="13864" max="13864" width="1.42578125" style="403" hidden="1" customWidth="1"/>
    <col min="13865" max="14080" width="2.42578125" style="403" hidden="1"/>
    <col min="14081" max="14081" width="1.42578125" style="403" hidden="1" customWidth="1"/>
    <col min="14082" max="14082" width="0.85546875" style="403" hidden="1" customWidth="1"/>
    <col min="14083" max="14098" width="2.42578125" style="403" hidden="1" customWidth="1"/>
    <col min="14099" max="14099" width="4" style="403" hidden="1" customWidth="1"/>
    <col min="14100" max="14119" width="2.42578125" style="403" hidden="1" customWidth="1"/>
    <col min="14120" max="14120" width="1.42578125" style="403" hidden="1" customWidth="1"/>
    <col min="14121" max="14336" width="2.42578125" style="403" hidden="1"/>
    <col min="14337" max="14337" width="1.42578125" style="403" hidden="1" customWidth="1"/>
    <col min="14338" max="14338" width="0.85546875" style="403" hidden="1" customWidth="1"/>
    <col min="14339" max="14354" width="2.42578125" style="403" hidden="1" customWidth="1"/>
    <col min="14355" max="14355" width="4" style="403" hidden="1" customWidth="1"/>
    <col min="14356" max="14375" width="2.42578125" style="403" hidden="1" customWidth="1"/>
    <col min="14376" max="14376" width="1.42578125" style="403" hidden="1" customWidth="1"/>
    <col min="14377" max="14592" width="2.42578125" style="403" hidden="1"/>
    <col min="14593" max="14593" width="1.42578125" style="403" hidden="1" customWidth="1"/>
    <col min="14594" max="14594" width="0.85546875" style="403" hidden="1" customWidth="1"/>
    <col min="14595" max="14610" width="2.42578125" style="403" hidden="1" customWidth="1"/>
    <col min="14611" max="14611" width="4" style="403" hidden="1" customWidth="1"/>
    <col min="14612" max="14631" width="2.42578125" style="403" hidden="1" customWidth="1"/>
    <col min="14632" max="14632" width="1.42578125" style="403" hidden="1" customWidth="1"/>
    <col min="14633" max="14848" width="2.42578125" style="403" hidden="1"/>
    <col min="14849" max="14849" width="1.42578125" style="403" hidden="1" customWidth="1"/>
    <col min="14850" max="14850" width="0.85546875" style="403" hidden="1" customWidth="1"/>
    <col min="14851" max="14866" width="2.42578125" style="403" hidden="1" customWidth="1"/>
    <col min="14867" max="14867" width="4" style="403" hidden="1" customWidth="1"/>
    <col min="14868" max="14887" width="2.42578125" style="403" hidden="1" customWidth="1"/>
    <col min="14888" max="14888" width="1.42578125" style="403" hidden="1" customWidth="1"/>
    <col min="14889" max="15104" width="2.42578125" style="403" hidden="1"/>
    <col min="15105" max="15105" width="1.42578125" style="403" hidden="1" customWidth="1"/>
    <col min="15106" max="15106" width="0.85546875" style="403" hidden="1" customWidth="1"/>
    <col min="15107" max="15122" width="2.42578125" style="403" hidden="1" customWidth="1"/>
    <col min="15123" max="15123" width="4" style="403" hidden="1" customWidth="1"/>
    <col min="15124" max="15143" width="2.42578125" style="403" hidden="1" customWidth="1"/>
    <col min="15144" max="15144" width="1.42578125" style="403" hidden="1" customWidth="1"/>
    <col min="15145" max="15360" width="2.42578125" style="403" hidden="1"/>
    <col min="15361" max="15361" width="1.42578125" style="403" hidden="1" customWidth="1"/>
    <col min="15362" max="15362" width="0.85546875" style="403" hidden="1" customWidth="1"/>
    <col min="15363" max="15378" width="2.42578125" style="403" hidden="1" customWidth="1"/>
    <col min="15379" max="15379" width="4" style="403" hidden="1" customWidth="1"/>
    <col min="15380" max="15399" width="2.42578125" style="403" hidden="1" customWidth="1"/>
    <col min="15400" max="15400" width="1.42578125" style="403" hidden="1" customWidth="1"/>
    <col min="15401" max="15616" width="2.42578125" style="403" hidden="1"/>
    <col min="15617" max="15617" width="1.42578125" style="403" hidden="1" customWidth="1"/>
    <col min="15618" max="15618" width="0.85546875" style="403" hidden="1" customWidth="1"/>
    <col min="15619" max="15634" width="2.42578125" style="403" hidden="1" customWidth="1"/>
    <col min="15635" max="15635" width="4" style="403" hidden="1" customWidth="1"/>
    <col min="15636" max="15655" width="2.42578125" style="403" hidden="1" customWidth="1"/>
    <col min="15656" max="15656" width="1.42578125" style="403" hidden="1" customWidth="1"/>
    <col min="15657" max="15872" width="2.42578125" style="403" hidden="1"/>
    <col min="15873" max="15873" width="1.42578125" style="403" hidden="1" customWidth="1"/>
    <col min="15874" max="15874" width="0.85546875" style="403" hidden="1" customWidth="1"/>
    <col min="15875" max="15890" width="2.42578125" style="403" hidden="1" customWidth="1"/>
    <col min="15891" max="15891" width="4" style="403" hidden="1" customWidth="1"/>
    <col min="15892" max="15911" width="2.42578125" style="403" hidden="1" customWidth="1"/>
    <col min="15912" max="15912" width="1.42578125" style="403" hidden="1" customWidth="1"/>
    <col min="15913" max="16128" width="2.42578125" style="403" hidden="1"/>
    <col min="16129" max="16129" width="1.42578125" style="403" hidden="1" customWidth="1"/>
    <col min="16130" max="16130" width="0.85546875" style="403" hidden="1" customWidth="1"/>
    <col min="16131" max="16146" width="2.42578125" style="403" hidden="1" customWidth="1"/>
    <col min="16147" max="16147" width="4" style="403" hidden="1" customWidth="1"/>
    <col min="16148" max="16167" width="2.42578125" style="403" hidden="1" customWidth="1"/>
    <col min="16168" max="16168" width="1.42578125" style="403" hidden="1" customWidth="1"/>
    <col min="16169" max="16384" width="2.42578125" style="403" hidden="1"/>
  </cols>
  <sheetData>
    <row r="1" spans="1:40" ht="12.95" customHeight="1">
      <c r="A1" s="2666" t="s">
        <v>1280</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row>
    <row r="2" spans="1:40" ht="12.95" customHeight="1" thickBot="1">
      <c r="A2" s="2667"/>
      <c r="B2" s="2667"/>
      <c r="C2" s="2667"/>
      <c r="D2" s="2667"/>
      <c r="E2" s="2667"/>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318</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668" t="str">
        <f xml:space="preserve"> IF(T25=100%,'Sources and Basis Breakdown'!G2,'Sources and Basis Breakdown'!F2)</f>
        <v>30% PVC for New Const/
Rehabilitation
DDA/QCT
Building(s)</v>
      </c>
      <c r="U7" s="2668"/>
      <c r="V7" s="2668"/>
      <c r="W7" s="2668"/>
      <c r="X7" s="2668"/>
      <c r="Y7" s="2668" t="str">
        <f>IF(T25=100%,"",'Sources and Basis Breakdown'!G2)</f>
        <v>30% PVC for New Const/
Rehabilitation
NON-DDA/
NON-QCT Building(s)</v>
      </c>
      <c r="Z7" s="2668"/>
      <c r="AA7" s="2668"/>
      <c r="AB7" s="2668"/>
      <c r="AC7" s="2668"/>
      <c r="AD7" s="2668" t="str">
        <f xml:space="preserve"> IF(T25=100%, 'Sources and Basis Breakdown'!J2,'Sources and Basis Breakdown'!I2)</f>
        <v>30% PVC for Acquisition
DDA/QCT Building(s)</v>
      </c>
      <c r="AE7" s="2668"/>
      <c r="AF7" s="2668"/>
      <c r="AG7" s="2668"/>
      <c r="AH7" s="2668"/>
      <c r="AI7" s="2668" t="str">
        <f>IF(T25=100%,"",'Sources and Basis Breakdown'!J2)</f>
        <v>30% PVC for Acquisition
NON-DDA/
NON-QCT Building(s)</v>
      </c>
      <c r="AJ7" s="2668"/>
      <c r="AK7" s="2668"/>
      <c r="AL7" s="2668"/>
      <c r="AM7" s="2668"/>
    </row>
    <row r="8" spans="1:40" ht="12.95" customHeight="1">
      <c r="B8" s="408"/>
      <c r="T8" s="2668"/>
      <c r="U8" s="2668"/>
      <c r="V8" s="2668"/>
      <c r="W8" s="2668"/>
      <c r="X8" s="2668"/>
      <c r="Y8" s="2668"/>
      <c r="Z8" s="2668"/>
      <c r="AA8" s="2668"/>
      <c r="AB8" s="2668"/>
      <c r="AC8" s="2668"/>
      <c r="AD8" s="2668"/>
      <c r="AE8" s="2668"/>
      <c r="AF8" s="2668"/>
      <c r="AG8" s="2668"/>
      <c r="AH8" s="2668"/>
      <c r="AI8" s="2668"/>
      <c r="AJ8" s="2668"/>
      <c r="AK8" s="2668"/>
      <c r="AL8" s="2668"/>
      <c r="AM8" s="2668"/>
    </row>
    <row r="9" spans="1:40" ht="12.95" customHeight="1">
      <c r="B9" s="408"/>
      <c r="T9" s="2668"/>
      <c r="U9" s="2668"/>
      <c r="V9" s="2668"/>
      <c r="W9" s="2668"/>
      <c r="X9" s="2668"/>
      <c r="Y9" s="2668"/>
      <c r="Z9" s="2668"/>
      <c r="AA9" s="2668"/>
      <c r="AB9" s="2668"/>
      <c r="AC9" s="2668"/>
      <c r="AD9" s="2668"/>
      <c r="AE9" s="2668"/>
      <c r="AF9" s="2668"/>
      <c r="AG9" s="2668"/>
      <c r="AH9" s="2668"/>
      <c r="AI9" s="2668"/>
      <c r="AJ9" s="2668"/>
      <c r="AK9" s="2668"/>
      <c r="AL9" s="2668"/>
      <c r="AM9" s="2668"/>
    </row>
    <row r="10" spans="1:40" ht="12.95" customHeight="1">
      <c r="B10" s="409"/>
      <c r="C10" s="410"/>
      <c r="D10" s="410"/>
      <c r="E10" s="410"/>
      <c r="F10" s="410"/>
      <c r="G10" s="410"/>
      <c r="H10" s="410"/>
      <c r="I10" s="410"/>
      <c r="J10" s="410"/>
      <c r="K10" s="410"/>
      <c r="L10" s="410"/>
      <c r="M10" s="410"/>
      <c r="N10" s="410"/>
      <c r="O10" s="410"/>
      <c r="P10" s="410"/>
      <c r="Q10" s="410"/>
      <c r="R10" s="410"/>
      <c r="S10" s="410"/>
      <c r="T10" s="2668"/>
      <c r="U10" s="2668"/>
      <c r="V10" s="2668"/>
      <c r="W10" s="2668"/>
      <c r="X10" s="2668"/>
      <c r="Y10" s="2668"/>
      <c r="Z10" s="2668"/>
      <c r="AA10" s="2668"/>
      <c r="AB10" s="2668"/>
      <c r="AC10" s="2668"/>
      <c r="AD10" s="2668"/>
      <c r="AE10" s="2668"/>
      <c r="AF10" s="2668"/>
      <c r="AG10" s="2668"/>
      <c r="AH10" s="2668"/>
      <c r="AI10" s="2668"/>
      <c r="AJ10" s="2668"/>
      <c r="AK10" s="2668"/>
      <c r="AL10" s="2668"/>
      <c r="AM10" s="2668"/>
    </row>
    <row r="11" spans="1:40" ht="12.95" customHeight="1">
      <c r="B11" s="2647" t="s">
        <v>374</v>
      </c>
      <c r="C11" s="2648"/>
      <c r="D11" s="2648"/>
      <c r="E11" s="2648"/>
      <c r="F11" s="2648"/>
      <c r="G11" s="2648"/>
      <c r="H11" s="2648"/>
      <c r="I11" s="2648"/>
      <c r="J11" s="2648"/>
      <c r="K11" s="2648"/>
      <c r="L11" s="2648"/>
      <c r="M11" s="2648"/>
      <c r="N11" s="2648"/>
      <c r="O11" s="2648"/>
      <c r="P11" s="2648"/>
      <c r="Q11" s="2648"/>
      <c r="R11" s="2648"/>
      <c r="S11" s="2649"/>
      <c r="T11" s="2669">
        <f>IF('Sources and Basis Breakdown'!F107=0,'Sources and Basis Breakdown'!E107,'Sources and Basis Breakdown'!F107)</f>
        <v>77191263</v>
      </c>
      <c r="U11" s="2670"/>
      <c r="V11" s="2670"/>
      <c r="W11" s="2670"/>
      <c r="X11" s="2670"/>
      <c r="Y11" s="2669">
        <f>IF(Y7="",0,IF('Sources and Basis Breakdown'!G107+'Sources and Basis Breakdown'!F107='Sources and Basis Breakdown'!E107,'Sources and Basis Breakdown'!G107,0))</f>
        <v>0</v>
      </c>
      <c r="Z11" s="2670"/>
      <c r="AA11" s="2670"/>
      <c r="AB11" s="2670"/>
      <c r="AC11" s="2670"/>
      <c r="AD11" s="2670">
        <f>IF('Sources and Basis Breakdown'!I107=0,'Sources and Basis Breakdown'!H107,'Sources and Basis Breakdown'!I107)</f>
        <v>0</v>
      </c>
      <c r="AE11" s="2670"/>
      <c r="AF11" s="2670"/>
      <c r="AG11" s="2670"/>
      <c r="AH11" s="2670"/>
      <c r="AI11" s="2670">
        <f>IF(Y7="",0,IF('Sources and Basis Breakdown'!I107+'Sources and Basis Breakdown'!J107='Sources and Basis Breakdown'!H107,'Sources and Basis Breakdown'!J107,0))</f>
        <v>0</v>
      </c>
      <c r="AJ11" s="2670"/>
      <c r="AK11" s="2670"/>
      <c r="AL11" s="2670"/>
      <c r="AM11" s="2670"/>
    </row>
    <row r="12" spans="1:40" ht="12.95" customHeight="1">
      <c r="B12" s="2662" t="s">
        <v>497</v>
      </c>
      <c r="C12" s="1301"/>
      <c r="D12" s="1301"/>
      <c r="E12" s="1301"/>
      <c r="F12" s="1301"/>
      <c r="G12" s="1301"/>
      <c r="H12" s="1301"/>
      <c r="I12" s="1301"/>
      <c r="J12" s="1301"/>
      <c r="K12" s="1301"/>
      <c r="L12" s="1301"/>
      <c r="M12" s="1301"/>
      <c r="N12" s="1301"/>
      <c r="O12" s="1301"/>
      <c r="P12" s="1301"/>
      <c r="Q12" s="1301"/>
      <c r="R12" s="1301"/>
      <c r="S12" s="2663"/>
      <c r="T12" s="2635"/>
      <c r="U12" s="2636"/>
      <c r="V12" s="2636"/>
      <c r="W12" s="2636"/>
      <c r="X12" s="2637"/>
      <c r="Y12" s="2635"/>
      <c r="Z12" s="2636"/>
      <c r="AA12" s="2636"/>
      <c r="AB12" s="2636"/>
      <c r="AC12" s="2637"/>
      <c r="AD12" s="2635"/>
      <c r="AE12" s="2636"/>
      <c r="AF12" s="2636"/>
      <c r="AG12" s="2636"/>
      <c r="AH12" s="2637"/>
      <c r="AI12" s="2635"/>
      <c r="AJ12" s="2636"/>
      <c r="AK12" s="2636"/>
      <c r="AL12" s="2636"/>
      <c r="AM12" s="2637"/>
    </row>
    <row r="13" spans="1:40" ht="12.95" customHeight="1">
      <c r="B13" s="436"/>
      <c r="C13" s="2664" t="s">
        <v>498</v>
      </c>
      <c r="D13" s="2664"/>
      <c r="E13" s="2664"/>
      <c r="F13" s="2664"/>
      <c r="G13" s="2664"/>
      <c r="H13" s="2664"/>
      <c r="I13" s="2664"/>
      <c r="J13" s="2664"/>
      <c r="K13" s="2664"/>
      <c r="L13" s="2664"/>
      <c r="M13" s="2664"/>
      <c r="N13" s="2664"/>
      <c r="O13" s="2664"/>
      <c r="P13" s="2664"/>
      <c r="Q13" s="2664"/>
      <c r="R13" s="2664"/>
      <c r="S13" s="2665"/>
      <c r="T13" s="2671"/>
      <c r="U13" s="2672"/>
      <c r="V13" s="2672"/>
      <c r="W13" s="2672"/>
      <c r="X13" s="2672"/>
      <c r="Y13" s="2671"/>
      <c r="Z13" s="2672"/>
      <c r="AA13" s="2672"/>
      <c r="AB13" s="2672"/>
      <c r="AC13" s="2672"/>
      <c r="AD13" s="2672"/>
      <c r="AE13" s="2672"/>
      <c r="AF13" s="2672"/>
      <c r="AG13" s="2672"/>
      <c r="AH13" s="2672"/>
      <c r="AI13" s="2672"/>
      <c r="AJ13" s="2672"/>
      <c r="AK13" s="2672"/>
      <c r="AL13" s="2672"/>
      <c r="AM13" s="2672"/>
    </row>
    <row r="14" spans="1:40" ht="12.95" customHeight="1">
      <c r="B14" s="436"/>
      <c r="C14" s="2664" t="s">
        <v>499</v>
      </c>
      <c r="D14" s="2664"/>
      <c r="E14" s="2664"/>
      <c r="F14" s="2664"/>
      <c r="G14" s="2664"/>
      <c r="H14" s="2664"/>
      <c r="I14" s="2664"/>
      <c r="J14" s="2664"/>
      <c r="K14" s="2664"/>
      <c r="L14" s="2664"/>
      <c r="M14" s="2664"/>
      <c r="N14" s="2664"/>
      <c r="O14" s="2664"/>
      <c r="P14" s="2664"/>
      <c r="Q14" s="2664"/>
      <c r="R14" s="2664"/>
      <c r="S14" s="2665"/>
      <c r="T14" s="2638"/>
      <c r="U14" s="2639"/>
      <c r="V14" s="2639"/>
      <c r="W14" s="2639"/>
      <c r="X14" s="2639"/>
      <c r="Y14" s="2638"/>
      <c r="Z14" s="2639"/>
      <c r="AA14" s="2639"/>
      <c r="AB14" s="2639"/>
      <c r="AC14" s="2639"/>
      <c r="AD14" s="2639"/>
      <c r="AE14" s="2639"/>
      <c r="AF14" s="2639"/>
      <c r="AG14" s="2639"/>
      <c r="AH14" s="2639"/>
      <c r="AI14" s="2639"/>
      <c r="AJ14" s="2639"/>
      <c r="AK14" s="2639"/>
      <c r="AL14" s="2639"/>
      <c r="AM14" s="2639"/>
    </row>
    <row r="15" spans="1:40" ht="12.95" customHeight="1">
      <c r="B15" s="436"/>
      <c r="C15" s="2664" t="s">
        <v>500</v>
      </c>
      <c r="D15" s="2664"/>
      <c r="E15" s="2664"/>
      <c r="F15" s="2664"/>
      <c r="G15" s="2664"/>
      <c r="H15" s="2664"/>
      <c r="I15" s="2664"/>
      <c r="J15" s="2664"/>
      <c r="K15" s="2664"/>
      <c r="L15" s="2664"/>
      <c r="M15" s="2664"/>
      <c r="N15" s="2664"/>
      <c r="O15" s="2664"/>
      <c r="P15" s="2664"/>
      <c r="Q15" s="2664"/>
      <c r="R15" s="2664"/>
      <c r="S15" s="2665"/>
      <c r="T15" s="2638"/>
      <c r="U15" s="2639"/>
      <c r="V15" s="2639"/>
      <c r="W15" s="2639"/>
      <c r="X15" s="2639"/>
      <c r="Y15" s="2638"/>
      <c r="Z15" s="2639"/>
      <c r="AA15" s="2639"/>
      <c r="AB15" s="2639"/>
      <c r="AC15" s="2639"/>
      <c r="AD15" s="2639"/>
      <c r="AE15" s="2639"/>
      <c r="AF15" s="2639"/>
      <c r="AG15" s="2639"/>
      <c r="AH15" s="2639"/>
      <c r="AI15" s="2639"/>
      <c r="AJ15" s="2639"/>
      <c r="AK15" s="2639"/>
      <c r="AL15" s="2639"/>
      <c r="AM15" s="2639"/>
    </row>
    <row r="16" spans="1:40" ht="12.95" customHeight="1">
      <c r="B16" s="436"/>
      <c r="C16" s="2664" t="s">
        <v>805</v>
      </c>
      <c r="D16" s="2664"/>
      <c r="E16" s="2664"/>
      <c r="F16" s="2664"/>
      <c r="G16" s="2664"/>
      <c r="H16" s="2664"/>
      <c r="I16" s="2664"/>
      <c r="J16" s="2664"/>
      <c r="K16" s="2664"/>
      <c r="L16" s="2664"/>
      <c r="M16" s="2664"/>
      <c r="N16" s="2664"/>
      <c r="O16" s="2664"/>
      <c r="P16" s="2664"/>
      <c r="Q16" s="2664"/>
      <c r="R16" s="2664"/>
      <c r="S16" s="2665"/>
      <c r="T16" s="2638"/>
      <c r="U16" s="2639"/>
      <c r="V16" s="2639"/>
      <c r="W16" s="2639"/>
      <c r="X16" s="2639"/>
      <c r="Y16" s="2638"/>
      <c r="Z16" s="2639"/>
      <c r="AA16" s="2639"/>
      <c r="AB16" s="2639"/>
      <c r="AC16" s="2639"/>
      <c r="AD16" s="2639"/>
      <c r="AE16" s="2639"/>
      <c r="AF16" s="2639"/>
      <c r="AG16" s="2639"/>
      <c r="AH16" s="2639"/>
      <c r="AI16" s="2639"/>
      <c r="AJ16" s="2639"/>
      <c r="AK16" s="2639"/>
      <c r="AL16" s="2639"/>
      <c r="AM16" s="2639"/>
    </row>
    <row r="17" spans="1:40" ht="12.95" customHeight="1">
      <c r="B17" s="436"/>
      <c r="C17" s="2664" t="s">
        <v>501</v>
      </c>
      <c r="D17" s="2664"/>
      <c r="E17" s="2664"/>
      <c r="F17" s="2664"/>
      <c r="G17" s="2664"/>
      <c r="H17" s="2664"/>
      <c r="I17" s="2664"/>
      <c r="J17" s="2664"/>
      <c r="K17" s="2664"/>
      <c r="L17" s="2664"/>
      <c r="M17" s="2664"/>
      <c r="N17" s="2664"/>
      <c r="O17" s="2664"/>
      <c r="P17" s="2664"/>
      <c r="Q17" s="2664"/>
      <c r="R17" s="2664"/>
      <c r="S17" s="2665"/>
      <c r="T17" s="2638"/>
      <c r="U17" s="2639"/>
      <c r="V17" s="2639"/>
      <c r="W17" s="2639"/>
      <c r="X17" s="2639"/>
      <c r="Y17" s="2638"/>
      <c r="Z17" s="2639"/>
      <c r="AA17" s="2639"/>
      <c r="AB17" s="2639"/>
      <c r="AC17" s="2639"/>
      <c r="AD17" s="2639"/>
      <c r="AE17" s="2639"/>
      <c r="AF17" s="2639"/>
      <c r="AG17" s="2639"/>
      <c r="AH17" s="2639"/>
      <c r="AI17" s="2639"/>
      <c r="AJ17" s="2639"/>
      <c r="AK17" s="2639"/>
      <c r="AL17" s="2639"/>
      <c r="AM17" s="2639"/>
    </row>
    <row r="18" spans="1:40" ht="12.95" customHeight="1">
      <c r="A18"/>
      <c r="B18" s="1152"/>
      <c r="C18" s="1804" t="s">
        <v>960</v>
      </c>
      <c r="D18" s="1804"/>
      <c r="E18" s="1804"/>
      <c r="F18" s="1804"/>
      <c r="G18" s="1804"/>
      <c r="H18" s="1804"/>
      <c r="I18" s="1804"/>
      <c r="J18" s="1804"/>
      <c r="K18" s="1804"/>
      <c r="L18" s="1804"/>
      <c r="M18" s="1804"/>
      <c r="N18" s="1804"/>
      <c r="O18" s="1804"/>
      <c r="P18" s="1804"/>
      <c r="Q18" s="1804"/>
      <c r="R18" s="1804"/>
      <c r="S18" s="1805"/>
      <c r="T18" s="2638"/>
      <c r="U18" s="2639"/>
      <c r="V18" s="2639"/>
      <c r="W18" s="2639"/>
      <c r="X18" s="2639"/>
      <c r="Y18" s="2638"/>
      <c r="Z18" s="2639"/>
      <c r="AA18" s="2639"/>
      <c r="AB18" s="2639"/>
      <c r="AC18" s="2639"/>
      <c r="AD18" s="2639"/>
      <c r="AE18" s="2639"/>
      <c r="AF18" s="2639"/>
      <c r="AG18" s="2639"/>
      <c r="AH18" s="2639"/>
      <c r="AI18" s="2639"/>
      <c r="AJ18" s="2639"/>
      <c r="AK18" s="2639"/>
      <c r="AL18" s="2639"/>
      <c r="AM18" s="2639"/>
    </row>
    <row r="19" spans="1:40" ht="12.95" customHeight="1">
      <c r="B19" s="1152"/>
      <c r="C19" s="1804" t="s">
        <v>960</v>
      </c>
      <c r="D19" s="1804"/>
      <c r="E19" s="1804"/>
      <c r="F19" s="1804"/>
      <c r="G19" s="1804"/>
      <c r="H19" s="1804"/>
      <c r="I19" s="1804"/>
      <c r="J19" s="1804"/>
      <c r="K19" s="1804"/>
      <c r="L19" s="1804"/>
      <c r="M19" s="1804"/>
      <c r="N19" s="1804"/>
      <c r="O19" s="1804"/>
      <c r="P19" s="1804"/>
      <c r="Q19" s="1804"/>
      <c r="R19" s="1804"/>
      <c r="S19" s="1805"/>
      <c r="T19" s="2638"/>
      <c r="U19" s="2639"/>
      <c r="V19" s="2639"/>
      <c r="W19" s="2639"/>
      <c r="X19" s="2639"/>
      <c r="Y19" s="2638"/>
      <c r="Z19" s="2639"/>
      <c r="AA19" s="2639"/>
      <c r="AB19" s="2639"/>
      <c r="AC19" s="2639"/>
      <c r="AD19" s="2639"/>
      <c r="AE19" s="2639"/>
      <c r="AF19" s="2639"/>
      <c r="AG19" s="2639"/>
      <c r="AH19" s="2639"/>
      <c r="AI19" s="2639"/>
      <c r="AJ19" s="2639"/>
      <c r="AK19" s="2639"/>
      <c r="AL19" s="2639"/>
      <c r="AM19" s="2639"/>
    </row>
    <row r="20" spans="1:40" ht="12.95" customHeight="1">
      <c r="B20" s="2647" t="s">
        <v>502</v>
      </c>
      <c r="C20" s="2648"/>
      <c r="D20" s="2648"/>
      <c r="E20" s="2648"/>
      <c r="F20" s="2648"/>
      <c r="G20" s="2648"/>
      <c r="H20" s="2648"/>
      <c r="I20" s="2648"/>
      <c r="J20" s="2648"/>
      <c r="K20" s="2648"/>
      <c r="L20" s="2648"/>
      <c r="M20" s="2648"/>
      <c r="N20" s="2648"/>
      <c r="O20" s="2648"/>
      <c r="P20" s="2648"/>
      <c r="Q20" s="2648"/>
      <c r="R20" s="2648"/>
      <c r="S20" s="2649"/>
      <c r="T20" s="2640">
        <f>SUM(T13:X19)</f>
        <v>0</v>
      </c>
      <c r="U20" s="2641"/>
      <c r="V20" s="2641"/>
      <c r="W20" s="2641"/>
      <c r="X20" s="2641"/>
      <c r="Y20" s="2640">
        <f>SUM(Y13:AC19)</f>
        <v>0</v>
      </c>
      <c r="Z20" s="2641"/>
      <c r="AA20" s="2641"/>
      <c r="AB20" s="2641"/>
      <c r="AC20" s="2641"/>
      <c r="AD20" s="2642">
        <f>SUM(AD13:AH19)</f>
        <v>0</v>
      </c>
      <c r="AE20" s="2643"/>
      <c r="AF20" s="2643"/>
      <c r="AG20" s="2643"/>
      <c r="AH20" s="2640"/>
      <c r="AI20" s="2642">
        <f>SUM(AI13:AM19)</f>
        <v>0</v>
      </c>
      <c r="AJ20" s="2643"/>
      <c r="AK20" s="2643"/>
      <c r="AL20" s="2643"/>
      <c r="AM20" s="2640"/>
    </row>
    <row r="21" spans="1:40" ht="12.95" customHeight="1">
      <c r="B21" s="2647" t="s">
        <v>1263</v>
      </c>
      <c r="C21" s="2648"/>
      <c r="D21" s="2648"/>
      <c r="E21" s="2648"/>
      <c r="F21" s="2648"/>
      <c r="G21" s="2648"/>
      <c r="H21" s="2648"/>
      <c r="I21" s="2648"/>
      <c r="J21" s="2648"/>
      <c r="K21" s="2648"/>
      <c r="L21" s="2648"/>
      <c r="M21" s="2648"/>
      <c r="N21" s="2648"/>
      <c r="O21" s="2648"/>
      <c r="P21" s="2648"/>
      <c r="Q21" s="2648"/>
      <c r="R21" s="2648"/>
      <c r="S21" s="2649"/>
      <c r="T21" s="2638"/>
      <c r="U21" s="2639"/>
      <c r="V21" s="2639"/>
      <c r="W21" s="2639"/>
      <c r="X21" s="2639"/>
      <c r="Y21" s="2638"/>
      <c r="Z21" s="2639"/>
      <c r="AA21" s="2639"/>
      <c r="AB21" s="2639"/>
      <c r="AC21" s="2639"/>
      <c r="AD21" s="2635"/>
      <c r="AE21" s="2636"/>
      <c r="AF21" s="2636"/>
      <c r="AG21" s="2636"/>
      <c r="AH21" s="2637"/>
      <c r="AI21" s="2635"/>
      <c r="AJ21" s="2636"/>
      <c r="AK21" s="2636"/>
      <c r="AL21" s="2636"/>
      <c r="AM21" s="2637"/>
    </row>
    <row r="22" spans="1:40" ht="12.95" customHeight="1">
      <c r="B22" s="2647" t="s">
        <v>503</v>
      </c>
      <c r="C22" s="2648"/>
      <c r="D22" s="2648"/>
      <c r="E22" s="2648"/>
      <c r="F22" s="2648"/>
      <c r="G22" s="2648"/>
      <c r="H22" s="2648"/>
      <c r="I22" s="2648"/>
      <c r="J22" s="2648"/>
      <c r="K22" s="2648"/>
      <c r="L22" s="2648"/>
      <c r="M22" s="2648"/>
      <c r="N22" s="2648"/>
      <c r="O22" s="2648"/>
      <c r="P22" s="2648"/>
      <c r="Q22" s="2648"/>
      <c r="R22" s="2648"/>
      <c r="S22" s="2649"/>
      <c r="T22" s="2673">
        <f>(ABS(T20)+ABS(T21))*-1</f>
        <v>0</v>
      </c>
      <c r="U22" s="2674"/>
      <c r="V22" s="2674"/>
      <c r="W22" s="2674"/>
      <c r="X22" s="2674"/>
      <c r="Y22" s="2673">
        <f>(Y20+Y21)*-1</f>
        <v>0</v>
      </c>
      <c r="Z22" s="2674"/>
      <c r="AA22" s="2674"/>
      <c r="AB22" s="2674"/>
      <c r="AC22" s="2674"/>
      <c r="AD22" s="2675">
        <f>(AD20)*-1</f>
        <v>0</v>
      </c>
      <c r="AE22" s="2676"/>
      <c r="AF22" s="2676"/>
      <c r="AG22" s="2676"/>
      <c r="AH22" s="2673"/>
      <c r="AI22" s="2675">
        <f>(AI20)*-1</f>
        <v>0</v>
      </c>
      <c r="AJ22" s="2676"/>
      <c r="AK22" s="2676"/>
      <c r="AL22" s="2676"/>
      <c r="AM22" s="2673"/>
    </row>
    <row r="23" spans="1:40" ht="12.95" customHeight="1">
      <c r="B23" s="2647" t="s">
        <v>504</v>
      </c>
      <c r="C23" s="2648"/>
      <c r="D23" s="2648"/>
      <c r="E23" s="2648"/>
      <c r="F23" s="2648"/>
      <c r="G23" s="2648"/>
      <c r="H23" s="2648"/>
      <c r="I23" s="2648"/>
      <c r="J23" s="2648"/>
      <c r="K23" s="2648"/>
      <c r="L23" s="2648"/>
      <c r="M23" s="2648"/>
      <c r="N23" s="2648"/>
      <c r="O23" s="2648"/>
      <c r="P23" s="2648"/>
      <c r="Q23" s="2648"/>
      <c r="R23" s="2648"/>
      <c r="S23" s="2649"/>
      <c r="T23" s="2640">
        <f>T11+T22</f>
        <v>77191263</v>
      </c>
      <c r="U23" s="2641"/>
      <c r="V23" s="2641"/>
      <c r="W23" s="2641"/>
      <c r="X23" s="2641"/>
      <c r="Y23" s="2640">
        <f>Y11+Y22</f>
        <v>0</v>
      </c>
      <c r="Z23" s="2641"/>
      <c r="AA23" s="2641"/>
      <c r="AB23" s="2641"/>
      <c r="AC23" s="2641"/>
      <c r="AD23" s="2640">
        <f>AD11+AD22</f>
        <v>0</v>
      </c>
      <c r="AE23" s="2641"/>
      <c r="AF23" s="2641"/>
      <c r="AG23" s="2641"/>
      <c r="AH23" s="2641"/>
      <c r="AI23" s="2640">
        <f>AI11+AI22</f>
        <v>0</v>
      </c>
      <c r="AJ23" s="2641"/>
      <c r="AK23" s="2641"/>
      <c r="AL23" s="2641"/>
      <c r="AM23" s="2641"/>
    </row>
    <row r="24" spans="1:40" ht="12.95" customHeight="1">
      <c r="B24" s="2647" t="s">
        <v>961</v>
      </c>
      <c r="C24" s="2648"/>
      <c r="D24" s="2648"/>
      <c r="E24" s="2648"/>
      <c r="F24" s="2648"/>
      <c r="G24" s="2648"/>
      <c r="H24" s="2648"/>
      <c r="I24" s="2648"/>
      <c r="J24" s="2648"/>
      <c r="K24" s="2648"/>
      <c r="L24" s="2648"/>
      <c r="M24" s="2648"/>
      <c r="N24" s="2648"/>
      <c r="O24" s="2648"/>
      <c r="P24" s="2648"/>
      <c r="Q24" s="2648"/>
      <c r="R24" s="2648"/>
      <c r="S24" s="2649"/>
      <c r="T24" s="2642">
        <f>Application!AJ1053</f>
        <v>131405835.59999999</v>
      </c>
      <c r="U24" s="2643"/>
      <c r="V24" s="2643"/>
      <c r="W24" s="2643"/>
      <c r="X24" s="2643"/>
      <c r="Y24" s="2643"/>
      <c r="Z24" s="2643"/>
      <c r="AA24" s="2643"/>
      <c r="AB24" s="2643"/>
      <c r="AC24" s="2643"/>
      <c r="AD24" s="2643"/>
      <c r="AE24" s="2643"/>
      <c r="AF24" s="2643"/>
      <c r="AG24" s="2643"/>
      <c r="AH24" s="2643"/>
      <c r="AI24" s="2643"/>
      <c r="AJ24" s="2643"/>
      <c r="AK24" s="2643"/>
      <c r="AL24" s="2643"/>
      <c r="AM24" s="2640"/>
    </row>
    <row r="25" spans="1:40" ht="12.95" customHeight="1">
      <c r="B25" s="2651" t="s">
        <v>1264</v>
      </c>
      <c r="C25" s="2652"/>
      <c r="D25" s="2652"/>
      <c r="E25" s="2652"/>
      <c r="F25" s="2652"/>
      <c r="G25" s="2652"/>
      <c r="H25" s="2652"/>
      <c r="I25" s="2652"/>
      <c r="J25" s="2652"/>
      <c r="K25" s="2652"/>
      <c r="L25" s="2652"/>
      <c r="M25" s="2652"/>
      <c r="N25" s="2652"/>
      <c r="O25" s="2652"/>
      <c r="P25" s="2652"/>
      <c r="Q25" s="2652"/>
      <c r="R25" s="2652"/>
      <c r="S25" s="2653"/>
      <c r="T25" s="2677">
        <f>IF(OR(Application!T196="yes",Application!T195="yes"),1.3,1)</f>
        <v>1.3</v>
      </c>
      <c r="U25" s="2678"/>
      <c r="V25" s="2678"/>
      <c r="W25" s="2678"/>
      <c r="X25" s="2678"/>
      <c r="Y25" s="2677">
        <v>1</v>
      </c>
      <c r="Z25" s="2678"/>
      <c r="AA25" s="2678"/>
      <c r="AB25" s="2678"/>
      <c r="AC25" s="2678"/>
      <c r="AD25" s="2677">
        <v>1</v>
      </c>
      <c r="AE25" s="2678"/>
      <c r="AF25" s="2678"/>
      <c r="AG25" s="2678"/>
      <c r="AH25" s="2679"/>
      <c r="AI25" s="2677">
        <v>1</v>
      </c>
      <c r="AJ25" s="2678"/>
      <c r="AK25" s="2678"/>
      <c r="AL25" s="2678"/>
      <c r="AM25" s="2679"/>
    </row>
    <row r="26" spans="1:40" ht="12.95" customHeight="1">
      <c r="B26" s="2647" t="s">
        <v>505</v>
      </c>
      <c r="C26" s="2648"/>
      <c r="D26" s="2648"/>
      <c r="E26" s="2648"/>
      <c r="F26" s="2648"/>
      <c r="G26" s="2648"/>
      <c r="H26" s="2648"/>
      <c r="I26" s="2648"/>
      <c r="J26" s="2648"/>
      <c r="K26" s="2648"/>
      <c r="L26" s="2648"/>
      <c r="M26" s="2648"/>
      <c r="N26" s="2648"/>
      <c r="O26" s="2648"/>
      <c r="P26" s="2648"/>
      <c r="Q26" s="2648"/>
      <c r="R26" s="2648"/>
      <c r="S26" s="2649"/>
      <c r="T26" s="2640">
        <f>T23*T25</f>
        <v>100348641.90000001</v>
      </c>
      <c r="U26" s="2641"/>
      <c r="V26" s="2641"/>
      <c r="W26" s="2641"/>
      <c r="X26" s="2641"/>
      <c r="Y26" s="2640">
        <f>Y23*Y25</f>
        <v>0</v>
      </c>
      <c r="Z26" s="2641"/>
      <c r="AA26" s="2641"/>
      <c r="AB26" s="2641"/>
      <c r="AC26" s="2641"/>
      <c r="AD26" s="2640">
        <f>AD23*AD25</f>
        <v>0</v>
      </c>
      <c r="AE26" s="2641"/>
      <c r="AF26" s="2641"/>
      <c r="AG26" s="2641"/>
      <c r="AH26" s="2641"/>
      <c r="AI26" s="2640">
        <f>AI23*AI25</f>
        <v>0</v>
      </c>
      <c r="AJ26" s="2641"/>
      <c r="AK26" s="2641"/>
      <c r="AL26" s="2641"/>
      <c r="AM26" s="2641"/>
    </row>
    <row r="27" spans="1:40" ht="12.95" customHeight="1">
      <c r="A27" s="411"/>
      <c r="B27" s="2654" t="s">
        <v>425</v>
      </c>
      <c r="C27" s="2655"/>
      <c r="D27" s="2655"/>
      <c r="E27" s="2655"/>
      <c r="F27" s="2655"/>
      <c r="G27" s="2655"/>
      <c r="H27" s="2655"/>
      <c r="I27" s="2655"/>
      <c r="J27" s="2655"/>
      <c r="K27" s="2655"/>
      <c r="L27" s="2655"/>
      <c r="M27" s="2655"/>
      <c r="N27" s="2655"/>
      <c r="O27" s="2655"/>
      <c r="P27" s="2655"/>
      <c r="Q27" s="2655"/>
      <c r="R27" s="2655"/>
      <c r="S27" s="2656"/>
      <c r="T27" s="2660">
        <f>Application!$AG$445</f>
        <v>1</v>
      </c>
      <c r="U27" s="2661"/>
      <c r="V27" s="2661"/>
      <c r="W27" s="2661"/>
      <c r="X27" s="2661"/>
      <c r="Y27" s="2660">
        <f>Application!$AG$445</f>
        <v>1</v>
      </c>
      <c r="Z27" s="2661"/>
      <c r="AA27" s="2661"/>
      <c r="AB27" s="2661"/>
      <c r="AC27" s="2661"/>
      <c r="AD27" s="2660">
        <f>Application!$AG$445</f>
        <v>1</v>
      </c>
      <c r="AE27" s="2661"/>
      <c r="AF27" s="2661"/>
      <c r="AG27" s="2661"/>
      <c r="AH27" s="2661"/>
      <c r="AI27" s="2660">
        <f>Application!$AG$445</f>
        <v>1</v>
      </c>
      <c r="AJ27" s="2661"/>
      <c r="AK27" s="2661"/>
      <c r="AL27" s="2661"/>
      <c r="AM27" s="2661"/>
    </row>
    <row r="28" spans="1:40" ht="12.95" customHeight="1">
      <c r="A28" s="405"/>
      <c r="B28" s="2647" t="s">
        <v>506</v>
      </c>
      <c r="C28" s="2648"/>
      <c r="D28" s="2648"/>
      <c r="E28" s="2648"/>
      <c r="F28" s="2648"/>
      <c r="G28" s="2648"/>
      <c r="H28" s="2648"/>
      <c r="I28" s="2648"/>
      <c r="J28" s="2648"/>
      <c r="K28" s="2648"/>
      <c r="L28" s="2648"/>
      <c r="M28" s="2648"/>
      <c r="N28" s="2648"/>
      <c r="O28" s="2648"/>
      <c r="P28" s="2648"/>
      <c r="Q28" s="2648"/>
      <c r="R28" s="2648"/>
      <c r="S28" s="2649"/>
      <c r="T28" s="2640">
        <f>IF(ISERROR((T26*T27)),0,(T26*T27))</f>
        <v>100348641.90000001</v>
      </c>
      <c r="U28" s="2641"/>
      <c r="V28" s="2641"/>
      <c r="W28" s="2641"/>
      <c r="X28" s="2641"/>
      <c r="Y28" s="2640">
        <f>IF(ISERROR((Y26*Y27)),0,(Y26*Y27))</f>
        <v>0</v>
      </c>
      <c r="Z28" s="2641"/>
      <c r="AA28" s="2641"/>
      <c r="AB28" s="2641"/>
      <c r="AC28" s="2641"/>
      <c r="AD28" s="2640">
        <f>IF(ISERROR((AD26*AD27)),0,(AD26*AD27))</f>
        <v>0</v>
      </c>
      <c r="AE28" s="2641"/>
      <c r="AF28" s="2641"/>
      <c r="AG28" s="2641"/>
      <c r="AH28" s="2641"/>
      <c r="AI28" s="2640">
        <f>IF(ISERROR((AI26*AI27)),0,(AI26*AI27))</f>
        <v>0</v>
      </c>
      <c r="AJ28" s="2641"/>
      <c r="AK28" s="2641"/>
      <c r="AL28" s="2641"/>
      <c r="AM28" s="2641"/>
    </row>
    <row r="29" spans="1:40" ht="12.95" customHeight="1">
      <c r="B29" s="2647" t="s">
        <v>523</v>
      </c>
      <c r="C29" s="2648"/>
      <c r="D29" s="2648"/>
      <c r="E29" s="2648"/>
      <c r="F29" s="2648"/>
      <c r="G29" s="2648"/>
      <c r="H29" s="2648"/>
      <c r="I29" s="2648"/>
      <c r="J29" s="2648"/>
      <c r="K29" s="2648"/>
      <c r="L29" s="2648"/>
      <c r="M29" s="2648"/>
      <c r="N29" s="2648"/>
      <c r="O29" s="2648"/>
      <c r="P29" s="2648"/>
      <c r="Q29" s="2648"/>
      <c r="R29" s="2648"/>
      <c r="S29" s="2649"/>
      <c r="T29" s="2642">
        <f>T28+Y28+AD28+AI28</f>
        <v>100348641.90000001</v>
      </c>
      <c r="U29" s="2643"/>
      <c r="V29" s="2643"/>
      <c r="W29" s="2643"/>
      <c r="X29" s="2643"/>
      <c r="Y29" s="2643"/>
      <c r="Z29" s="2643"/>
      <c r="AA29" s="2643"/>
      <c r="AB29" s="2643"/>
      <c r="AC29" s="2643"/>
      <c r="AD29" s="2643"/>
      <c r="AE29" s="2643"/>
      <c r="AF29" s="2643"/>
      <c r="AG29" s="2643"/>
      <c r="AH29" s="2643"/>
      <c r="AI29" s="2643"/>
      <c r="AJ29" s="2643"/>
      <c r="AK29" s="2643"/>
      <c r="AL29" s="2643"/>
      <c r="AM29" s="2640"/>
    </row>
    <row r="30" spans="1:40" ht="12.95" customHeight="1">
      <c r="B30" s="2650" t="s">
        <v>1266</v>
      </c>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40" ht="12.95" customHeight="1">
      <c r="B31" s="2650" t="s">
        <v>1265</v>
      </c>
      <c r="C31" s="2650"/>
      <c r="D31" s="2650"/>
      <c r="E31" s="2650"/>
      <c r="F31" s="2650"/>
      <c r="G31" s="2650"/>
      <c r="H31" s="2650"/>
      <c r="I31" s="2650"/>
      <c r="J31" s="2650"/>
      <c r="K31" s="2650"/>
      <c r="L31" s="2650"/>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8" t="s">
        <v>1154</v>
      </c>
      <c r="Z35" s="2668"/>
      <c r="AA35" s="2668"/>
      <c r="AB35" s="2668"/>
      <c r="AC35" s="2668"/>
      <c r="AD35" s="2688" t="s">
        <v>368</v>
      </c>
      <c r="AE35" s="2688"/>
      <c r="AF35" s="2688"/>
      <c r="AG35" s="2688"/>
      <c r="AH35" s="2688"/>
    </row>
    <row r="36" spans="1:76" ht="12.95" customHeight="1">
      <c r="B36" s="408"/>
      <c r="X36" s="413"/>
      <c r="Y36" s="2668"/>
      <c r="Z36" s="2668"/>
      <c r="AA36" s="2668"/>
      <c r="AB36" s="2668"/>
      <c r="AC36" s="2668"/>
      <c r="AD36" s="2688"/>
      <c r="AE36" s="2688"/>
      <c r="AF36" s="2688"/>
      <c r="AG36" s="2688"/>
      <c r="AH36" s="2688"/>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8"/>
      <c r="Z37" s="2668"/>
      <c r="AA37" s="2668"/>
      <c r="AB37" s="2668"/>
      <c r="AC37" s="2668"/>
      <c r="AD37" s="2688"/>
      <c r="AE37" s="2688"/>
      <c r="AF37" s="2688"/>
      <c r="AG37" s="2688"/>
      <c r="AH37" s="2688"/>
    </row>
    <row r="38" spans="1:76" ht="12.95" customHeight="1">
      <c r="A38" s="405"/>
      <c r="B38" s="2647" t="s">
        <v>506</v>
      </c>
      <c r="C38" s="2648"/>
      <c r="D38" s="2648"/>
      <c r="E38" s="2648"/>
      <c r="F38" s="2648"/>
      <c r="G38" s="2648"/>
      <c r="H38" s="2648"/>
      <c r="I38" s="2648"/>
      <c r="J38" s="2648"/>
      <c r="K38" s="2648"/>
      <c r="L38" s="2648"/>
      <c r="M38" s="2648"/>
      <c r="N38" s="2648"/>
      <c r="O38" s="2648"/>
      <c r="P38" s="2648"/>
      <c r="Q38" s="2648"/>
      <c r="R38" s="2648"/>
      <c r="S38" s="2648"/>
      <c r="T38" s="2648"/>
      <c r="U38" s="2648"/>
      <c r="V38" s="2648"/>
      <c r="W38" s="2648"/>
      <c r="X38" s="2649"/>
      <c r="Y38" s="2641">
        <f>IF(T24&gt;=(T23+Y23+AD23+AI23),T28+Y28,0)</f>
        <v>100348641.90000001</v>
      </c>
      <c r="Z38" s="2641"/>
      <c r="AA38" s="2641"/>
      <c r="AB38" s="2641"/>
      <c r="AC38" s="2641"/>
      <c r="AD38" s="2641">
        <f>IF(T24&gt;=(T23+Y23+AD23+AI23),AD28+AI28,0)</f>
        <v>0</v>
      </c>
      <c r="AE38" s="2641"/>
      <c r="AF38" s="2641"/>
      <c r="AG38" s="2641"/>
      <c r="AH38" s="2641"/>
    </row>
    <row r="39" spans="1:76" ht="12.95" customHeight="1">
      <c r="B39" s="2647" t="s">
        <v>1691</v>
      </c>
      <c r="C39" s="2648"/>
      <c r="D39" s="2648"/>
      <c r="E39" s="2648"/>
      <c r="F39" s="2648"/>
      <c r="G39" s="2648"/>
      <c r="H39" s="2648"/>
      <c r="I39" s="2648"/>
      <c r="J39" s="2648"/>
      <c r="K39" s="2648"/>
      <c r="L39" s="2648"/>
      <c r="M39" s="2648"/>
      <c r="N39" s="2648"/>
      <c r="O39" s="2648"/>
      <c r="P39" s="2648"/>
      <c r="Q39" s="2648"/>
      <c r="R39" s="2648"/>
      <c r="S39" s="2648"/>
      <c r="T39" s="2648"/>
      <c r="U39" s="2648"/>
      <c r="V39" s="2648"/>
      <c r="W39" s="2648"/>
      <c r="X39" s="2649"/>
      <c r="Y39" s="2689">
        <v>0.04</v>
      </c>
      <c r="Z39" s="2689"/>
      <c r="AA39" s="2689"/>
      <c r="AB39" s="2689"/>
      <c r="AC39" s="2689"/>
      <c r="AD39" s="2689">
        <v>0.04</v>
      </c>
      <c r="AE39" s="2689"/>
      <c r="AF39" s="2689"/>
      <c r="AG39" s="2689"/>
      <c r="AH39" s="2689"/>
    </row>
    <row r="40" spans="1:76" ht="12.95" customHeight="1">
      <c r="A40" s="405"/>
      <c r="B40" s="2647" t="s">
        <v>642</v>
      </c>
      <c r="C40" s="2648"/>
      <c r="D40" s="2648"/>
      <c r="E40" s="2648"/>
      <c r="F40" s="2648"/>
      <c r="G40" s="2648"/>
      <c r="H40" s="2648"/>
      <c r="I40" s="2648"/>
      <c r="J40" s="2648"/>
      <c r="K40" s="2648"/>
      <c r="L40" s="2648"/>
      <c r="M40" s="2648"/>
      <c r="N40" s="2648"/>
      <c r="O40" s="2648"/>
      <c r="P40" s="2648"/>
      <c r="Q40" s="2648"/>
      <c r="R40" s="2648"/>
      <c r="S40" s="2648"/>
      <c r="T40" s="2648"/>
      <c r="U40" s="2648"/>
      <c r="V40" s="2648"/>
      <c r="W40" s="2648"/>
      <c r="X40" s="2649"/>
      <c r="Y40" s="2641">
        <f>ROUND(Y38*Y39,0)</f>
        <v>4013946</v>
      </c>
      <c r="Z40" s="2641"/>
      <c r="AA40" s="2641"/>
      <c r="AB40" s="2641"/>
      <c r="AC40" s="2641"/>
      <c r="AD40" s="2640">
        <f>ROUND(AD38*AD39,0)</f>
        <v>0</v>
      </c>
      <c r="AE40" s="2641"/>
      <c r="AF40" s="2641"/>
      <c r="AG40" s="2641"/>
      <c r="AH40" s="2641"/>
    </row>
    <row r="41" spans="1:76" ht="12.95" customHeight="1">
      <c r="B41" s="2647" t="s">
        <v>643</v>
      </c>
      <c r="C41" s="2648"/>
      <c r="D41" s="2648"/>
      <c r="E41" s="2648"/>
      <c r="F41" s="2648"/>
      <c r="G41" s="2648"/>
      <c r="H41" s="2648"/>
      <c r="I41" s="2648"/>
      <c r="J41" s="2648"/>
      <c r="K41" s="2648"/>
      <c r="L41" s="2648"/>
      <c r="M41" s="2648"/>
      <c r="N41" s="2648"/>
      <c r="O41" s="2648"/>
      <c r="P41" s="2648"/>
      <c r="Q41" s="2648"/>
      <c r="R41" s="2648"/>
      <c r="S41" s="2648"/>
      <c r="T41" s="2648"/>
      <c r="U41" s="2648"/>
      <c r="V41" s="2648"/>
      <c r="W41" s="2648"/>
      <c r="X41" s="2649"/>
      <c r="Y41" s="2642">
        <f>Y40+AD40</f>
        <v>4013946</v>
      </c>
      <c r="Z41" s="2643"/>
      <c r="AA41" s="2643"/>
      <c r="AB41" s="2643"/>
      <c r="AC41" s="2643"/>
      <c r="AD41" s="2643"/>
      <c r="AE41" s="2643"/>
      <c r="AF41" s="2643"/>
      <c r="AG41" s="2643"/>
      <c r="AH41" s="2640"/>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645" t="s">
        <v>1276</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05" customFormat="1" ht="12.95" customHeight="1" thickTop="1"/>
    <row r="46" spans="1:76" ht="12.95" customHeight="1">
      <c r="A46" s="405" t="s">
        <v>586</v>
      </c>
      <c r="C46" s="405" t="s">
        <v>281</v>
      </c>
    </row>
    <row r="47" spans="1:76" ht="12.95" customHeight="1">
      <c r="D47" s="405" t="s">
        <v>282</v>
      </c>
      <c r="AB47" s="2657">
        <f>'Sources and Uses Budget'!B105-MAX(IF('Sources and Uses Budget'!B15="",0,'Sources and Uses Budget'!B15),IF(Application!AG394="",0,Application!AG394))</f>
        <v>86046463</v>
      </c>
      <c r="AC47" s="2658"/>
      <c r="AD47" s="2658"/>
      <c r="AE47" s="2658"/>
      <c r="AF47" s="2659"/>
    </row>
    <row r="48" spans="1:76" ht="12.95" customHeight="1">
      <c r="D48" s="405" t="s">
        <v>21</v>
      </c>
      <c r="AB48" s="2657">
        <f>Application!AO639-MAX(IF('Sources and Uses Budget'!B15="",0,'Sources and Uses Budget'!B15),IF(Application!AG394="",0,Application!AG394))</f>
        <v>48983243</v>
      </c>
      <c r="AC48" s="2658"/>
      <c r="AD48" s="2658"/>
      <c r="AE48" s="2658"/>
      <c r="AF48" s="2659"/>
    </row>
    <row r="49" spans="1:76" ht="12.95" customHeight="1">
      <c r="D49" s="405" t="s">
        <v>91</v>
      </c>
      <c r="AB49" s="2657">
        <f>AB47-AB48</f>
        <v>37063220</v>
      </c>
      <c r="AC49" s="2658"/>
      <c r="AD49" s="2658"/>
      <c r="AE49" s="2658"/>
      <c r="AF49" s="2659"/>
    </row>
    <row r="50" spans="1:76" ht="12.95" customHeight="1">
      <c r="D50" s="405" t="s">
        <v>681</v>
      </c>
      <c r="AA50" s="416"/>
      <c r="AB50" s="2684">
        <f>AB49/(Y41*10)</f>
        <v>0.9233612011721134</v>
      </c>
      <c r="AC50" s="2685"/>
      <c r="AD50" s="2685"/>
      <c r="AE50" s="2685"/>
      <c r="AF50" s="2686"/>
    </row>
    <row r="51" spans="1:76" s="418" customFormat="1" ht="12.95" customHeight="1">
      <c r="A51" s="403"/>
      <c r="B51" s="403"/>
      <c r="C51" s="403"/>
      <c r="D51" s="403"/>
      <c r="E51" s="2687" t="s">
        <v>1850</v>
      </c>
      <c r="F51" s="2687"/>
      <c r="G51" s="2687"/>
      <c r="H51" s="2687"/>
      <c r="I51" s="2687"/>
      <c r="J51" s="2687"/>
      <c r="K51" s="2687"/>
      <c r="L51" s="2687"/>
      <c r="M51" s="2687"/>
      <c r="N51" s="2687"/>
      <c r="O51" s="2687"/>
      <c r="P51" s="2687"/>
      <c r="Q51" s="2687"/>
      <c r="R51" s="2687"/>
      <c r="S51" s="2687"/>
      <c r="T51" s="2687"/>
      <c r="U51" s="2687"/>
      <c r="V51" s="2687"/>
      <c r="W51" s="2687"/>
      <c r="X51" s="2687"/>
      <c r="Y51" s="2687"/>
      <c r="Z51" s="2687"/>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687"/>
      <c r="F52" s="2687"/>
      <c r="G52" s="2687"/>
      <c r="H52" s="2687"/>
      <c r="I52" s="2687"/>
      <c r="J52" s="2687"/>
      <c r="K52" s="2687"/>
      <c r="L52" s="2687"/>
      <c r="M52" s="2687"/>
      <c r="N52" s="2687"/>
      <c r="O52" s="2687"/>
      <c r="P52" s="2687"/>
      <c r="Q52" s="2687"/>
      <c r="R52" s="2687"/>
      <c r="S52" s="2687"/>
      <c r="T52" s="2687"/>
      <c r="U52" s="2687"/>
      <c r="V52" s="2687"/>
      <c r="W52" s="2687"/>
      <c r="X52" s="2687"/>
      <c r="Y52" s="2687"/>
      <c r="Z52" s="2687"/>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331</v>
      </c>
      <c r="AB54" s="2657">
        <f>ROUND(IF(ISERROR((AB49/AB50)),0,(AB49/AB50)),0)</f>
        <v>40139460</v>
      </c>
      <c r="AC54" s="2658"/>
      <c r="AD54" s="2658"/>
      <c r="AE54" s="2658"/>
      <c r="AF54" s="2659"/>
    </row>
    <row r="55" spans="1:76" ht="12.95" customHeight="1">
      <c r="D55" s="405" t="s">
        <v>332</v>
      </c>
      <c r="AB55" s="2657">
        <f>(AB54/10)</f>
        <v>4013946</v>
      </c>
      <c r="AC55" s="2658"/>
      <c r="AD55" s="2658"/>
      <c r="AE55" s="2658"/>
      <c r="AF55" s="2659"/>
    </row>
    <row r="56" spans="1:76" ht="12.95" customHeight="1">
      <c r="D56" s="405" t="s">
        <v>756</v>
      </c>
      <c r="AB56" s="2657">
        <f>ROUND((IF((Y41&lt;AB55),Y41,AB55)),0)</f>
        <v>4013946</v>
      </c>
      <c r="AC56" s="2658"/>
      <c r="AD56" s="2658"/>
      <c r="AE56" s="2658"/>
      <c r="AF56" s="2659"/>
    </row>
    <row r="57" spans="1:76" ht="12.95" customHeight="1">
      <c r="D57" s="405" t="s">
        <v>755</v>
      </c>
      <c r="AB57" s="2657">
        <f>ROUND((10*AB56*AB50),0)</f>
        <v>37063220</v>
      </c>
      <c r="AC57" s="2658"/>
      <c r="AD57" s="2658"/>
      <c r="AE57" s="2658"/>
      <c r="AF57" s="2659"/>
    </row>
    <row r="58" spans="1:76" ht="12.95" customHeight="1">
      <c r="D58" s="405"/>
      <c r="AB58" s="424"/>
      <c r="AC58" s="424"/>
      <c r="AD58" s="424"/>
      <c r="AE58" s="424"/>
      <c r="AF58" s="424"/>
    </row>
    <row r="59" spans="1:76" ht="12.95" customHeight="1">
      <c r="D59" s="405" t="s">
        <v>754</v>
      </c>
      <c r="AB59" s="2680">
        <f>AB49-AB57</f>
        <v>0</v>
      </c>
      <c r="AC59" s="2680"/>
      <c r="AD59" s="2680"/>
      <c r="AE59" s="2680"/>
      <c r="AF59" s="2680"/>
    </row>
    <row r="60" spans="1:76" ht="12.95" customHeight="1">
      <c r="D60" s="405"/>
      <c r="AB60" s="424"/>
      <c r="AC60" s="424"/>
      <c r="AD60" s="424"/>
      <c r="AE60" s="424"/>
      <c r="AF60" s="424"/>
    </row>
    <row r="61" spans="1:76" s="205" customFormat="1" ht="12.95"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05" customFormat="1" ht="12.95" customHeight="1" thickTop="1"/>
    <row r="63" spans="1:76" ht="12.95" customHeight="1">
      <c r="A63" s="405" t="s">
        <v>589</v>
      </c>
      <c r="C63" s="206" t="s">
        <v>1248</v>
      </c>
      <c r="Y63" s="2681" t="s">
        <v>984</v>
      </c>
      <c r="Z63" s="2681"/>
      <c r="AA63" s="2681"/>
      <c r="AB63" s="2681"/>
      <c r="AC63" s="2681"/>
      <c r="AD63" s="2681" t="s">
        <v>368</v>
      </c>
      <c r="AE63" s="2681"/>
      <c r="AF63" s="2681"/>
      <c r="AG63" s="2681"/>
      <c r="AH63" s="2681"/>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2">
        <f>IF(Application!$Z$205="(select)",0,((T23*T27)+Y28))</f>
        <v>0</v>
      </c>
      <c r="Z64" s="2682"/>
      <c r="AA64" s="2682"/>
      <c r="AB64" s="2682"/>
      <c r="AC64" s="2683"/>
      <c r="AD64" s="2642">
        <f>IF(AND(OR(Application!D211="At-Risk",Application!D211="At-Risk and Special Needs"),Application!M358="yes"),AD28+AI28,0)</f>
        <v>0</v>
      </c>
      <c r="AE64" s="2682"/>
      <c r="AF64" s="2682"/>
      <c r="AG64" s="2682"/>
      <c r="AH64" s="2683"/>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95" cm="1">
        <f t="array" ref="Y67">_xlfn.IFS(OR(Application!Z205="State Farmworker Credit",Application!Z205="$500M (Farmworker Housing)"),0.75,Application!Z205="15% set-aside",0.13,Application!Z205="15% set-aside with qualifying low value rehab",0.95,Application!Z205="$500M",0.3,TRUE,0)</f>
        <v>0</v>
      </c>
      <c r="Z67" s="2695"/>
      <c r="AA67" s="2695"/>
      <c r="AB67" s="2695"/>
      <c r="AC67" s="2695"/>
      <c r="AD67" s="2695" cm="1">
        <f t="array" ref="AD67">_xlfn.IFS(Application!Z205="15% set-aside with qualifying low value rehab", 0.95,OR(Application!D211="At-Risk",'Points System'!B13="Yes"),0.13,TRUE,0)</f>
        <v>0</v>
      </c>
      <c r="AE67" s="2695"/>
      <c r="AF67" s="2695"/>
      <c r="AG67" s="2695"/>
      <c r="AH67" s="2695"/>
    </row>
    <row r="68" spans="1:36" ht="12.95" customHeight="1">
      <c r="C68" s="405"/>
      <c r="D68" s="206" t="s">
        <v>2228</v>
      </c>
      <c r="Y68" s="2641">
        <f>ROUND(Y64*Y67,0)</f>
        <v>0</v>
      </c>
      <c r="Z68" s="2696"/>
      <c r="AA68" s="2696"/>
      <c r="AB68" s="2696"/>
      <c r="AC68" s="2696"/>
      <c r="AD68" s="2641">
        <f>ROUND(AD64*AD67,0)</f>
        <v>0</v>
      </c>
      <c r="AE68" s="2696"/>
      <c r="AF68" s="2696"/>
      <c r="AG68" s="2696"/>
      <c r="AH68" s="2696"/>
    </row>
    <row r="69" spans="1:36" ht="12.95" customHeight="1">
      <c r="C69" s="405"/>
      <c r="D69" s="206" t="s">
        <v>2229</v>
      </c>
      <c r="Y69" s="2641">
        <f>IF(OR(Application!Z205="State Farmworker Credit",Application!Z205="$500M (Farmworker Housing)"),Y68+AD68,MIN(Y68+AD68,200000*(Application!G753+Application!O777)))</f>
        <v>0</v>
      </c>
      <c r="Z69" s="2641"/>
      <c r="AA69" s="2641"/>
      <c r="AB69" s="2641"/>
      <c r="AC69" s="2641"/>
      <c r="AD69" s="2641"/>
      <c r="AE69" s="2641"/>
      <c r="AF69" s="2641"/>
      <c r="AG69" s="2641"/>
      <c r="AH69" s="2641"/>
    </row>
    <row r="70" spans="1:36" ht="12.95" customHeight="1">
      <c r="C70" s="405"/>
      <c r="E70" s="405"/>
      <c r="AB70" s="423"/>
      <c r="AC70" s="423"/>
      <c r="AD70" s="423"/>
      <c r="AE70" s="423"/>
      <c r="AF70" s="423"/>
    </row>
    <row r="71" spans="1:36" ht="12.95" customHeight="1">
      <c r="A71" s="405" t="s">
        <v>590</v>
      </c>
      <c r="C71" s="206" t="s">
        <v>283</v>
      </c>
    </row>
    <row r="72" spans="1:36" ht="12.95" customHeight="1">
      <c r="A72" s="405"/>
      <c r="C72" s="405"/>
      <c r="D72" s="206" t="s">
        <v>1250</v>
      </c>
      <c r="AB72" s="2684"/>
      <c r="AC72" s="2685"/>
      <c r="AD72" s="2685"/>
      <c r="AE72" s="2685"/>
      <c r="AF72" s="2686"/>
    </row>
    <row r="73" spans="1:36" ht="12.95" customHeight="1">
      <c r="A73" s="405"/>
      <c r="C73" s="405"/>
      <c r="D73" s="405"/>
      <c r="E73" s="2697" t="s">
        <v>1251</v>
      </c>
      <c r="F73" s="2697"/>
      <c r="G73" s="2697"/>
      <c r="H73" s="2697"/>
      <c r="I73" s="2697"/>
      <c r="J73" s="2697"/>
      <c r="K73" s="2697"/>
      <c r="L73" s="2697"/>
      <c r="M73" s="2697"/>
      <c r="N73" s="2697"/>
      <c r="O73" s="2697"/>
      <c r="P73" s="2697"/>
      <c r="Q73" s="2697"/>
      <c r="R73" s="2697"/>
      <c r="S73" s="2697"/>
      <c r="T73" s="2697"/>
      <c r="U73" s="2697"/>
      <c r="V73" s="2697"/>
      <c r="W73" s="2697"/>
      <c r="X73" s="2697"/>
      <c r="Y73" s="2697"/>
      <c r="Z73" s="2697"/>
      <c r="AA73" s="2697"/>
      <c r="AB73" s="439"/>
      <c r="AC73" s="439"/>
    </row>
    <row r="74" spans="1:36" ht="12.95" customHeight="1">
      <c r="A74" s="405"/>
      <c r="C74" s="405"/>
      <c r="D74" s="405"/>
      <c r="E74" s="2697"/>
      <c r="F74" s="2697"/>
      <c r="G74" s="2697"/>
      <c r="H74" s="2697"/>
      <c r="I74" s="2697"/>
      <c r="J74" s="2697"/>
      <c r="K74" s="2697"/>
      <c r="L74" s="2697"/>
      <c r="M74" s="2697"/>
      <c r="N74" s="2697"/>
      <c r="O74" s="2697"/>
      <c r="P74" s="2697"/>
      <c r="Q74" s="2697"/>
      <c r="R74" s="2697"/>
      <c r="S74" s="2697"/>
      <c r="T74" s="2697"/>
      <c r="U74" s="2697"/>
      <c r="V74" s="2697"/>
      <c r="W74" s="2697"/>
      <c r="X74" s="2697"/>
      <c r="Y74" s="2697"/>
      <c r="Z74" s="2697"/>
      <c r="AA74" s="2697"/>
      <c r="AB74" s="439"/>
      <c r="AC74" s="439"/>
    </row>
    <row r="75" spans="1:36" ht="12.95" customHeight="1">
      <c r="A75" s="405"/>
      <c r="C75" s="405"/>
      <c r="D75" s="405"/>
      <c r="E75" s="2697"/>
      <c r="F75" s="2697"/>
      <c r="G75" s="2697"/>
      <c r="H75" s="2697"/>
      <c r="I75" s="2697"/>
      <c r="J75" s="2697"/>
      <c r="K75" s="2697"/>
      <c r="L75" s="2697"/>
      <c r="M75" s="2697"/>
      <c r="N75" s="2697"/>
      <c r="O75" s="2697"/>
      <c r="P75" s="2697"/>
      <c r="Q75" s="2697"/>
      <c r="R75" s="2697"/>
      <c r="S75" s="2697"/>
      <c r="T75" s="2697"/>
      <c r="U75" s="2697"/>
      <c r="V75" s="2697"/>
      <c r="W75" s="2697"/>
      <c r="X75" s="2697"/>
      <c r="Y75" s="2697"/>
      <c r="Z75" s="2697"/>
      <c r="AA75" s="2697"/>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690">
        <f>ROUND(IF(ISERROR((AB59/AB72)),0,(AB59/AB72)),0)</f>
        <v>0</v>
      </c>
      <c r="AC77" s="2690"/>
      <c r="AD77" s="2690"/>
      <c r="AE77" s="2690"/>
      <c r="AF77" s="2690"/>
    </row>
    <row r="78" spans="1:36" ht="12.95" customHeight="1">
      <c r="C78" s="405"/>
      <c r="D78" s="206" t="s">
        <v>1253</v>
      </c>
      <c r="AB78" s="2691">
        <f>ROUNDUP(MIN(Y69,AB77),0)</f>
        <v>0</v>
      </c>
      <c r="AC78" s="2692"/>
      <c r="AD78" s="2692"/>
      <c r="AE78" s="2692"/>
      <c r="AF78" s="2693"/>
    </row>
    <row r="79" spans="1:36" ht="12.95" customHeight="1">
      <c r="C79" s="405"/>
      <c r="D79" s="206" t="s">
        <v>1254</v>
      </c>
      <c r="AB79" s="2694">
        <f>AB78*AB72</f>
        <v>0</v>
      </c>
      <c r="AC79" s="2694"/>
      <c r="AD79" s="2694"/>
      <c r="AE79" s="2694"/>
      <c r="AF79" s="2694"/>
    </row>
    <row r="80" spans="1:36" ht="12.95" customHeight="1">
      <c r="C80" s="405"/>
      <c r="D80" s="405"/>
      <c r="AB80" s="426"/>
      <c r="AC80" s="426"/>
      <c r="AD80" s="426"/>
      <c r="AE80" s="426"/>
      <c r="AF80" s="426"/>
    </row>
    <row r="81" spans="1:78" ht="12.95" customHeight="1">
      <c r="D81" s="405" t="s">
        <v>754</v>
      </c>
      <c r="AB81" s="2680">
        <f>AB49-(AB57+AB79)</f>
        <v>0</v>
      </c>
      <c r="AC81" s="2680"/>
      <c r="AD81" s="2680"/>
      <c r="AE81" s="2680"/>
      <c r="AF81" s="2680"/>
    </row>
    <row r="82" spans="1:78" ht="12.95" customHeight="1">
      <c r="F82" s="523"/>
      <c r="J82" s="523" t="str">
        <f>IF(AB81&gt;0,"FUNDING GAP MUST NOT EXCEED ZERO","")</f>
        <v/>
      </c>
    </row>
    <row r="83" spans="1:78" ht="12.95" customHeight="1">
      <c r="D83" s="524"/>
    </row>
    <row r="84" spans="1:78" ht="12.95" customHeight="1" thickBot="1">
      <c r="A84" s="2645"/>
      <c r="B84" s="2645"/>
      <c r="C84" s="2645"/>
      <c r="D84" s="2645"/>
      <c r="E84" s="2645"/>
      <c r="F84" s="2645"/>
      <c r="G84" s="2645"/>
      <c r="H84" s="2645"/>
      <c r="I84" s="2645"/>
      <c r="J84" s="2645"/>
      <c r="K84" s="2645"/>
      <c r="L84" s="2645"/>
      <c r="M84" s="2645"/>
      <c r="N84" s="2645"/>
      <c r="O84" s="2645"/>
      <c r="P84" s="2645"/>
      <c r="Q84" s="2645"/>
      <c r="R84" s="2645"/>
      <c r="S84" s="2645"/>
      <c r="T84" s="2645"/>
      <c r="U84" s="2645"/>
      <c r="V84" s="2645"/>
      <c r="W84" s="2645"/>
      <c r="X84" s="2645"/>
      <c r="Y84" s="2645"/>
      <c r="Z84" s="2645"/>
      <c r="AA84" s="2645"/>
      <c r="AB84" s="2645"/>
      <c r="AC84" s="2645"/>
      <c r="AD84" s="2645"/>
      <c r="AE84" s="2645"/>
      <c r="AF84" s="2645"/>
      <c r="AG84" s="2645"/>
      <c r="AH84" s="2645"/>
      <c r="AI84" s="2645"/>
      <c r="AJ84" s="2645"/>
      <c r="AK84" s="2645"/>
      <c r="AL84" s="2645"/>
      <c r="AM84" s="2645"/>
      <c r="AN84" s="2645"/>
      <c r="AO84" s="2645"/>
      <c r="AP84" s="2645"/>
      <c r="AQ84" s="2645"/>
      <c r="AR84" s="2645"/>
      <c r="AS84" s="2645"/>
      <c r="AT84" s="2645"/>
      <c r="AU84" s="2645"/>
      <c r="AV84" s="2645"/>
      <c r="AW84" s="2645"/>
      <c r="AX84" s="2645"/>
      <c r="AY84" s="2645"/>
      <c r="AZ84" s="2645"/>
      <c r="BA84" s="2645"/>
      <c r="BB84" s="2645"/>
      <c r="BC84" s="2645"/>
      <c r="BD84" s="2645"/>
      <c r="BE84" s="2645"/>
      <c r="BF84" s="2645"/>
      <c r="BG84" s="2645"/>
      <c r="BH84" s="2645"/>
      <c r="BI84" s="2645"/>
      <c r="BJ84" s="2645"/>
      <c r="BK84" s="2645"/>
      <c r="BL84" s="2645"/>
      <c r="BM84" s="2645"/>
      <c r="BN84" s="2645"/>
      <c r="BO84" s="2645"/>
      <c r="BP84" s="2645"/>
      <c r="BQ84" s="2645"/>
      <c r="BR84" s="2645"/>
      <c r="BS84" s="2645"/>
      <c r="BT84" s="2645"/>
      <c r="BU84" s="2645"/>
      <c r="BV84" s="2645"/>
      <c r="BW84" s="2645"/>
      <c r="BX84" s="2645"/>
    </row>
    <row r="85" spans="1:78" ht="12.95" customHeight="1" thickTop="1"/>
    <row r="86" spans="1:78" ht="12.95" customHeight="1">
      <c r="A86" s="405"/>
      <c r="C86" s="206"/>
    </row>
    <row r="87" spans="1:78" ht="12.95" customHeight="1">
      <c r="D87" s="206"/>
      <c r="AB87" s="2646"/>
      <c r="AC87" s="2646"/>
      <c r="AD87" s="2646"/>
      <c r="AE87" s="2646"/>
      <c r="AF87" s="2646"/>
    </row>
    <row r="88" spans="1:78" ht="12.95" customHeight="1" thickBot="1">
      <c r="D88" s="206"/>
      <c r="AB88" s="2644"/>
      <c r="AC88" s="2644"/>
      <c r="AD88" s="2644"/>
      <c r="AE88" s="2644"/>
      <c r="AF88" s="264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8" t="s">
        <v>909</v>
      </c>
      <c r="B1" s="2698"/>
      <c r="C1" s="2698"/>
      <c r="D1" s="2698"/>
      <c r="E1" s="2698"/>
      <c r="F1" s="2698"/>
      <c r="G1" s="2698"/>
      <c r="H1" s="2698"/>
      <c r="I1" s="2698"/>
      <c r="J1" s="2698"/>
      <c r="K1" s="205"/>
      <c r="L1" s="205"/>
    </row>
    <row r="2" spans="1:12">
      <c r="A2" s="211"/>
      <c r="B2" s="211"/>
      <c r="C2" s="211"/>
      <c r="D2" s="211"/>
      <c r="E2" s="211"/>
      <c r="F2" s="211"/>
      <c r="G2" s="211"/>
      <c r="H2" s="211"/>
      <c r="I2" s="211"/>
      <c r="J2" s="211"/>
    </row>
    <row r="3" spans="1:12" ht="100.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20</v>
      </c>
      <c r="C4" s="1164" t="s">
        <v>384</v>
      </c>
      <c r="D4" s="429">
        <f>Application!O718</f>
        <v>300</v>
      </c>
      <c r="E4" s="430"/>
      <c r="F4" s="1085">
        <f>940536/12/(B5+B4+B6)+D4</f>
        <v>1116.4375</v>
      </c>
      <c r="G4" s="429">
        <f>F4*B4</f>
        <v>22328.75</v>
      </c>
      <c r="H4" s="430"/>
      <c r="I4" s="429">
        <f t="shared" ref="I4:I27" si="0">IF(F4=0,"",(F4-D4))</f>
        <v>816.4375</v>
      </c>
      <c r="J4" s="429">
        <f t="shared" ref="J4:J27" si="1">IF(F4=0,"",(I4*B4))</f>
        <v>16328.75</v>
      </c>
      <c r="K4" s="205"/>
      <c r="L4" s="306"/>
    </row>
    <row r="5" spans="1:12">
      <c r="A5" s="429" t="str">
        <f>Application!B719</f>
        <v>SRO/Studio</v>
      </c>
      <c r="B5" s="1084">
        <f>Application!G719</f>
        <v>19</v>
      </c>
      <c r="C5" s="1164" t="s">
        <v>384</v>
      </c>
      <c r="D5" s="429">
        <f>Application!O719</f>
        <v>300</v>
      </c>
      <c r="E5" s="430"/>
      <c r="F5" s="1085">
        <f>940536/12/(B5+B4+B6)+D5</f>
        <v>1116.4375</v>
      </c>
      <c r="G5" s="429">
        <f t="shared" ref="G5:G38" si="2">F5*B5</f>
        <v>21212.3125</v>
      </c>
      <c r="H5" s="430"/>
      <c r="I5" s="429">
        <f t="shared" si="0"/>
        <v>816.4375</v>
      </c>
      <c r="J5" s="429">
        <f t="shared" si="1"/>
        <v>15512.3125</v>
      </c>
      <c r="K5" s="205"/>
      <c r="L5" s="306"/>
    </row>
    <row r="6" spans="1:12">
      <c r="A6" s="429" t="str">
        <f>Application!B720</f>
        <v>SRO/Studio</v>
      </c>
      <c r="B6" s="1084">
        <f>Application!G720</f>
        <v>57</v>
      </c>
      <c r="C6" s="1164" t="s">
        <v>384</v>
      </c>
      <c r="D6" s="429">
        <f>Application!O720</f>
        <v>300</v>
      </c>
      <c r="E6" s="430"/>
      <c r="F6" s="1085">
        <f>940536/12/(B4+B5+B6)+D6</f>
        <v>1116.4375</v>
      </c>
      <c r="G6" s="429">
        <f t="shared" si="2"/>
        <v>63636.9375</v>
      </c>
      <c r="H6" s="430"/>
      <c r="I6" s="429">
        <f t="shared" si="0"/>
        <v>816.4375</v>
      </c>
      <c r="J6" s="429">
        <f t="shared" si="1"/>
        <v>46536.9375</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28800</v>
      </c>
      <c r="E40" s="430"/>
      <c r="F40" s="430"/>
      <c r="G40" s="433">
        <f>SUM(G4:G38)*12</f>
        <v>1286136</v>
      </c>
      <c r="H40" s="434"/>
      <c r="I40" s="432"/>
      <c r="J40" s="433">
        <f>SUM(J4:J38)*12</f>
        <v>940536</v>
      </c>
      <c r="K40" s="205"/>
      <c r="L40" s="307"/>
    </row>
    <row r="41" spans="1:12" ht="15">
      <c r="A41" s="431"/>
      <c r="B41" s="432"/>
      <c r="C41" s="432"/>
      <c r="D41" s="434"/>
      <c r="E41" s="430"/>
      <c r="F41" s="430"/>
      <c r="G41" s="434"/>
      <c r="H41" s="434"/>
      <c r="I41" s="432"/>
      <c r="J41" s="434"/>
      <c r="K41" s="205"/>
      <c r="L41" s="307"/>
    </row>
    <row r="42" spans="1:12">
      <c r="A42" s="305" t="s">
        <v>2260</v>
      </c>
    </row>
    <row r="43" spans="1:12">
      <c r="A43" s="2699" t="s">
        <v>2499</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2261</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heetViews>
  <sheetFormatPr defaultColWidth="0" defaultRowHeight="12.75" zeroHeight="1"/>
  <cols>
    <col min="1" max="1" width="3.7109375" customWidth="1"/>
    <col min="2" max="2" width="30.42578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2095</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345600</v>
      </c>
      <c r="G4" s="220">
        <f>E4*$C$4</f>
        <v>354239.99999999994</v>
      </c>
      <c r="I4" s="220">
        <f>G4*$C$4</f>
        <v>363095.99999999988</v>
      </c>
      <c r="K4" s="220">
        <f>I4*$C$4</f>
        <v>372173.39999999985</v>
      </c>
      <c r="M4" s="220">
        <f>K4*$C$4</f>
        <v>381477.73499999981</v>
      </c>
      <c r="O4" s="220">
        <f>M4*$C$4</f>
        <v>391014.67837499978</v>
      </c>
      <c r="Q4" s="220">
        <f>O4*$C$4</f>
        <v>400790.04533437476</v>
      </c>
      <c r="S4" s="220">
        <f>Q4*$C$4</f>
        <v>410809.79646773409</v>
      </c>
      <c r="U4" s="220">
        <f>S4*$C$4</f>
        <v>421080.04137942742</v>
      </c>
      <c r="W4" s="220">
        <f>U4*$C$4</f>
        <v>431607.04241391306</v>
      </c>
      <c r="Y4" s="220">
        <f>W4*$C$4</f>
        <v>442397.21847426082</v>
      </c>
      <c r="AA4" s="220">
        <f>Y4*$C$4</f>
        <v>453457.1489361173</v>
      </c>
      <c r="AC4" s="220">
        <f>AA4*$C$4</f>
        <v>464793.5776595202</v>
      </c>
      <c r="AE4" s="220">
        <f>AC4*$C$4</f>
        <v>476413.41710100818</v>
      </c>
      <c r="AG4" s="220">
        <f>AE4*$C$4</f>
        <v>488323.75252853334</v>
      </c>
    </row>
    <row r="5" spans="1:34" s="211" customFormat="1" ht="14.25">
      <c r="B5" s="211" t="s">
        <v>838</v>
      </c>
      <c r="C5" s="239">
        <f>IF(Application!$D$211="Special Needs",(((0.1*Application!$T$212)+(0.05*(1-Application!$T$212)))),0.05)</f>
        <v>0.05</v>
      </c>
      <c r="E5" s="222">
        <f>-E4*$C$5</f>
        <v>-17280</v>
      </c>
      <c r="F5" s="222"/>
      <c r="G5" s="222">
        <f>-G4*$C$5</f>
        <v>-17711.999999999996</v>
      </c>
      <c r="H5" s="222"/>
      <c r="I5" s="222">
        <f>-I4*$C$5</f>
        <v>-18154.799999999996</v>
      </c>
      <c r="J5" s="222"/>
      <c r="K5" s="222">
        <f>-K4*$C$5</f>
        <v>-18608.669999999995</v>
      </c>
      <c r="L5" s="222"/>
      <c r="M5" s="222">
        <f>-M4*$C$5</f>
        <v>-19073.886749999991</v>
      </c>
      <c r="N5" s="222"/>
      <c r="O5" s="222">
        <f>-O4*$C$5</f>
        <v>-19550.733918749989</v>
      </c>
      <c r="P5" s="222"/>
      <c r="Q5" s="222">
        <f>-Q4*$C$5</f>
        <v>-20039.50226671874</v>
      </c>
      <c r="R5" s="222"/>
      <c r="S5" s="222">
        <f>-S4*$C$5</f>
        <v>-20540.489823386706</v>
      </c>
      <c r="T5" s="222"/>
      <c r="U5" s="222">
        <f>-U4*$C$5</f>
        <v>-21054.002068971371</v>
      </c>
      <c r="V5" s="222"/>
      <c r="W5" s="222">
        <f>-W4*$C$5</f>
        <v>-21580.352120695654</v>
      </c>
      <c r="X5" s="222"/>
      <c r="Y5" s="222">
        <f>-Y4*$C$5</f>
        <v>-22119.860923713044</v>
      </c>
      <c r="Z5" s="222"/>
      <c r="AA5" s="222">
        <f>-AA4*$C$5</f>
        <v>-22672.857446805865</v>
      </c>
      <c r="AB5" s="222"/>
      <c r="AC5" s="222">
        <f>-AC4*$C$5</f>
        <v>-23239.678882976012</v>
      </c>
      <c r="AD5" s="222"/>
      <c r="AE5" s="222">
        <f>-AE4*$C$5</f>
        <v>-23820.670855050412</v>
      </c>
      <c r="AF5" s="222"/>
      <c r="AG5" s="222">
        <f>-AG4*$C$5</f>
        <v>-24416.187626426668</v>
      </c>
    </row>
    <row r="6" spans="1:34" s="211" customFormat="1" ht="14.25">
      <c r="A6" s="211" t="s">
        <v>836</v>
      </c>
      <c r="C6" s="238">
        <v>1.0249999999999999</v>
      </c>
      <c r="E6" s="223">
        <f>Application!Z809</f>
        <v>940536</v>
      </c>
      <c r="F6" s="223"/>
      <c r="G6" s="223">
        <f ca="1">G35-(G4+G5+G7+G8+G9)+1</f>
        <v>974780.43684210535</v>
      </c>
      <c r="H6" s="223"/>
      <c r="I6" s="223">
        <f ca="1">I35-(I4+I5+I7+I8+I9)+1</f>
        <v>1010303.9562368419</v>
      </c>
      <c r="J6" s="223"/>
      <c r="K6" s="223">
        <f ca="1">K35-(K4+K5+K7+K8+K9)+1</f>
        <v>1047153.3773488158</v>
      </c>
      <c r="L6" s="223"/>
      <c r="M6" s="223">
        <f ca="1">M35-(M4+M5+M7+M8+M9)+1</f>
        <v>1085377.210057148</v>
      </c>
      <c r="N6" s="223"/>
      <c r="O6" s="223">
        <f ca="1">O35-(O4+O5+O7+O8+O9)+1</f>
        <v>1125025.7154468158</v>
      </c>
      <c r="P6" s="223"/>
      <c r="Q6" s="223">
        <f ca="1">Q35-(Q4+Q5+Q7+Q8+Q9)+1</f>
        <v>1166150.9684504031</v>
      </c>
      <c r="R6" s="223"/>
      <c r="S6" s="223">
        <f ca="1">S35-(S4+S5+S7+S8+S9)+1</f>
        <v>1208806.9227163577</v>
      </c>
      <c r="T6" s="223"/>
      <c r="U6" s="223">
        <f ca="1">U35-(U4+U5+U7+U8+U9)+1</f>
        <v>1253049.4777825484</v>
      </c>
      <c r="V6" s="223"/>
      <c r="W6" s="223">
        <f ca="1">W35-(W4+W5+W7+W8+W9)+1</f>
        <v>1298936.5486366823</v>
      </c>
      <c r="X6" s="223"/>
      <c r="Y6" s="223">
        <f ca="1">Y35-(Y4+Y5+Y7+Y8+Y9)+1</f>
        <v>1346528.1377480226</v>
      </c>
      <c r="Z6" s="223"/>
      <c r="AA6" s="223">
        <f ca="1">AA35-(AA4+AA5+AA7+AA8+AA9)+1</f>
        <v>1395886.4096578262</v>
      </c>
      <c r="AB6" s="223"/>
      <c r="AC6" s="223">
        <f ca="1">AC35-(AC4+AC5+AC7+AC8+AC9)+1</f>
        <v>1447075.7682190076</v>
      </c>
      <c r="AD6" s="223"/>
      <c r="AE6" s="223">
        <f ca="1">AE35-(AE4+AE5+AE7+AE8+AE9)+1</f>
        <v>1500162.9365787175</v>
      </c>
      <c r="AF6" s="223"/>
      <c r="AG6" s="223">
        <f ca="1">AG35-(AG4+AG5+AG7+AG8+AG9)+1</f>
        <v>1555217.040000834</v>
      </c>
    </row>
    <row r="7" spans="1:34" s="211" customFormat="1" ht="14.25">
      <c r="B7" s="211" t="s">
        <v>838</v>
      </c>
      <c r="C7" s="239">
        <f>IF(Application!$D$211="Special Needs",(((0.1*Application!$T$212)+(0.05*(1-Application!$T$212)))),0.05)</f>
        <v>0.05</v>
      </c>
      <c r="E7" s="222">
        <f>-E6*$C$7</f>
        <v>-47026.8</v>
      </c>
      <c r="F7" s="222"/>
      <c r="G7" s="222">
        <f ca="1">-G6*$C$7</f>
        <v>-48739.02184210527</v>
      </c>
      <c r="H7" s="222"/>
      <c r="I7" s="222">
        <f ca="1">-I6*$C$7</f>
        <v>-50515.197811842096</v>
      </c>
      <c r="J7" s="222"/>
      <c r="K7" s="222">
        <f ca="1">-K6*$C$7</f>
        <v>-52357.668867440792</v>
      </c>
      <c r="L7" s="222"/>
      <c r="M7" s="222">
        <f ca="1">-M6*$C$7</f>
        <v>-54268.860502857402</v>
      </c>
      <c r="N7" s="222"/>
      <c r="O7" s="222">
        <f ca="1">-O6*$C$7</f>
        <v>-56251.285772340794</v>
      </c>
      <c r="P7" s="222"/>
      <c r="Q7" s="222">
        <f ca="1">-Q6*$C$7</f>
        <v>-58307.548422520158</v>
      </c>
      <c r="R7" s="222"/>
      <c r="S7" s="222">
        <f ca="1">-S6*$C$7</f>
        <v>-60440.34613581789</v>
      </c>
      <c r="T7" s="222"/>
      <c r="U7" s="222">
        <f ca="1">-U6*$C$7</f>
        <v>-62652.473889127425</v>
      </c>
      <c r="V7" s="222"/>
      <c r="W7" s="222">
        <f ca="1">-W6*$C$7</f>
        <v>-64946.827431834121</v>
      </c>
      <c r="X7" s="222"/>
      <c r="Y7" s="222">
        <f ca="1">-Y6*$C$7</f>
        <v>-67326.406887401128</v>
      </c>
      <c r="Z7" s="222"/>
      <c r="AA7" s="222">
        <f ca="1">-AA6*$C$7</f>
        <v>-69794.320482891315</v>
      </c>
      <c r="AB7" s="222"/>
      <c r="AC7" s="222">
        <f ca="1">-AC6*$C$7</f>
        <v>-72353.788410950379</v>
      </c>
      <c r="AD7" s="222"/>
      <c r="AE7" s="222">
        <f ca="1">-AE6*$C$7</f>
        <v>-75008.146828935875</v>
      </c>
      <c r="AF7" s="222"/>
      <c r="AG7" s="222">
        <f ca="1">-AG6*$C$7</f>
        <v>-77760.852000041705</v>
      </c>
    </row>
    <row r="8" spans="1:34" s="211" customFormat="1" ht="14.25">
      <c r="A8" s="211" t="s">
        <v>287</v>
      </c>
      <c r="C8" s="238">
        <v>1.0249999999999999</v>
      </c>
      <c r="E8" s="223">
        <f>Application!Z817</f>
        <v>6984</v>
      </c>
      <c r="F8" s="223"/>
      <c r="G8" s="223">
        <f>E8*$C$8</f>
        <v>7158.5999999999995</v>
      </c>
      <c r="H8" s="223"/>
      <c r="I8" s="223">
        <f>G8*$C$8</f>
        <v>7337.5649999999987</v>
      </c>
      <c r="J8" s="223"/>
      <c r="K8" s="223">
        <f>I8*$C$8</f>
        <v>7521.0041249999977</v>
      </c>
      <c r="L8" s="223"/>
      <c r="M8" s="223">
        <f>K8*$C$8</f>
        <v>7709.0292281249967</v>
      </c>
      <c r="N8" s="223"/>
      <c r="O8" s="223">
        <f>M8*$C$8</f>
        <v>7901.7549588281208</v>
      </c>
      <c r="P8" s="223"/>
      <c r="Q8" s="223">
        <f>O8*$C$8</f>
        <v>8099.2988327988232</v>
      </c>
      <c r="R8" s="223"/>
      <c r="S8" s="223">
        <f>Q8*$C$8</f>
        <v>8301.7813036187927</v>
      </c>
      <c r="T8" s="223"/>
      <c r="U8" s="223">
        <f>S8*$C$8</f>
        <v>8509.325836209262</v>
      </c>
      <c r="V8" s="223"/>
      <c r="W8" s="223">
        <f>U8*$C$8</f>
        <v>8722.0589821144931</v>
      </c>
      <c r="X8" s="223"/>
      <c r="Y8" s="223">
        <f>W8*$C$8</f>
        <v>8940.1104566673548</v>
      </c>
      <c r="Z8" s="223"/>
      <c r="AA8" s="223">
        <f>Y8*$C$8</f>
        <v>9163.6132180840377</v>
      </c>
      <c r="AB8" s="223"/>
      <c r="AC8" s="223">
        <f>AA8*$C$8</f>
        <v>9392.7035485361375</v>
      </c>
      <c r="AD8" s="223"/>
      <c r="AE8" s="223">
        <f>AC8*$C$8</f>
        <v>9627.5211372495396</v>
      </c>
      <c r="AF8" s="223"/>
      <c r="AG8" s="223">
        <f>AE8*$C$8</f>
        <v>9868.209165680777</v>
      </c>
    </row>
    <row r="9" spans="1:34" s="211" customFormat="1" ht="14.25">
      <c r="B9" s="211" t="s">
        <v>838</v>
      </c>
      <c r="C9" s="239">
        <f>IF(Application!$D$211="Special Needs",(((0.1*Application!$T$212)+(0.05*(1-Application!$T$212)))),0.05)</f>
        <v>0.05</v>
      </c>
      <c r="E9" s="222">
        <f>-E8*$C$9</f>
        <v>-349.20000000000005</v>
      </c>
      <c r="F9" s="222"/>
      <c r="G9" s="222">
        <f>-G8*$C$9</f>
        <v>-357.93</v>
      </c>
      <c r="H9" s="222"/>
      <c r="I9" s="222">
        <f>-I8*$C$9</f>
        <v>-366.87824999999998</v>
      </c>
      <c r="J9" s="222"/>
      <c r="K9" s="222">
        <f>-K8*$C$9</f>
        <v>-376.05020624999992</v>
      </c>
      <c r="L9" s="222"/>
      <c r="M9" s="222">
        <f>-M8*$C$9</f>
        <v>-385.45146140624985</v>
      </c>
      <c r="N9" s="222"/>
      <c r="O9" s="222">
        <f>-O8*$C$9</f>
        <v>-395.08774794140606</v>
      </c>
      <c r="P9" s="222"/>
      <c r="Q9" s="222">
        <f>-Q8*$C$9</f>
        <v>-404.96494163994117</v>
      </c>
      <c r="R9" s="222"/>
      <c r="S9" s="222">
        <f>-S8*$C$9</f>
        <v>-415.08906518093966</v>
      </c>
      <c r="T9" s="222"/>
      <c r="U9" s="222">
        <f>-U8*$C$9</f>
        <v>-425.46629181046313</v>
      </c>
      <c r="V9" s="222"/>
      <c r="W9" s="222">
        <f>-W8*$C$9</f>
        <v>-436.10294910572469</v>
      </c>
      <c r="X9" s="222"/>
      <c r="Y9" s="222">
        <f>-Y8*$C$9</f>
        <v>-447.00552283336776</v>
      </c>
      <c r="Z9" s="222"/>
      <c r="AA9" s="222">
        <f>-AA8*$C$9</f>
        <v>-458.18066090420189</v>
      </c>
      <c r="AB9" s="222"/>
      <c r="AC9" s="222">
        <f>-AC8*$C$9</f>
        <v>-469.63517742680688</v>
      </c>
      <c r="AD9" s="222"/>
      <c r="AE9" s="222">
        <f>-AE8*$C$9</f>
        <v>-481.37605686247701</v>
      </c>
      <c r="AF9" s="222"/>
      <c r="AG9" s="222">
        <f>-AG8*$C$9</f>
        <v>-493.4104582840389</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1228464</v>
      </c>
      <c r="G11" s="224">
        <f ca="1">SUM(G4:G10)</f>
        <v>1269370.0850000002</v>
      </c>
      <c r="I11" s="224">
        <f ca="1">SUM(I4:I10)</f>
        <v>1311700.6451749995</v>
      </c>
      <c r="K11" s="224">
        <f ca="1">SUM(K4:K10)</f>
        <v>1355505.3924001246</v>
      </c>
      <c r="M11" s="224">
        <f ca="1">SUM(M4:M10)</f>
        <v>1400835.7755710091</v>
      </c>
      <c r="O11" s="224">
        <f ca="1">SUM(O4:O10)</f>
        <v>1447745.0413416116</v>
      </c>
      <c r="Q11" s="224">
        <f ca="1">SUM(Q4:Q10)</f>
        <v>1496288.2969866979</v>
      </c>
      <c r="S11" s="224">
        <f ca="1">SUM(S4:S10)</f>
        <v>1546522.5754633253</v>
      </c>
      <c r="U11" s="224">
        <f ca="1">SUM(U4:U10)</f>
        <v>1598506.902748276</v>
      </c>
      <c r="W11" s="224">
        <f ca="1">SUM(W4:W10)</f>
        <v>1652302.3675310747</v>
      </c>
      <c r="Y11" s="224">
        <f ca="1">SUM(Y4:Y10)</f>
        <v>1707972.1933450033</v>
      </c>
      <c r="AA11" s="224">
        <f ca="1">SUM(AA4:AA10)</f>
        <v>1765581.8132214262</v>
      </c>
      <c r="AC11" s="224">
        <f ca="1">SUM(AC4:AC10)</f>
        <v>1825198.9469557109</v>
      </c>
      <c r="AE11" s="224">
        <f ca="1">SUM(AE4:AE10)</f>
        <v>1886893.6810761266</v>
      </c>
      <c r="AG11" s="224">
        <f ca="1">SUM(AG4:AG10)</f>
        <v>1950738.5516102959</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159149</v>
      </c>
      <c r="G15" s="220">
        <f>E15*$C$14</f>
        <v>164719.215</v>
      </c>
      <c r="I15" s="220">
        <f>G15*$C$14</f>
        <v>170484.38752499997</v>
      </c>
      <c r="K15" s="220">
        <f>I15*$C$14</f>
        <v>176451.34108837496</v>
      </c>
      <c r="M15" s="220">
        <f>K15*$C$14</f>
        <v>182627.13802646808</v>
      </c>
      <c r="O15" s="220">
        <f>M15*$C$14</f>
        <v>189019.08785739445</v>
      </c>
      <c r="Q15" s="220">
        <f>O15*$C$14</f>
        <v>195634.75593240323</v>
      </c>
      <c r="S15" s="220">
        <f>Q15*$C$14</f>
        <v>202481.97239003732</v>
      </c>
      <c r="U15" s="220">
        <f>S15*$C$14</f>
        <v>209568.8414236886</v>
      </c>
      <c r="W15" s="220">
        <f>U15*$C$14</f>
        <v>216903.75087351768</v>
      </c>
      <c r="Y15" s="220">
        <f>W15*$C$14</f>
        <v>224495.3821540908</v>
      </c>
      <c r="AA15" s="220">
        <f>Y15*$C$14</f>
        <v>232352.72052948395</v>
      </c>
      <c r="AC15" s="220">
        <f>AA15*$C$14</f>
        <v>240485.06574801588</v>
      </c>
      <c r="AE15" s="220">
        <f>AC15*$C$14</f>
        <v>248902.04304919642</v>
      </c>
      <c r="AG15" s="220">
        <f>AE15*$C$14</f>
        <v>257613.61455591826</v>
      </c>
    </row>
    <row r="16" spans="1:34" s="211" customFormat="1" ht="14.25">
      <c r="A16" s="211" t="s">
        <v>343</v>
      </c>
      <c r="C16" s="234"/>
      <c r="E16" s="223">
        <f>Application!W849</f>
        <v>77988</v>
      </c>
      <c r="F16" s="223"/>
      <c r="G16" s="223">
        <f t="shared" ref="G16:AG21" si="0">E16*$C$14</f>
        <v>80717.579999999987</v>
      </c>
      <c r="H16" s="223"/>
      <c r="I16" s="223">
        <f t="shared" si="0"/>
        <v>83542.695299999978</v>
      </c>
      <c r="J16" s="223"/>
      <c r="K16" s="223">
        <f t="shared" si="0"/>
        <v>86466.689635499977</v>
      </c>
      <c r="L16" s="223"/>
      <c r="M16" s="223">
        <f t="shared" si="0"/>
        <v>89493.023772742468</v>
      </c>
      <c r="N16" s="223"/>
      <c r="O16" s="223">
        <f t="shared" si="0"/>
        <v>92625.279604788448</v>
      </c>
      <c r="P16" s="223"/>
      <c r="Q16" s="223">
        <f t="shared" si="0"/>
        <v>95867.164390956037</v>
      </c>
      <c r="R16" s="223"/>
      <c r="S16" s="223">
        <f t="shared" si="0"/>
        <v>99222.515144639488</v>
      </c>
      <c r="T16" s="223"/>
      <c r="U16" s="223">
        <f t="shared" si="0"/>
        <v>102695.30317470187</v>
      </c>
      <c r="V16" s="223"/>
      <c r="W16" s="223">
        <f t="shared" si="0"/>
        <v>106289.63878581642</v>
      </c>
      <c r="X16" s="223"/>
      <c r="Y16" s="223">
        <f t="shared" si="0"/>
        <v>110009.77614331999</v>
      </c>
      <c r="Z16" s="223"/>
      <c r="AA16" s="223">
        <f t="shared" si="0"/>
        <v>113860.11830833618</v>
      </c>
      <c r="AB16" s="223"/>
      <c r="AC16" s="223">
        <f t="shared" si="0"/>
        <v>117845.22244912793</v>
      </c>
      <c r="AD16" s="223"/>
      <c r="AE16" s="223">
        <f t="shared" si="0"/>
        <v>121969.8052348474</v>
      </c>
      <c r="AF16" s="223"/>
      <c r="AG16" s="223">
        <f t="shared" si="0"/>
        <v>126238.74841806704</v>
      </c>
    </row>
    <row r="17" spans="1:33" s="211" customFormat="1" ht="14.25">
      <c r="A17" s="211" t="s">
        <v>561</v>
      </c>
      <c r="C17" s="234"/>
      <c r="E17" s="223">
        <f>Application!W855</f>
        <v>249573</v>
      </c>
      <c r="F17" s="223"/>
      <c r="G17" s="223">
        <f t="shared" si="0"/>
        <v>258308.05499999999</v>
      </c>
      <c r="H17" s="223"/>
      <c r="I17" s="223">
        <f t="shared" si="0"/>
        <v>267348.83692499995</v>
      </c>
      <c r="J17" s="223"/>
      <c r="K17" s="223">
        <f t="shared" si="0"/>
        <v>276706.04621737491</v>
      </c>
      <c r="L17" s="223"/>
      <c r="M17" s="223">
        <f t="shared" si="0"/>
        <v>286390.757834983</v>
      </c>
      <c r="N17" s="223"/>
      <c r="O17" s="223">
        <f t="shared" si="0"/>
        <v>296414.4343592074</v>
      </c>
      <c r="P17" s="223"/>
      <c r="Q17" s="223">
        <f t="shared" si="0"/>
        <v>306788.93956177961</v>
      </c>
      <c r="R17" s="223"/>
      <c r="S17" s="223">
        <f t="shared" si="0"/>
        <v>317526.5524464419</v>
      </c>
      <c r="T17" s="223"/>
      <c r="U17" s="223">
        <f t="shared" si="0"/>
        <v>328639.98178206733</v>
      </c>
      <c r="V17" s="223"/>
      <c r="W17" s="223">
        <f t="shared" si="0"/>
        <v>340142.38114443969</v>
      </c>
      <c r="X17" s="223"/>
      <c r="Y17" s="223">
        <f t="shared" si="0"/>
        <v>352047.36448449508</v>
      </c>
      <c r="Z17" s="223"/>
      <c r="AA17" s="223">
        <f t="shared" si="0"/>
        <v>364369.02224145236</v>
      </c>
      <c r="AB17" s="223"/>
      <c r="AC17" s="223">
        <f t="shared" si="0"/>
        <v>377121.93801990314</v>
      </c>
      <c r="AD17" s="223"/>
      <c r="AE17" s="223">
        <f t="shared" si="0"/>
        <v>390321.20585059974</v>
      </c>
      <c r="AF17" s="223"/>
      <c r="AG17" s="223">
        <f t="shared" si="0"/>
        <v>403982.44805537071</v>
      </c>
    </row>
    <row r="18" spans="1:33" s="211" customFormat="1" ht="14.25">
      <c r="A18" s="211" t="s">
        <v>842</v>
      </c>
      <c r="C18" s="234"/>
      <c r="E18" s="223">
        <f>Application!W862</f>
        <v>278100</v>
      </c>
      <c r="F18" s="223"/>
      <c r="G18" s="223">
        <f t="shared" si="0"/>
        <v>287833.5</v>
      </c>
      <c r="H18" s="223"/>
      <c r="I18" s="223">
        <f t="shared" si="0"/>
        <v>297907.67249999999</v>
      </c>
      <c r="J18" s="223"/>
      <c r="K18" s="223">
        <f t="shared" si="0"/>
        <v>308334.44103749999</v>
      </c>
      <c r="L18" s="223"/>
      <c r="M18" s="223">
        <f t="shared" si="0"/>
        <v>319126.14647381246</v>
      </c>
      <c r="N18" s="223"/>
      <c r="O18" s="223">
        <f t="shared" si="0"/>
        <v>330295.56160039589</v>
      </c>
      <c r="P18" s="223"/>
      <c r="Q18" s="223">
        <f t="shared" si="0"/>
        <v>341855.90625640971</v>
      </c>
      <c r="R18" s="223"/>
      <c r="S18" s="223">
        <f t="shared" si="0"/>
        <v>353820.86297538405</v>
      </c>
      <c r="T18" s="223"/>
      <c r="U18" s="223">
        <f t="shared" si="0"/>
        <v>366204.59317952249</v>
      </c>
      <c r="V18" s="223"/>
      <c r="W18" s="223">
        <f t="shared" si="0"/>
        <v>379021.75394080573</v>
      </c>
      <c r="X18" s="223"/>
      <c r="Y18" s="223">
        <f t="shared" si="0"/>
        <v>392287.51532873389</v>
      </c>
      <c r="Z18" s="223"/>
      <c r="AA18" s="223">
        <f t="shared" si="0"/>
        <v>406017.57836523955</v>
      </c>
      <c r="AB18" s="223"/>
      <c r="AC18" s="223">
        <f t="shared" si="0"/>
        <v>420228.19360802288</v>
      </c>
      <c r="AD18" s="223"/>
      <c r="AE18" s="223">
        <f t="shared" si="0"/>
        <v>434936.18038430362</v>
      </c>
      <c r="AF18" s="223"/>
      <c r="AG18" s="223">
        <f t="shared" si="0"/>
        <v>450158.9466977542</v>
      </c>
    </row>
    <row r="19" spans="1:33" s="211" customFormat="1" ht="14.25">
      <c r="A19" s="211" t="s">
        <v>155</v>
      </c>
      <c r="C19" s="234"/>
      <c r="E19" s="223">
        <f>Application!W863</f>
        <v>167857</v>
      </c>
      <c r="F19" s="223"/>
      <c r="G19" s="223">
        <f t="shared" si="0"/>
        <v>173731.995</v>
      </c>
      <c r="H19" s="223"/>
      <c r="I19" s="223">
        <f t="shared" si="0"/>
        <v>179812.61482499997</v>
      </c>
      <c r="J19" s="223"/>
      <c r="K19" s="223">
        <f t="shared" si="0"/>
        <v>186106.05634387495</v>
      </c>
      <c r="L19" s="223"/>
      <c r="M19" s="223">
        <f t="shared" si="0"/>
        <v>192619.76831591057</v>
      </c>
      <c r="N19" s="223"/>
      <c r="O19" s="223">
        <f t="shared" si="0"/>
        <v>199361.46020696743</v>
      </c>
      <c r="P19" s="223"/>
      <c r="Q19" s="223">
        <f t="shared" si="0"/>
        <v>206339.11131421127</v>
      </c>
      <c r="R19" s="223"/>
      <c r="S19" s="223">
        <f t="shared" si="0"/>
        <v>213560.98021020865</v>
      </c>
      <c r="T19" s="223"/>
      <c r="U19" s="223">
        <f t="shared" si="0"/>
        <v>221035.61451756593</v>
      </c>
      <c r="V19" s="223"/>
      <c r="W19" s="223">
        <f t="shared" si="0"/>
        <v>228771.86102568073</v>
      </c>
      <c r="X19" s="223"/>
      <c r="Y19" s="223">
        <f t="shared" si="0"/>
        <v>236778.87616157954</v>
      </c>
      <c r="Z19" s="223"/>
      <c r="AA19" s="223">
        <f t="shared" si="0"/>
        <v>245066.13682723479</v>
      </c>
      <c r="AB19" s="223"/>
      <c r="AC19" s="223">
        <f t="shared" si="0"/>
        <v>253643.45161618799</v>
      </c>
      <c r="AD19" s="223"/>
      <c r="AE19" s="223">
        <f t="shared" si="0"/>
        <v>262520.97242275457</v>
      </c>
      <c r="AF19" s="223"/>
      <c r="AG19" s="223">
        <f t="shared" si="0"/>
        <v>271709.20645755093</v>
      </c>
    </row>
    <row r="20" spans="1:33" s="211" customFormat="1" ht="14.25">
      <c r="A20" s="211" t="s">
        <v>389</v>
      </c>
      <c r="C20" s="234"/>
      <c r="E20" s="223">
        <f>Application!W872</f>
        <v>153593</v>
      </c>
      <c r="F20" s="223"/>
      <c r="G20" s="223">
        <f t="shared" si="0"/>
        <v>158968.75499999998</v>
      </c>
      <c r="H20" s="223"/>
      <c r="I20" s="223">
        <f t="shared" si="0"/>
        <v>164532.66142499997</v>
      </c>
      <c r="J20" s="223"/>
      <c r="K20" s="223">
        <f t="shared" si="0"/>
        <v>170291.30457487496</v>
      </c>
      <c r="L20" s="223"/>
      <c r="M20" s="223">
        <f t="shared" si="0"/>
        <v>176251.50023499556</v>
      </c>
      <c r="N20" s="223"/>
      <c r="O20" s="223">
        <f t="shared" si="0"/>
        <v>182420.30274322038</v>
      </c>
      <c r="P20" s="223"/>
      <c r="Q20" s="223">
        <f t="shared" si="0"/>
        <v>188805.01333923309</v>
      </c>
      <c r="R20" s="223"/>
      <c r="S20" s="223">
        <f t="shared" si="0"/>
        <v>195413.18880610622</v>
      </c>
      <c r="T20" s="223"/>
      <c r="U20" s="223">
        <f t="shared" si="0"/>
        <v>202252.65041431991</v>
      </c>
      <c r="V20" s="223"/>
      <c r="W20" s="223">
        <f t="shared" si="0"/>
        <v>209331.49317882108</v>
      </c>
      <c r="X20" s="223"/>
      <c r="Y20" s="223">
        <f t="shared" si="0"/>
        <v>216658.09544007981</v>
      </c>
      <c r="Z20" s="223"/>
      <c r="AA20" s="223">
        <f t="shared" si="0"/>
        <v>224241.12878048257</v>
      </c>
      <c r="AB20" s="223"/>
      <c r="AC20" s="223">
        <f t="shared" si="0"/>
        <v>232089.56828779945</v>
      </c>
      <c r="AD20" s="223"/>
      <c r="AE20" s="223">
        <f t="shared" si="0"/>
        <v>240212.7031778724</v>
      </c>
      <c r="AF20" s="223"/>
      <c r="AG20" s="223">
        <f t="shared" si="0"/>
        <v>248620.14778909791</v>
      </c>
    </row>
    <row r="21" spans="1:33" s="211" customFormat="1" ht="14.25">
      <c r="A21" s="227" t="s">
        <v>962</v>
      </c>
      <c r="B21" s="227"/>
      <c r="C21" s="234"/>
      <c r="E21" s="233">
        <f>Application!W879</f>
        <v>9699</v>
      </c>
      <c r="F21" s="223"/>
      <c r="G21" s="233">
        <f t="shared" si="0"/>
        <v>10038.464999999998</v>
      </c>
      <c r="H21" s="223"/>
      <c r="I21" s="233">
        <f t="shared" si="0"/>
        <v>10389.811274999998</v>
      </c>
      <c r="J21" s="223"/>
      <c r="K21" s="233">
        <f t="shared" si="0"/>
        <v>10753.454669624998</v>
      </c>
      <c r="L21" s="223"/>
      <c r="M21" s="233">
        <f t="shared" si="0"/>
        <v>11129.825583061873</v>
      </c>
      <c r="N21" s="223"/>
      <c r="O21" s="233">
        <f t="shared" si="0"/>
        <v>11519.369478469038</v>
      </c>
      <c r="P21" s="223"/>
      <c r="Q21" s="233">
        <f t="shared" si="0"/>
        <v>11922.547410215453</v>
      </c>
      <c r="R21" s="223"/>
      <c r="S21" s="233">
        <f t="shared" si="0"/>
        <v>12339.836569572994</v>
      </c>
      <c r="T21" s="223"/>
      <c r="U21" s="233">
        <f t="shared" si="0"/>
        <v>12771.730849508047</v>
      </c>
      <c r="V21" s="223"/>
      <c r="W21" s="233">
        <f t="shared" si="0"/>
        <v>13218.741429240828</v>
      </c>
      <c r="X21" s="223"/>
      <c r="Y21" s="233">
        <f t="shared" si="0"/>
        <v>13681.397379264256</v>
      </c>
      <c r="Z21" s="223"/>
      <c r="AA21" s="233">
        <f t="shared" si="0"/>
        <v>14160.246287538503</v>
      </c>
      <c r="AB21" s="223"/>
      <c r="AC21" s="233">
        <f t="shared" si="0"/>
        <v>14655.854907602348</v>
      </c>
      <c r="AD21" s="223"/>
      <c r="AE21" s="233">
        <f t="shared" si="0"/>
        <v>15168.809829368429</v>
      </c>
      <c r="AF21" s="223"/>
      <c r="AG21" s="233">
        <f t="shared" si="0"/>
        <v>15699.718173396323</v>
      </c>
    </row>
    <row r="22" spans="1:33" s="224" customFormat="1" ht="15">
      <c r="A22" s="224" t="s">
        <v>843</v>
      </c>
      <c r="C22" s="234"/>
      <c r="E22" s="224">
        <f>SUM(E15:E21)</f>
        <v>1095959</v>
      </c>
      <c r="G22" s="224">
        <f>SUM(G15:G21)</f>
        <v>1134317.5649999999</v>
      </c>
      <c r="I22" s="224">
        <f>SUM(I15:I21)</f>
        <v>1174018.6797749999</v>
      </c>
      <c r="K22" s="224">
        <f>SUM(K15:K21)</f>
        <v>1215109.3335671248</v>
      </c>
      <c r="M22" s="224">
        <f>SUM(M15:M21)</f>
        <v>1257638.1602419741</v>
      </c>
      <c r="O22" s="224">
        <f>SUM(O15:O21)</f>
        <v>1301655.4958504429</v>
      </c>
      <c r="Q22" s="224">
        <f>SUM(Q15:Q21)</f>
        <v>1347213.4382052084</v>
      </c>
      <c r="S22" s="224">
        <f>SUM(S15:S21)</f>
        <v>1394365.9085423907</v>
      </c>
      <c r="U22" s="224">
        <f>SUM(U15:U21)</f>
        <v>1443168.7153413743</v>
      </c>
      <c r="W22" s="224">
        <f>SUM(W15:W21)</f>
        <v>1493679.6203783224</v>
      </c>
      <c r="Y22" s="224">
        <f>SUM(Y15:Y21)</f>
        <v>1545958.4070915636</v>
      </c>
      <c r="AA22" s="224">
        <f>SUM(AA15:AA21)</f>
        <v>1600066.951339768</v>
      </c>
      <c r="AC22" s="224">
        <f>SUM(AC15:AC21)</f>
        <v>1656069.2946366596</v>
      </c>
      <c r="AE22" s="224">
        <f>SUM(AE15:AE21)</f>
        <v>1714031.7199489428</v>
      </c>
      <c r="AG22" s="224">
        <f>SUM(AG15:AG21)</f>
        <v>1774022.8301471553</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55000</v>
      </c>
      <c r="F27" s="223"/>
      <c r="G27" s="223">
        <f>E27*$C$27</f>
        <v>56924.999999999993</v>
      </c>
      <c r="H27" s="223"/>
      <c r="I27" s="223">
        <f>G27*$C$27</f>
        <v>58917.374999999985</v>
      </c>
      <c r="J27" s="223"/>
      <c r="K27" s="223">
        <f>I27*$C$27</f>
        <v>60979.483124999977</v>
      </c>
      <c r="L27" s="223"/>
      <c r="M27" s="223">
        <f>K27*$C$27</f>
        <v>63113.76503437497</v>
      </c>
      <c r="N27" s="223"/>
      <c r="O27" s="223">
        <f>M27*$C$27</f>
        <v>65322.746810578086</v>
      </c>
      <c r="P27" s="223"/>
      <c r="Q27" s="223">
        <f>O27*$C$27</f>
        <v>67609.042948948321</v>
      </c>
      <c r="R27" s="223"/>
      <c r="S27" s="223">
        <f>Q27*$C$27</f>
        <v>69975.359452161501</v>
      </c>
      <c r="T27" s="223"/>
      <c r="U27" s="223">
        <f>S27*$C$27</f>
        <v>72424.497032987143</v>
      </c>
      <c r="V27" s="223"/>
      <c r="W27" s="223">
        <f>U27*$C$27</f>
        <v>74959.354429141691</v>
      </c>
      <c r="X27" s="223"/>
      <c r="Y27" s="223">
        <f>W27*$C$27</f>
        <v>77582.931834161645</v>
      </c>
      <c r="Z27" s="223"/>
      <c r="AA27" s="223">
        <f>Y27*$C$27</f>
        <v>80298.334448357302</v>
      </c>
      <c r="AB27" s="223"/>
      <c r="AC27" s="223">
        <f>AA27*$C$27</f>
        <v>83108.776154049803</v>
      </c>
      <c r="AD27" s="223"/>
      <c r="AE27" s="223">
        <f>AC27*$C$27</f>
        <v>86017.583319441546</v>
      </c>
      <c r="AF27" s="223"/>
      <c r="AG27" s="223">
        <f>AE27*$C$27</f>
        <v>89028.198735621991</v>
      </c>
    </row>
    <row r="28" spans="1:33" s="211" customFormat="1" ht="14.25">
      <c r="A28" s="211" t="s">
        <v>846</v>
      </c>
      <c r="C28" s="238"/>
      <c r="E28" s="223">
        <f>Application!AC889</f>
        <v>48000</v>
      </c>
      <c r="F28" s="223"/>
      <c r="G28" s="223">
        <f>$E$28</f>
        <v>48000</v>
      </c>
      <c r="H28" s="223"/>
      <c r="I28" s="223">
        <f>$E$28</f>
        <v>48000</v>
      </c>
      <c r="J28" s="223"/>
      <c r="K28" s="223">
        <f>$E$28</f>
        <v>48000</v>
      </c>
      <c r="L28" s="223"/>
      <c r="M28" s="223">
        <f>$E$28</f>
        <v>48000</v>
      </c>
      <c r="N28" s="223"/>
      <c r="O28" s="223">
        <f>$E$28</f>
        <v>48000</v>
      </c>
      <c r="P28" s="223"/>
      <c r="Q28" s="223">
        <f>$E$28</f>
        <v>48000</v>
      </c>
      <c r="R28" s="223"/>
      <c r="S28" s="223">
        <f>$E$28</f>
        <v>48000</v>
      </c>
      <c r="T28" s="223"/>
      <c r="U28" s="223">
        <f>$E$28</f>
        <v>48000</v>
      </c>
      <c r="V28" s="223"/>
      <c r="W28" s="223">
        <f>$E$28</f>
        <v>48000</v>
      </c>
      <c r="X28" s="223"/>
      <c r="Y28" s="223">
        <f>$E$28</f>
        <v>48000</v>
      </c>
      <c r="Z28" s="223"/>
      <c r="AA28" s="223">
        <f>$E$28</f>
        <v>48000</v>
      </c>
      <c r="AB28" s="223"/>
      <c r="AC28" s="223">
        <f>$E$28</f>
        <v>48000</v>
      </c>
      <c r="AD28" s="223"/>
      <c r="AE28" s="223">
        <f>$E$28</f>
        <v>48000</v>
      </c>
      <c r="AF28" s="223"/>
      <c r="AG28" s="223">
        <f>$E$28</f>
        <v>48000</v>
      </c>
    </row>
    <row r="29" spans="1:33" s="211" customFormat="1" ht="14.25">
      <c r="A29" s="211" t="s">
        <v>1680</v>
      </c>
      <c r="C29" s="238"/>
      <c r="E29" s="223">
        <f>Application!AC890</f>
        <v>1378</v>
      </c>
      <c r="F29" s="223"/>
      <c r="G29" s="223">
        <f>$E$29</f>
        <v>1378</v>
      </c>
      <c r="H29" s="223"/>
      <c r="I29" s="223">
        <f>$E$29</f>
        <v>1378</v>
      </c>
      <c r="J29" s="223"/>
      <c r="K29" s="223">
        <f>$E$29</f>
        <v>1378</v>
      </c>
      <c r="L29" s="223"/>
      <c r="M29" s="223">
        <f>$E$29</f>
        <v>1378</v>
      </c>
      <c r="N29" s="223"/>
      <c r="O29" s="223">
        <f>$E$29</f>
        <v>1378</v>
      </c>
      <c r="P29" s="223"/>
      <c r="Q29" s="223">
        <f>$E$29</f>
        <v>1378</v>
      </c>
      <c r="R29" s="223"/>
      <c r="S29" s="223">
        <f>$E$29</f>
        <v>1378</v>
      </c>
      <c r="T29" s="223"/>
      <c r="U29" s="223">
        <f>$E$29</f>
        <v>1378</v>
      </c>
      <c r="V29" s="223"/>
      <c r="W29" s="223">
        <f>$E$29</f>
        <v>1378</v>
      </c>
      <c r="X29" s="223"/>
      <c r="Y29" s="223">
        <f>$E$29</f>
        <v>1378</v>
      </c>
      <c r="Z29" s="223"/>
      <c r="AA29" s="223">
        <f>$E$29</f>
        <v>1378</v>
      </c>
      <c r="AB29" s="223"/>
      <c r="AC29" s="223">
        <f>$E$29</f>
        <v>1378</v>
      </c>
      <c r="AD29" s="223"/>
      <c r="AE29" s="223">
        <f>$E$29</f>
        <v>1378</v>
      </c>
      <c r="AF29" s="223"/>
      <c r="AG29" s="223">
        <f>$E$29</f>
        <v>1378</v>
      </c>
    </row>
    <row r="30" spans="1:33" s="211" customFormat="1" ht="14.25">
      <c r="A30" s="211" t="s">
        <v>844</v>
      </c>
      <c r="C30" s="238">
        <v>1.02</v>
      </c>
      <c r="E30" s="223">
        <f>Application!AC891</f>
        <v>24126</v>
      </c>
      <c r="F30" s="223"/>
      <c r="G30" s="223">
        <f>E30*$C$30</f>
        <v>24608.52</v>
      </c>
      <c r="H30" s="223"/>
      <c r="I30" s="223">
        <f>G30*$C$30</f>
        <v>25100.690399999999</v>
      </c>
      <c r="J30" s="223"/>
      <c r="K30" s="223">
        <f>I30*$C$30</f>
        <v>25602.704207999999</v>
      </c>
      <c r="L30" s="223"/>
      <c r="M30" s="223">
        <f>K30*$C$30</f>
        <v>26114.758292160001</v>
      </c>
      <c r="N30" s="223"/>
      <c r="O30" s="223">
        <f>M30*$C$30</f>
        <v>26637.0534580032</v>
      </c>
      <c r="P30" s="223"/>
      <c r="Q30" s="223">
        <f>O30*$C$30</f>
        <v>27169.794527163263</v>
      </c>
      <c r="R30" s="223"/>
      <c r="S30" s="223">
        <f>Q30*$C$30</f>
        <v>27713.19041770653</v>
      </c>
      <c r="T30" s="223"/>
      <c r="U30" s="223">
        <f>S30*$C$30</f>
        <v>28267.454226060661</v>
      </c>
      <c r="V30" s="223"/>
      <c r="W30" s="223">
        <f>U30*$C$30</f>
        <v>28832.803310581876</v>
      </c>
      <c r="X30" s="223"/>
      <c r="Y30" s="223">
        <f>W30*$C$30</f>
        <v>29409.459376793515</v>
      </c>
      <c r="Z30" s="223"/>
      <c r="AA30" s="223">
        <f>Y30*$C$30</f>
        <v>29997.648564329385</v>
      </c>
      <c r="AB30" s="223"/>
      <c r="AC30" s="223">
        <f>AA30*$C$30</f>
        <v>30597.601535615973</v>
      </c>
      <c r="AD30" s="223"/>
      <c r="AE30" s="223">
        <f>AC30*$C$30</f>
        <v>31209.553566328294</v>
      </c>
      <c r="AF30" s="223"/>
      <c r="AG30" s="223">
        <f>AE30*$C$30</f>
        <v>31833.744637654861</v>
      </c>
    </row>
    <row r="31" spans="1:33" s="211" customFormat="1" ht="14.25">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 Bond Compliance Fee</v>
      </c>
      <c r="C32" s="317">
        <v>1.0349999999999999</v>
      </c>
      <c r="E32" s="223">
        <f>Application!AC894</f>
        <v>4000</v>
      </c>
      <c r="F32" s="223"/>
      <c r="G32" s="223">
        <f>E32*$C$32</f>
        <v>4140</v>
      </c>
      <c r="H32" s="223"/>
      <c r="I32" s="223">
        <f>G32*$C$32</f>
        <v>4284.8999999999996</v>
      </c>
      <c r="J32" s="223"/>
      <c r="K32" s="223">
        <f>I32*$C$32</f>
        <v>4434.8714999999993</v>
      </c>
      <c r="L32" s="223"/>
      <c r="M32" s="223">
        <f>K32*$C$32</f>
        <v>4590.0920024999987</v>
      </c>
      <c r="N32" s="223"/>
      <c r="O32" s="223">
        <f>M32*$C$32</f>
        <v>4750.7452225874986</v>
      </c>
      <c r="P32" s="223"/>
      <c r="Q32" s="223">
        <f>O32*$C$32</f>
        <v>4917.0213053780608</v>
      </c>
      <c r="R32" s="223"/>
      <c r="S32" s="223">
        <f>Q32*$C$32</f>
        <v>5089.1170510662923</v>
      </c>
      <c r="T32" s="223"/>
      <c r="U32" s="223">
        <f>S32*$C$32</f>
        <v>5267.2361478536122</v>
      </c>
      <c r="V32" s="223"/>
      <c r="W32" s="223">
        <f>U32*$C$32</f>
        <v>5451.5894130284878</v>
      </c>
      <c r="X32" s="223"/>
      <c r="Y32" s="223">
        <f>W32*$C$32</f>
        <v>5642.3950424844843</v>
      </c>
      <c r="Z32" s="223"/>
      <c r="AA32" s="223">
        <f>Y32*$C$32</f>
        <v>5839.8788689714411</v>
      </c>
      <c r="AB32" s="223"/>
      <c r="AC32" s="223">
        <f>AA32*$C$32</f>
        <v>6044.2746293854407</v>
      </c>
      <c r="AD32" s="223"/>
      <c r="AE32" s="223">
        <f>AC32*$C$32</f>
        <v>6255.8242414139304</v>
      </c>
      <c r="AF32" s="223"/>
      <c r="AG32" s="223">
        <f>AE32*$C$32</f>
        <v>6474.7780898634173</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177</v>
      </c>
      <c r="C35" s="225"/>
      <c r="E35" s="224">
        <f>SUM(E22:E33)</f>
        <v>1228463</v>
      </c>
      <c r="G35" s="224">
        <f>SUM(G22:G33)</f>
        <v>1269369.085</v>
      </c>
      <c r="I35" s="224">
        <f>SUM(I22:I33)</f>
        <v>1311699.6451749997</v>
      </c>
      <c r="K35" s="224">
        <f>SUM(K22:K33)</f>
        <v>1355504.3924001248</v>
      </c>
      <c r="M35" s="224">
        <f>SUM(M22:M33)</f>
        <v>1400834.7755710091</v>
      </c>
      <c r="O35" s="224">
        <f>SUM(O22:O33)</f>
        <v>1447744.0413416116</v>
      </c>
      <c r="Q35" s="224">
        <f>SUM(Q22:Q33)</f>
        <v>1496287.2969866979</v>
      </c>
      <c r="S35" s="224">
        <f>SUM(S22:S33)</f>
        <v>1546521.575463325</v>
      </c>
      <c r="U35" s="224">
        <f>SUM(U22:U33)</f>
        <v>1598505.9027482758</v>
      </c>
      <c r="W35" s="224">
        <f>SUM(W22:W33)</f>
        <v>1652301.3675310744</v>
      </c>
      <c r="Y35" s="224">
        <f>SUM(Y22:Y33)</f>
        <v>1707971.1933450033</v>
      </c>
      <c r="AA35" s="224">
        <f>SUM(AA22:AA33)</f>
        <v>1765580.8132214262</v>
      </c>
      <c r="AC35" s="224">
        <f>SUM(AC22:AC33)</f>
        <v>1825197.9469557109</v>
      </c>
      <c r="AE35" s="224">
        <f>SUM(AE22:AE33)</f>
        <v>1886892.6810761266</v>
      </c>
      <c r="AG35" s="224">
        <f>SUM(AG22:AG33)</f>
        <v>1950737.5516102957</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1</v>
      </c>
      <c r="G37" s="224">
        <f ca="1">G11-G35</f>
        <v>1.0000000002328306</v>
      </c>
      <c r="I37" s="224">
        <f ca="1">I11-I35</f>
        <v>0.99999999976716936</v>
      </c>
      <c r="K37" s="224">
        <f ca="1">K11-K35</f>
        <v>0.99999999976716936</v>
      </c>
      <c r="M37" s="224">
        <f ca="1">M11-M35</f>
        <v>1</v>
      </c>
      <c r="O37" s="224">
        <f ca="1">O11-O35</f>
        <v>1</v>
      </c>
      <c r="Q37" s="224">
        <f ca="1">Q11-Q35</f>
        <v>1</v>
      </c>
      <c r="S37" s="224">
        <f ca="1">S11-S35</f>
        <v>1.0000000002328306</v>
      </c>
      <c r="U37" s="224">
        <f ca="1">U11-U35</f>
        <v>1.0000000002328306</v>
      </c>
      <c r="W37" s="224">
        <f ca="1">W11-W35</f>
        <v>1.0000000002328306</v>
      </c>
      <c r="Y37" s="224">
        <f ca="1">Y11-Y35</f>
        <v>1</v>
      </c>
      <c r="AA37" s="224">
        <f ca="1">AA11-AA35</f>
        <v>1</v>
      </c>
      <c r="AC37" s="224">
        <f ca="1">AC11-AC35</f>
        <v>1</v>
      </c>
      <c r="AE37" s="224">
        <f ca="1">AE11-AE35</f>
        <v>1</v>
      </c>
      <c r="AG37" s="224">
        <f ca="1">AG11-AG35</f>
        <v>1.0000000002328306</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 xml:space="preserve">HUD 202 Capital Advance </v>
      </c>
      <c r="B40" s="227"/>
      <c r="C40" s="221"/>
      <c r="E40" s="223">
        <f>Application!AF627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1</v>
      </c>
      <c r="G45" s="224">
        <f ca="1">G37-G43</f>
        <v>1.0000000002328306</v>
      </c>
      <c r="I45" s="224">
        <f ca="1">I37-I43</f>
        <v>0.99999999976716936</v>
      </c>
      <c r="K45" s="224">
        <f ca="1">K37-K43</f>
        <v>0.99999999976716936</v>
      </c>
      <c r="M45" s="224">
        <f ca="1">M37-M43</f>
        <v>1</v>
      </c>
      <c r="O45" s="224">
        <f ca="1">O37-O43</f>
        <v>1</v>
      </c>
      <c r="Q45" s="224">
        <f ca="1">Q37-Q43</f>
        <v>1</v>
      </c>
      <c r="S45" s="224">
        <f ca="1">S37-S43</f>
        <v>1.0000000002328306</v>
      </c>
      <c r="U45" s="224">
        <f ca="1">U37-U43</f>
        <v>1.0000000002328306</v>
      </c>
      <c r="W45" s="224">
        <f ca="1">W37-W43</f>
        <v>1.0000000002328306</v>
      </c>
      <c r="Y45" s="224">
        <f ca="1">Y37-Y43</f>
        <v>1</v>
      </c>
      <c r="AA45" s="224">
        <f ca="1">AA37-AA43</f>
        <v>1</v>
      </c>
      <c r="AC45" s="224">
        <f ca="1">AC37-AC43</f>
        <v>1</v>
      </c>
      <c r="AE45" s="224">
        <f ca="1">AE37-AE43</f>
        <v>1</v>
      </c>
      <c r="AG45" s="224">
        <f ca="1">AG37-AG43</f>
        <v>1.0000000002328306</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7.7332343479336797E-7</v>
      </c>
      <c r="G47" s="228">
        <f ca="1">G45/(G4+G6+G8)</f>
        <v>7.4840270103040039E-7</v>
      </c>
      <c r="I47" s="228">
        <f ca="1">I45/(I4+I6+I8)</f>
        <v>7.2425061562127039E-7</v>
      </c>
      <c r="K47" s="228">
        <f ca="1">K45/(K4+K6+K8)</f>
        <v>7.0084560718470758E-7</v>
      </c>
      <c r="M47" s="228">
        <f ca="1">M45/(M4+M6+M8)</f>
        <v>6.7816657495969553E-7</v>
      </c>
      <c r="O47" s="228">
        <f ca="1">O45/(O4+O6+O8)</f>
        <v>6.5619288816188525E-7</v>
      </c>
      <c r="Q47" s="228">
        <f ca="1">Q45/(Q4+Q6+Q8)</f>
        <v>6.3490438434435317E-7</v>
      </c>
      <c r="S47" s="228">
        <f ca="1">S45/(S4+S6+S8)</f>
        <v>6.1428136601017747E-7</v>
      </c>
      <c r="U47" s="228">
        <f ca="1">U45/(U4+U6+U8)</f>
        <v>5.9430459673829119E-7</v>
      </c>
      <c r="W47" s="228">
        <f ca="1">W45/(W4+W6+W8)</f>
        <v>5.7495529806733314E-7</v>
      </c>
      <c r="Y47" s="228">
        <f ca="1">Y45/(Y4+Y6+Y8)</f>
        <v>5.5621514431066855E-7</v>
      </c>
      <c r="AA47" s="228">
        <f ca="1">AA45/(AA4+AA6+AA8)</f>
        <v>5.3806625832119286E-7</v>
      </c>
      <c r="AC47" s="228">
        <f ca="1">AC45/(AC4+AC6+AC8)</f>
        <v>5.204912054023073E-7</v>
      </c>
      <c r="AE47" s="228">
        <f ca="1">AE45/(AE4+AE6+AE8)</f>
        <v>5.0347298818564038E-7</v>
      </c>
      <c r="AG47" s="228">
        <f ca="1">AG45/(AG4+AG6+AG8)</f>
        <v>4.8699504064088086E-7</v>
      </c>
    </row>
    <row r="48" spans="1:33" s="228" customFormat="1" ht="14.25">
      <c r="A48" s="228" t="s">
        <v>852</v>
      </c>
      <c r="C48" s="221"/>
      <c r="E48" s="228" t="e">
        <f>E45/E43</f>
        <v>#DIV/0!</v>
      </c>
      <c r="G48" s="228" t="e">
        <f ca="1">G45/G43</f>
        <v>#DIV/0!</v>
      </c>
      <c r="I48" s="228" t="e">
        <f ca="1">I45/I43</f>
        <v>#DIV/0!</v>
      </c>
      <c r="K48" s="228" t="e">
        <f ca="1">K45/K43</f>
        <v>#DIV/0!</v>
      </c>
      <c r="M48" s="228" t="e">
        <f ca="1">M45/M43</f>
        <v>#DIV/0!</v>
      </c>
      <c r="O48" s="228" t="e">
        <f ca="1">O45/O43</f>
        <v>#DIV/0!</v>
      </c>
      <c r="Q48" s="228" t="e">
        <f ca="1">Q45/Q43</f>
        <v>#DIV/0!</v>
      </c>
      <c r="S48" s="228" t="e">
        <f ca="1">S45/S43</f>
        <v>#DIV/0!</v>
      </c>
      <c r="U48" s="228" t="e">
        <f ca="1">U45/U43</f>
        <v>#DIV/0!</v>
      </c>
      <c r="W48" s="228" t="e">
        <f ca="1">W45/W43</f>
        <v>#DIV/0!</v>
      </c>
      <c r="Y48" s="228" t="e">
        <f ca="1">Y45/Y43</f>
        <v>#DIV/0!</v>
      </c>
      <c r="AA48" s="228" t="e">
        <f ca="1">AA45/AA43</f>
        <v>#DIV/0!</v>
      </c>
      <c r="AC48" s="228" t="e">
        <f ca="1">AC45/AC43</f>
        <v>#DIV/0!</v>
      </c>
      <c r="AE48" s="228" t="e">
        <f ca="1">AE45/AE43</f>
        <v>#DIV/0!</v>
      </c>
      <c r="AG48" s="228" t="e">
        <f ca="1">AG45/AG43</f>
        <v>#DIV/0!</v>
      </c>
    </row>
    <row r="49" spans="1:34" s="229" customFormat="1" ht="14.25">
      <c r="A49" s="229" t="s">
        <v>850</v>
      </c>
      <c r="C49" s="230"/>
      <c r="E49" s="229" t="e">
        <f>E37/E43</f>
        <v>#DIV/0!</v>
      </c>
      <c r="G49" s="229" t="e">
        <f ca="1">G37/G43</f>
        <v>#DIV/0!</v>
      </c>
      <c r="I49" s="229" t="e">
        <f ca="1">I37/I43</f>
        <v>#DIV/0!</v>
      </c>
      <c r="K49" s="229" t="e">
        <f ca="1">K37/K43</f>
        <v>#DIV/0!</v>
      </c>
      <c r="M49" s="229" t="e">
        <f ca="1">M37/M43</f>
        <v>#DIV/0!</v>
      </c>
      <c r="O49" s="229" t="e">
        <f ca="1">O37/O43</f>
        <v>#DIV/0!</v>
      </c>
      <c r="Q49" s="229" t="e">
        <f ca="1">Q37/Q43</f>
        <v>#DIV/0!</v>
      </c>
      <c r="S49" s="229" t="e">
        <f ca="1">S37/S43</f>
        <v>#DIV/0!</v>
      </c>
      <c r="U49" s="229" t="e">
        <f ca="1">U37/U43</f>
        <v>#DIV/0!</v>
      </c>
      <c r="W49" s="229" t="e">
        <f ca="1">W37/W43</f>
        <v>#DIV/0!</v>
      </c>
      <c r="Y49" s="229" t="e">
        <f ca="1">Y37/Y43</f>
        <v>#DIV/0!</v>
      </c>
      <c r="AA49" s="229" t="e">
        <f ca="1">AA37/AA43</f>
        <v>#DIV/0!</v>
      </c>
      <c r="AC49" s="229" t="e">
        <f ca="1">AC37/AC43</f>
        <v>#DIV/0!</v>
      </c>
      <c r="AE49" s="229" t="e">
        <f ca="1">AE37/AE43</f>
        <v>#DIV/0!</v>
      </c>
      <c r="AG49" s="229" t="e">
        <f ca="1">AG37/AG43</f>
        <v>#DIV/0!</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2" t="s">
        <v>1184</v>
      </c>
      <c r="B52" s="2702"/>
      <c r="C52" s="270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1</v>
      </c>
      <c r="G60" s="963">
        <f ca="1">G45-G58</f>
        <v>1.0000000002328306</v>
      </c>
      <c r="I60" s="963">
        <f ca="1">I45-I58</f>
        <v>0.99999999976716936</v>
      </c>
      <c r="K60" s="963">
        <f ca="1">K45-K58</f>
        <v>0.99999999976716936</v>
      </c>
      <c r="M60" s="963">
        <f ca="1">M45-M58</f>
        <v>1</v>
      </c>
      <c r="O60" s="963">
        <f ca="1">O45-O58</f>
        <v>1</v>
      </c>
      <c r="Q60" s="963">
        <f ca="1">Q45-Q58</f>
        <v>1</v>
      </c>
      <c r="S60" s="963">
        <f ca="1">S45-S58</f>
        <v>1.0000000002328306</v>
      </c>
      <c r="U60" s="963">
        <f ca="1">U45-U58</f>
        <v>1.0000000002328306</v>
      </c>
      <c r="W60" s="963">
        <f ca="1">W45-W58</f>
        <v>1.0000000002328306</v>
      </c>
      <c r="Y60" s="963">
        <f ca="1">Y45-Y58</f>
        <v>1</v>
      </c>
      <c r="AA60" s="963">
        <f ca="1">AA45-AA58</f>
        <v>1</v>
      </c>
      <c r="AC60" s="963">
        <f ca="1">AC45-AC58</f>
        <v>1</v>
      </c>
      <c r="AE60" s="963">
        <f ca="1">AE45-AE58</f>
        <v>1</v>
      </c>
      <c r="AG60" s="963">
        <f ca="1">AG45-AG58</f>
        <v>1.0000000002328306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0.5</v>
      </c>
      <c r="G62" s="963">
        <f ca="1">G60*$C$62</f>
        <v>0.50000000011641532</v>
      </c>
      <c r="I62" s="963">
        <f ca="1">I60*$C$62</f>
        <v>0.49999999988358468</v>
      </c>
      <c r="K62" s="963">
        <f ca="1">K60*$C$62</f>
        <v>0.49999999988358468</v>
      </c>
      <c r="M62" s="963">
        <f ca="1">M60*$C$62</f>
        <v>0.5</v>
      </c>
      <c r="O62" s="963">
        <f ca="1">O60*$C$62</f>
        <v>0.5</v>
      </c>
      <c r="Q62" s="963">
        <f ca="1">Q60*$C$62</f>
        <v>0.5</v>
      </c>
      <c r="S62" s="963">
        <f ca="1">S60*$C$62</f>
        <v>0.50000000011641532</v>
      </c>
      <c r="U62" s="963">
        <f ca="1">U60*$C$62</f>
        <v>0.50000000011641532</v>
      </c>
      <c r="W62" s="963">
        <f ca="1">W60*$C$62</f>
        <v>0.50000000011641532</v>
      </c>
      <c r="Y62" s="963">
        <f ca="1">Y60*$C$62</f>
        <v>0.5</v>
      </c>
      <c r="AA62" s="963">
        <f ca="1">AA60*$C$62</f>
        <v>0.5</v>
      </c>
      <c r="AC62" s="963">
        <f ca="1">AC60*$C$62</f>
        <v>0.5</v>
      </c>
      <c r="AE62" s="963">
        <f ca="1">AE60*$C$62</f>
        <v>0.5</v>
      </c>
      <c r="AG62" s="963">
        <f ca="1">AG60*$C$62</f>
        <v>0.50000000011641532</v>
      </c>
    </row>
    <row r="63" spans="1:34" s="963" customFormat="1">
      <c r="A63" s="2702" t="s">
        <v>1184</v>
      </c>
      <c r="B63" s="2702"/>
      <c r="C63" s="270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0.25</v>
      </c>
      <c r="G66" s="961">
        <f ca="1">G60*$C$65</f>
        <v>0.25000000005820766</v>
      </c>
      <c r="I66" s="961">
        <f ca="1">I60*$C$65</f>
        <v>0.24999999994179234</v>
      </c>
      <c r="K66" s="961">
        <f ca="1">K60*$C$65</f>
        <v>0.24999999994179234</v>
      </c>
      <c r="M66" s="961">
        <f ca="1">M60*$C$65</f>
        <v>0.25</v>
      </c>
      <c r="O66" s="961">
        <f ca="1">O60*$C$65</f>
        <v>0.25</v>
      </c>
      <c r="Q66" s="961">
        <f ca="1">Q60*$C$65</f>
        <v>0.25</v>
      </c>
      <c r="S66" s="961">
        <f ca="1">S60*$C$65</f>
        <v>0.25000000005820766</v>
      </c>
      <c r="U66" s="961">
        <f ca="1">U60*$C$65</f>
        <v>0.25000000005820766</v>
      </c>
      <c r="W66" s="961">
        <f ca="1">W60*$C$65</f>
        <v>0.25000000005820766</v>
      </c>
      <c r="Y66" s="961">
        <f ca="1">Y60*$C$65</f>
        <v>0.25</v>
      </c>
      <c r="AA66" s="961">
        <f ca="1">AA60*$C$65</f>
        <v>0.25</v>
      </c>
      <c r="AC66" s="961">
        <f ca="1">AC60*$C$65</f>
        <v>0.25</v>
      </c>
      <c r="AE66" s="961">
        <f ca="1">AE60*$C$65</f>
        <v>0.25</v>
      </c>
      <c r="AG66" s="961">
        <f ca="1">AG60*$C$65</f>
        <v>0.25000000005820766</v>
      </c>
    </row>
    <row r="67" spans="1:34" s="961" customFormat="1">
      <c r="A67" s="966"/>
      <c r="B67" s="966"/>
      <c r="C67" s="971"/>
      <c r="E67" s="965">
        <f>$E60*$C$65</f>
        <v>0.25</v>
      </c>
      <c r="G67" s="961">
        <f ca="1">G60*$C$65</f>
        <v>0.25000000005820766</v>
      </c>
      <c r="I67" s="961">
        <f ca="1">I60*$C$65</f>
        <v>0.24999999994179234</v>
      </c>
      <c r="K67" s="961">
        <f ca="1">K60*$C$65</f>
        <v>0.24999999994179234</v>
      </c>
      <c r="M67" s="961">
        <f ca="1">M60*$C$65</f>
        <v>0.25</v>
      </c>
      <c r="O67" s="961">
        <f ca="1">O60*$C$65</f>
        <v>0.25</v>
      </c>
      <c r="Q67" s="961">
        <f ca="1">Q60*$C$65</f>
        <v>0.25</v>
      </c>
      <c r="S67" s="961">
        <f ca="1">S60*$C$65</f>
        <v>0.25000000005820766</v>
      </c>
      <c r="U67" s="961">
        <f ca="1">U60*$C$65</f>
        <v>0.25000000005820766</v>
      </c>
      <c r="W67" s="961">
        <f ca="1">W60*$C$65</f>
        <v>0.25000000005820766</v>
      </c>
      <c r="Y67" s="961">
        <f ca="1">Y60*$C$65</f>
        <v>0.25</v>
      </c>
      <c r="AA67" s="961">
        <f ca="1">AA60*$C$65</f>
        <v>0.25</v>
      </c>
      <c r="AC67" s="961">
        <f ca="1">AC60*$C$65</f>
        <v>0.25</v>
      </c>
      <c r="AE67" s="961">
        <f ca="1">AE60*$C$65</f>
        <v>0.25</v>
      </c>
      <c r="AG67" s="961">
        <f ca="1">AG60*$C$65</f>
        <v>0.25000000005820766</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0.5</v>
      </c>
      <c r="G70" s="961">
        <f ca="1">SUM(G66:G69)</f>
        <v>0.50000000011641532</v>
      </c>
      <c r="I70" s="961">
        <f ca="1">SUM(I66:I69)</f>
        <v>0.49999999988358468</v>
      </c>
      <c r="K70" s="961">
        <f ca="1">SUM(K66:K69)</f>
        <v>0.49999999988358468</v>
      </c>
      <c r="M70" s="961">
        <f ca="1">SUM(M66:M69)</f>
        <v>0.5</v>
      </c>
      <c r="O70" s="961">
        <f ca="1">SUM(O66:O69)</f>
        <v>0.5</v>
      </c>
      <c r="Q70" s="961">
        <f ca="1">SUM(Q66:Q69)</f>
        <v>0.5</v>
      </c>
      <c r="S70" s="961">
        <f ca="1">SUM(S66:S69)</f>
        <v>0.50000000011641532</v>
      </c>
      <c r="U70" s="961">
        <f ca="1">SUM(U66:U69)</f>
        <v>0.50000000011641532</v>
      </c>
      <c r="W70" s="961">
        <f ca="1">SUM(W66:W69)</f>
        <v>0.50000000011641532</v>
      </c>
      <c r="Y70" s="961">
        <f ca="1">SUM(Y66:Y69)</f>
        <v>0.5</v>
      </c>
      <c r="AA70" s="961">
        <f ca="1">SUM(AA66:AA69)</f>
        <v>0.5</v>
      </c>
      <c r="AC70" s="961">
        <f ca="1">SUM(AC66:AC69)</f>
        <v>0.5</v>
      </c>
      <c r="AE70" s="961">
        <f ca="1">SUM(AE66:AE69)</f>
        <v>0.5</v>
      </c>
      <c r="AG70" s="961">
        <f ca="1">SUM(AG66:AG69)</f>
        <v>0.50000000011641532</v>
      </c>
    </row>
    <row r="71" spans="1:34" s="961" customFormat="1">
      <c r="A71" s="963"/>
      <c r="C71" s="971"/>
    </row>
    <row r="72" spans="1:34" s="961" customFormat="1">
      <c r="A72" s="963" t="s">
        <v>1723</v>
      </c>
      <c r="C72" s="971"/>
      <c r="E72" s="963">
        <f>E60-E62-E70</f>
        <v>0</v>
      </c>
      <c r="G72" s="963">
        <f ca="1">G60-G62-G70</f>
        <v>0</v>
      </c>
      <c r="I72" s="963">
        <f ca="1">I60-I62-I70</f>
        <v>0</v>
      </c>
      <c r="K72" s="963">
        <f ca="1">K60-K62-K70</f>
        <v>0</v>
      </c>
      <c r="M72" s="963">
        <f ca="1">M60-M62-M70</f>
        <v>0</v>
      </c>
      <c r="O72" s="963">
        <f ca="1">O60-O62-O70</f>
        <v>0</v>
      </c>
      <c r="Q72" s="963">
        <f ca="1">Q60-Q62-Q70</f>
        <v>0</v>
      </c>
      <c r="S72" s="963">
        <f ca="1">S60-S62-S70</f>
        <v>0</v>
      </c>
      <c r="U72" s="963">
        <f ca="1">U60-U62-U70</f>
        <v>0</v>
      </c>
      <c r="W72" s="963">
        <f ca="1">W60-W62-W70</f>
        <v>0</v>
      </c>
      <c r="Y72" s="963">
        <f ca="1">Y60-Y62-Y70</f>
        <v>0</v>
      </c>
      <c r="AA72" s="963">
        <f ca="1">AA60-AA62-AA70</f>
        <v>0</v>
      </c>
      <c r="AC72" s="963">
        <f ca="1">AC60-AC62-AC70</f>
        <v>0</v>
      </c>
      <c r="AE72" s="963">
        <f ca="1">AE60-AE62-AE70</f>
        <v>0</v>
      </c>
      <c r="AG72" s="963">
        <f ca="1">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700" t="s">
        <v>1721</v>
      </c>
      <c r="B77" s="2701"/>
      <c r="C77" s="2701"/>
      <c r="D77" s="2701"/>
      <c r="E77" s="2701"/>
      <c r="F77" s="2701"/>
      <c r="G77" s="2701"/>
      <c r="H77" s="2701"/>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c r="AF77" s="2701"/>
      <c r="AG77" s="270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2000000</v>
      </c>
      <c r="C5" s="267">
        <f>'Sources and Uses Budget'!$C4</f>
        <v>2000000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25000</v>
      </c>
      <c r="C7" s="267">
        <f>'Sources and Uses Budget'!$C6</f>
        <v>25000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2025000</v>
      </c>
      <c r="C9" s="271">
        <f>SUM(C5:C8)</f>
        <v>2025000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2025000</v>
      </c>
      <c r="C13" s="271">
        <f>SUM(C9+C12)</f>
        <v>2025000</v>
      </c>
      <c r="D13" s="271">
        <f t="shared" si="0"/>
        <v>0</v>
      </c>
      <c r="E13" s="269"/>
      <c r="F13" s="268"/>
    </row>
    <row r="14" spans="1:6" s="353" customFormat="1">
      <c r="A14" s="367" t="s">
        <v>902</v>
      </c>
      <c r="B14" s="267">
        <f>'Sources and Uses Budget'!$C13</f>
        <v>50000</v>
      </c>
      <c r="C14" s="267">
        <f>'Sources and Uses Budget'!$C13</f>
        <v>50000</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48440910</v>
      </c>
      <c r="C31" s="267">
        <f>'Sources and Uses Budget'!$C30</f>
        <v>48440910</v>
      </c>
      <c r="D31" s="271">
        <f t="shared" si="0"/>
        <v>0</v>
      </c>
      <c r="E31" s="269"/>
      <c r="F31" s="268"/>
    </row>
    <row r="32" spans="1:6" s="353" customFormat="1">
      <c r="A32" s="145" t="s">
        <v>600</v>
      </c>
      <c r="B32" s="267">
        <f>'Sources and Uses Budget'!$C31</f>
        <v>1784503</v>
      </c>
      <c r="C32" s="267">
        <f>'Sources and Uses Budget'!$C31</f>
        <v>1784503</v>
      </c>
      <c r="D32" s="271">
        <f t="shared" si="0"/>
        <v>0</v>
      </c>
      <c r="E32" s="269"/>
      <c r="F32" s="268"/>
    </row>
    <row r="33" spans="1:6" s="353" customFormat="1">
      <c r="A33" s="145" t="s">
        <v>137</v>
      </c>
      <c r="B33" s="267">
        <f>'Sources and Uses Budget'!$C32</f>
        <v>860655</v>
      </c>
      <c r="C33" s="267">
        <f>'Sources and Uses Budget'!$C32</f>
        <v>860655</v>
      </c>
      <c r="D33" s="271">
        <f t="shared" si="0"/>
        <v>0</v>
      </c>
      <c r="E33" s="269"/>
      <c r="F33" s="268"/>
    </row>
    <row r="34" spans="1:6" s="353" customFormat="1">
      <c r="A34" s="145" t="s">
        <v>138</v>
      </c>
      <c r="B34" s="267">
        <f>'Sources and Uses Budget'!$C33</f>
        <v>860655</v>
      </c>
      <c r="C34" s="267">
        <f>'Sources and Uses Budget'!$C33</f>
        <v>860655</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800965</v>
      </c>
      <c r="C36" s="267">
        <f>'Sources and Uses Budget'!$C35</f>
        <v>800965</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PG&amp;E Transformer</v>
      </c>
      <c r="B38" s="267">
        <f>'Sources and Uses Budget'!$C37</f>
        <v>370000</v>
      </c>
      <c r="C38" s="267">
        <f>'Sources and Uses Budget'!$C37</f>
        <v>370000</v>
      </c>
      <c r="D38" s="271">
        <f t="shared" si="0"/>
        <v>0</v>
      </c>
      <c r="E38" s="269"/>
      <c r="F38" s="268"/>
    </row>
    <row r="39" spans="1:6" s="353" customFormat="1">
      <c r="A39" s="272" t="s">
        <v>143</v>
      </c>
      <c r="B39" s="271">
        <f>SUM(B30:B38)</f>
        <v>53117688</v>
      </c>
      <c r="C39" s="271">
        <f>SUM(C30:C38)</f>
        <v>53117688</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2538312</v>
      </c>
      <c r="C41" s="267">
        <f>'Sources and Uses Budget'!$C40</f>
        <v>2538312</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2538312</v>
      </c>
      <c r="C43" s="271">
        <f>SUM(C41:C42)</f>
        <v>2538312</v>
      </c>
      <c r="D43" s="271">
        <f t="shared" si="0"/>
        <v>0</v>
      </c>
      <c r="E43" s="269"/>
      <c r="F43" s="268"/>
    </row>
    <row r="44" spans="1:6" s="353" customFormat="1">
      <c r="A44" s="272" t="s">
        <v>148</v>
      </c>
      <c r="B44" s="267">
        <f>'Sources and Uses Budget'!$C43</f>
        <v>620000</v>
      </c>
      <c r="C44" s="267">
        <f>'Sources and Uses Budget'!$C43</f>
        <v>620000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4802863</v>
      </c>
      <c r="C46" s="267">
        <f>'Sources and Uses Budget'!$C45</f>
        <v>4802863</v>
      </c>
      <c r="D46" s="271">
        <f t="shared" si="0"/>
        <v>0</v>
      </c>
      <c r="E46" s="269"/>
      <c r="F46" s="268"/>
    </row>
    <row r="47" spans="1:6" s="353" customFormat="1">
      <c r="A47" s="145" t="s">
        <v>151</v>
      </c>
      <c r="B47" s="267">
        <f>'Sources and Uses Budget'!$C46</f>
        <v>357580</v>
      </c>
      <c r="C47" s="267">
        <f>'Sources and Uses Budget'!$C46</f>
        <v>357580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241775</v>
      </c>
      <c r="C50" s="267">
        <f>'Sources and Uses Budget'!$C49</f>
        <v>241775</v>
      </c>
      <c r="D50" s="271">
        <f t="shared" si="0"/>
        <v>0</v>
      </c>
      <c r="E50" s="269"/>
      <c r="F50" s="268"/>
    </row>
    <row r="51" spans="1:6" s="353" customFormat="1">
      <c r="A51" s="145" t="s">
        <v>156</v>
      </c>
      <c r="B51" s="267">
        <f>'Sources and Uses Budget'!$C50</f>
        <v>80000</v>
      </c>
      <c r="C51" s="267">
        <f>'Sources and Uses Budget'!$C50</f>
        <v>80000</v>
      </c>
      <c r="D51" s="271">
        <f t="shared" si="0"/>
        <v>0</v>
      </c>
      <c r="E51" s="269"/>
      <c r="F51" s="268"/>
    </row>
    <row r="52" spans="1:6" s="353" customFormat="1">
      <c r="A52" s="284" t="s">
        <v>154</v>
      </c>
      <c r="B52" s="267">
        <f>'Sources and Uses Budget'!$C51</f>
        <v>38000</v>
      </c>
      <c r="C52" s="267">
        <f>'Sources and Uses Budget'!$C51</f>
        <v>38000</v>
      </c>
      <c r="D52" s="271">
        <f t="shared" si="0"/>
        <v>0</v>
      </c>
      <c r="E52" s="269"/>
      <c r="F52" s="268"/>
    </row>
    <row r="53" spans="1:6" s="353" customFormat="1">
      <c r="A53" s="145" t="s">
        <v>155</v>
      </c>
      <c r="B53" s="267">
        <f>'Sources and Uses Budget'!$C52</f>
        <v>850000</v>
      </c>
      <c r="C53" s="267">
        <f>'Sources and Uses Budget'!$C52</f>
        <v>850000</v>
      </c>
      <c r="D53" s="271">
        <f t="shared" si="0"/>
        <v>0</v>
      </c>
      <c r="E53" s="269"/>
      <c r="F53" s="268"/>
    </row>
    <row r="54" spans="1:6" s="353" customFormat="1">
      <c r="A54" s="155" t="str">
        <f>'Sources and Uses Budget'!A53</f>
        <v>Other: Accrued Deferred Interest</v>
      </c>
      <c r="B54" s="267">
        <f>'Sources and Uses Budget'!$C53</f>
        <v>1233143</v>
      </c>
      <c r="C54" s="267">
        <f>'Sources and Uses Budget'!$C53</f>
        <v>1233143</v>
      </c>
      <c r="D54" s="271">
        <f t="shared" si="0"/>
        <v>0</v>
      </c>
      <c r="E54" s="269"/>
      <c r="F54" s="268"/>
    </row>
    <row r="55" spans="1:6" s="354" customFormat="1">
      <c r="A55" s="272" t="s">
        <v>157</v>
      </c>
      <c r="B55" s="274">
        <f>SUM(B46:B54)</f>
        <v>7603361</v>
      </c>
      <c r="C55" s="274">
        <f>SUM(C46:C54)</f>
        <v>7603361</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15000</v>
      </c>
      <c r="C59" s="267">
        <f>'Sources and Uses Budget'!$C58</f>
        <v>15000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300</v>
      </c>
      <c r="B63" s="271">
        <f>SUM(B57:B62)</f>
        <v>15000</v>
      </c>
      <c r="C63" s="271">
        <f>SUM(C57:C62)</f>
        <v>15000</v>
      </c>
      <c r="D63" s="271">
        <f t="shared" si="0"/>
        <v>0</v>
      </c>
      <c r="E63" s="269"/>
      <c r="F63" s="268"/>
    </row>
    <row r="64" spans="1:6" s="353" customFormat="1">
      <c r="A64" s="275" t="s">
        <v>301</v>
      </c>
      <c r="B64" s="271">
        <f>SUM(B9+B12+B14+B15+B17+B26+B28+B39+B43+B44+B55+B63)</f>
        <v>65969361</v>
      </c>
      <c r="C64" s="271">
        <f>SUM(C9+C12+C14+C15+C17+C26+C28+C39+C43+C44+C55+C63)</f>
        <v>65969361</v>
      </c>
      <c r="D64" s="271">
        <f t="shared" si="0"/>
        <v>0</v>
      </c>
      <c r="E64" s="269"/>
      <c r="F64" s="268"/>
    </row>
    <row r="65" spans="1:6" s="353" customFormat="1" ht="24">
      <c r="A65" s="141" t="s">
        <v>1644</v>
      </c>
      <c r="B65" s="265"/>
      <c r="C65" s="265"/>
      <c r="D65" s="265"/>
      <c r="E65" s="283"/>
      <c r="F65" s="265"/>
    </row>
    <row r="66" spans="1:6" s="353" customFormat="1">
      <c r="A66" s="145" t="s">
        <v>170</v>
      </c>
      <c r="B66" s="267">
        <f>'Sources and Uses Budget'!$C65</f>
        <v>65000</v>
      </c>
      <c r="C66" s="267">
        <f>'Sources and Uses Budget'!$C65</f>
        <v>65000</v>
      </c>
      <c r="D66" s="271">
        <f t="shared" si="0"/>
        <v>0</v>
      </c>
      <c r="E66" s="269"/>
      <c r="F66" s="268"/>
    </row>
    <row r="67" spans="1:6" s="353" customFormat="1" ht="24">
      <c r="A67" s="284" t="s">
        <v>1641</v>
      </c>
      <c r="B67" s="267">
        <f>'Sources and Uses Budget'!$C66</f>
        <v>0</v>
      </c>
      <c r="C67" s="267">
        <f>'Sources and Uses Budget'!$C66</f>
        <v>0</v>
      </c>
      <c r="D67" s="271"/>
      <c r="E67" s="269"/>
      <c r="F67" s="268"/>
    </row>
    <row r="68" spans="1:6" s="353" customFormat="1" ht="24">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Owner Legal - Construction + Perm</v>
      </c>
      <c r="B70" s="267">
        <f>'Sources and Uses Budget'!$C69</f>
        <v>55000</v>
      </c>
      <c r="C70" s="267">
        <f>'Sources and Uses Budget'!$C69</f>
        <v>55000</v>
      </c>
      <c r="D70" s="271">
        <f t="shared" si="0"/>
        <v>0</v>
      </c>
      <c r="E70" s="269"/>
      <c r="F70" s="268"/>
    </row>
    <row r="71" spans="1:6" s="353" customFormat="1">
      <c r="A71" s="149" t="s">
        <v>1645</v>
      </c>
      <c r="B71" s="271">
        <f>SUM(B66:B70)</f>
        <v>120000</v>
      </c>
      <c r="C71" s="271">
        <f>SUM(C66:C70)</f>
        <v>120000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205708</v>
      </c>
      <c r="C74" s="267">
        <f>'Sources and Uses Budget'!$C73</f>
        <v>205708</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611743</v>
      </c>
      <c r="C76" s="267">
        <f>'Sources and Uses Budget'!$C75</f>
        <v>611743</v>
      </c>
      <c r="D76" s="271">
        <f t="shared" si="0"/>
        <v>0</v>
      </c>
      <c r="E76" s="269"/>
      <c r="F76" s="268"/>
    </row>
    <row r="77" spans="1:6" s="353" customFormat="1">
      <c r="A77" s="273" t="s">
        <v>34</v>
      </c>
      <c r="B77" s="267">
        <f>'Sources and Uses Budget'!$C76</f>
        <v>1868884</v>
      </c>
      <c r="C77" s="267">
        <f>'Sources and Uses Budget'!$C76</f>
        <v>1868884</v>
      </c>
      <c r="D77" s="271">
        <f t="shared" si="0"/>
        <v>0</v>
      </c>
      <c r="E77" s="269"/>
      <c r="F77" s="268"/>
    </row>
    <row r="78" spans="1:6" s="353" customFormat="1">
      <c r="A78" s="272" t="s">
        <v>606</v>
      </c>
      <c r="B78" s="271">
        <f>SUM(B73:B77)</f>
        <v>2686335</v>
      </c>
      <c r="C78" s="271">
        <f>SUM(C73:C77)</f>
        <v>2686335</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5311769</v>
      </c>
      <c r="C80" s="267">
        <f>'Sources and Uses Budget'!$C79</f>
        <v>5311769</v>
      </c>
      <c r="D80" s="271">
        <f t="shared" si="1"/>
        <v>0</v>
      </c>
      <c r="E80" s="269"/>
      <c r="F80" s="268"/>
    </row>
    <row r="81" spans="1:6" s="353" customFormat="1">
      <c r="A81" s="511" t="s">
        <v>58</v>
      </c>
      <c r="B81" s="267">
        <f>'Sources and Uses Budget'!$C80</f>
        <v>799299</v>
      </c>
      <c r="C81" s="267">
        <f>'Sources and Uses Budget'!$C80</f>
        <v>799299</v>
      </c>
      <c r="D81" s="271">
        <f>C81-B81</f>
        <v>0</v>
      </c>
      <c r="E81" s="269"/>
      <c r="F81" s="268"/>
    </row>
    <row r="82" spans="1:6" s="353" customFormat="1">
      <c r="A82" s="272" t="s">
        <v>1209</v>
      </c>
      <c r="B82" s="271">
        <f>SUM(B80:B81)</f>
        <v>6111068</v>
      </c>
      <c r="C82" s="271">
        <f>SUM(C80:C81)</f>
        <v>6111068</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108839</v>
      </c>
      <c r="C84" s="267">
        <f>'Sources and Uses Budget'!$C83</f>
        <v>108839</v>
      </c>
      <c r="D84" s="271">
        <f t="shared" si="1"/>
        <v>0</v>
      </c>
      <c r="E84" s="269"/>
      <c r="F84" s="268"/>
    </row>
    <row r="85" spans="1:6" s="353" customFormat="1">
      <c r="A85" s="270" t="s">
        <v>767</v>
      </c>
      <c r="B85" s="267">
        <f>'Sources and Uses Budget'!$C84</f>
        <v>50000</v>
      </c>
      <c r="C85" s="267">
        <f>'Sources and Uses Budget'!$C84</f>
        <v>50000</v>
      </c>
      <c r="D85" s="271">
        <f t="shared" si="1"/>
        <v>0</v>
      </c>
      <c r="E85" s="269"/>
      <c r="F85" s="268"/>
    </row>
    <row r="86" spans="1:6" s="353" customFormat="1">
      <c r="A86" s="270" t="s">
        <v>768</v>
      </c>
      <c r="B86" s="267">
        <f>'Sources and Uses Budget'!$C85</f>
        <v>470930</v>
      </c>
      <c r="C86" s="267">
        <f>'Sources and Uses Budget'!$C85</f>
        <v>470930</v>
      </c>
      <c r="D86" s="271">
        <f t="shared" si="1"/>
        <v>0</v>
      </c>
      <c r="E86" s="269"/>
      <c r="F86" s="268"/>
    </row>
    <row r="87" spans="1:6" s="353" customFormat="1">
      <c r="A87" s="270" t="s">
        <v>769</v>
      </c>
      <c r="B87" s="267">
        <f>'Sources and Uses Budget'!$C86</f>
        <v>1258930</v>
      </c>
      <c r="C87" s="267">
        <f>'Sources and Uses Budget'!$C86</f>
        <v>1258930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450000</v>
      </c>
      <c r="C89" s="267">
        <f>'Sources and Uses Budget'!$C88</f>
        <v>450000</v>
      </c>
      <c r="D89" s="271">
        <f t="shared" si="1"/>
        <v>0</v>
      </c>
      <c r="E89" s="269"/>
      <c r="F89" s="268"/>
    </row>
    <row r="90" spans="1:6" s="353" customFormat="1">
      <c r="A90" s="270" t="s">
        <v>772</v>
      </c>
      <c r="B90" s="267">
        <f>'Sources and Uses Budget'!$C89</f>
        <v>150000</v>
      </c>
      <c r="C90" s="267">
        <f>'Sources and Uses Budget'!$C89</f>
        <v>150000</v>
      </c>
      <c r="D90" s="271">
        <f t="shared" si="1"/>
        <v>0</v>
      </c>
      <c r="E90" s="269"/>
      <c r="F90" s="268"/>
    </row>
    <row r="91" spans="1:6" s="353" customFormat="1">
      <c r="A91" s="270" t="s">
        <v>773</v>
      </c>
      <c r="B91" s="267">
        <f>'Sources and Uses Budget'!$C90</f>
        <v>16000</v>
      </c>
      <c r="C91" s="267">
        <f>'Sources and Uses Budget'!$C90</f>
        <v>16000</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1211</v>
      </c>
      <c r="B93" s="267">
        <f>'Sources and Uses Budget'!$C92</f>
        <v>15000</v>
      </c>
      <c r="C93" s="267">
        <f>'Sources and Uses Budget'!$C92</f>
        <v>15000</v>
      </c>
      <c r="D93" s="271">
        <f t="shared" si="1"/>
        <v>0</v>
      </c>
      <c r="E93" s="269"/>
      <c r="F93" s="268"/>
    </row>
    <row r="94" spans="1:6" s="353" customFormat="1">
      <c r="A94" s="273" t="s">
        <v>34</v>
      </c>
      <c r="B94" s="267">
        <f>'Sources and Uses Budget'!$C93</f>
        <v>140000</v>
      </c>
      <c r="C94" s="267">
        <f>'Sources and Uses Budget'!$C93</f>
        <v>140000</v>
      </c>
      <c r="D94" s="271">
        <f t="shared" si="1"/>
        <v>0</v>
      </c>
      <c r="E94" s="269"/>
      <c r="F94" s="268"/>
    </row>
    <row r="95" spans="1:6" s="353" customFormat="1">
      <c r="A95" s="273" t="s">
        <v>34</v>
      </c>
      <c r="B95" s="267">
        <f>'Sources and Uses Budget'!$C94</f>
        <v>1100000</v>
      </c>
      <c r="C95" s="267">
        <f>'Sources and Uses Budget'!$C94</f>
        <v>1100000</v>
      </c>
      <c r="D95" s="271">
        <f t="shared" si="1"/>
        <v>0</v>
      </c>
      <c r="E95" s="269"/>
      <c r="F95" s="268"/>
    </row>
    <row r="96" spans="1:6" s="353" customFormat="1">
      <c r="A96" s="273" t="s">
        <v>34</v>
      </c>
      <c r="B96" s="267">
        <f>'Sources and Uses Budget'!$C95</f>
        <v>400000</v>
      </c>
      <c r="C96" s="267">
        <f>'Sources and Uses Budget'!$C95</f>
        <v>400000</v>
      </c>
      <c r="D96" s="271">
        <f t="shared" si="1"/>
        <v>0</v>
      </c>
      <c r="E96" s="269"/>
      <c r="F96" s="268"/>
    </row>
    <row r="97" spans="1:6" s="353" customFormat="1">
      <c r="A97" s="272" t="s">
        <v>774</v>
      </c>
      <c r="B97" s="271">
        <f>SUM(B84:B96)</f>
        <v>4159699</v>
      </c>
      <c r="C97" s="271">
        <f>SUM(C84:C96)</f>
        <v>4159699</v>
      </c>
      <c r="D97" s="271">
        <f t="shared" si="1"/>
        <v>0</v>
      </c>
      <c r="E97" s="269"/>
      <c r="F97" s="268"/>
    </row>
    <row r="98" spans="1:6" s="353" customFormat="1">
      <c r="A98" s="272" t="s">
        <v>775</v>
      </c>
      <c r="B98" s="271">
        <f>SUM(B64+B71+B78+B82+B97)</f>
        <v>79046463</v>
      </c>
      <c r="C98" s="271">
        <f>SUM(C64+C71+C78+C82+C97)</f>
        <v>79046463</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7000000</v>
      </c>
      <c r="C100" s="267">
        <f>'Sources and Uses Budget'!$C99</f>
        <v>7000000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7000000</v>
      </c>
      <c r="C105" s="271">
        <f>SUM(C100:C104)</f>
        <v>7000000</v>
      </c>
      <c r="D105" s="271">
        <f t="shared" si="1"/>
        <v>0</v>
      </c>
      <c r="E105" s="269"/>
      <c r="F105" s="268"/>
    </row>
    <row r="106" spans="1:6" s="353" customFormat="1">
      <c r="A106" s="272" t="s">
        <v>780</v>
      </c>
      <c r="B106" s="274">
        <f>SUM(B98+B105)</f>
        <v>86046463</v>
      </c>
      <c r="C106" s="274">
        <f>SUM(C98+C105)</f>
        <v>86046463</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sqref="A1:J1"/>
    </sheetView>
  </sheetViews>
  <sheetFormatPr defaultColWidth="0" defaultRowHeight="12.75" customHeight="1" zeroHeight="1"/>
  <cols>
    <col min="1" max="10" width="10.7109375" style="403" customWidth="1"/>
    <col min="11" max="16384" width="8.85546875" style="403" hidden="1"/>
  </cols>
  <sheetData>
    <row r="1" spans="1:10" ht="15.75">
      <c r="A1" s="1289" t="s">
        <v>1869</v>
      </c>
      <c r="B1" s="1290"/>
      <c r="C1" s="1290"/>
      <c r="D1" s="1290"/>
      <c r="E1" s="1290"/>
      <c r="F1" s="1290"/>
      <c r="G1" s="1290"/>
      <c r="H1" s="1290"/>
      <c r="I1" s="1290"/>
      <c r="J1" s="1290"/>
    </row>
    <row r="2" spans="1:10" ht="15">
      <c r="A2" s="1293" t="s">
        <v>1268</v>
      </c>
      <c r="B2" s="1294"/>
      <c r="C2" s="1294"/>
      <c r="D2" s="1294"/>
      <c r="E2" s="1294"/>
      <c r="F2" s="1294"/>
      <c r="G2" s="1294"/>
      <c r="H2" s="1294"/>
      <c r="I2" s="1294"/>
      <c r="J2" s="1294"/>
    </row>
    <row r="3" spans="1:10"/>
    <row r="4" spans="1:10" ht="12.75" customHeight="1">
      <c r="A4" s="1291" t="s">
        <v>2048</v>
      </c>
      <c r="B4" s="1291"/>
      <c r="C4" s="1291"/>
      <c r="D4" s="1291"/>
      <c r="E4" s="1291"/>
      <c r="F4" s="1291"/>
      <c r="G4" s="1291"/>
      <c r="H4" s="1291"/>
      <c r="I4" s="1291"/>
      <c r="J4" s="1291"/>
    </row>
    <row r="5" spans="1:10">
      <c r="A5" s="1291"/>
      <c r="B5" s="1291"/>
      <c r="C5" s="1291"/>
      <c r="D5" s="1291"/>
      <c r="E5" s="1291"/>
      <c r="F5" s="1291"/>
      <c r="G5" s="1291"/>
      <c r="H5" s="1291"/>
      <c r="I5" s="1291"/>
      <c r="J5" s="1291"/>
    </row>
    <row r="6" spans="1:10" ht="30" customHeight="1">
      <c r="A6" s="1291"/>
      <c r="B6" s="1291"/>
      <c r="C6" s="1291"/>
      <c r="D6" s="1291"/>
      <c r="E6" s="1291"/>
      <c r="F6" s="1291"/>
      <c r="G6" s="1291"/>
      <c r="H6" s="1291"/>
      <c r="I6" s="1291"/>
      <c r="J6" s="1291"/>
    </row>
    <row r="7" spans="1:10">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row r="10" spans="1:10" ht="12.75" customHeight="1">
      <c r="A10" s="1295" t="s">
        <v>1874</v>
      </c>
      <c r="B10" s="1295"/>
      <c r="C10" s="1295"/>
      <c r="D10" s="1295"/>
      <c r="E10" s="1295"/>
      <c r="F10" s="1295"/>
      <c r="G10" s="1295"/>
      <c r="H10" s="1295"/>
      <c r="I10" s="1295"/>
      <c r="J10" s="1295"/>
    </row>
    <row r="11" spans="1:10">
      <c r="A11" s="1295"/>
      <c r="B11" s="1295"/>
      <c r="C11" s="1295"/>
      <c r="D11" s="1295"/>
      <c r="E11" s="1295"/>
      <c r="F11" s="1295"/>
      <c r="G11" s="1295"/>
      <c r="H11" s="1295"/>
      <c r="I11" s="1295"/>
      <c r="J11" s="1295"/>
    </row>
    <row r="12" spans="1:10">
      <c r="A12" s="1295"/>
      <c r="B12" s="1295"/>
      <c r="C12" s="1295"/>
      <c r="D12" s="1295"/>
      <c r="E12" s="1295"/>
      <c r="F12" s="1295"/>
      <c r="G12" s="1295"/>
      <c r="H12" s="1295"/>
      <c r="I12" s="1295"/>
      <c r="J12" s="1295"/>
    </row>
    <row r="13" spans="1:10">
      <c r="A13" s="1295"/>
      <c r="B13" s="1295"/>
      <c r="C13" s="1295"/>
      <c r="D13" s="1295"/>
      <c r="E13" s="1295"/>
      <c r="F13" s="1295"/>
      <c r="G13" s="1295"/>
      <c r="H13" s="1295"/>
      <c r="I13" s="1295"/>
      <c r="J13" s="1295"/>
    </row>
    <row r="14" spans="1:10">
      <c r="A14" s="1295"/>
      <c r="B14" s="1295"/>
      <c r="C14" s="1295"/>
      <c r="D14" s="1295"/>
      <c r="E14" s="1295"/>
      <c r="F14" s="1295"/>
      <c r="G14" s="1295"/>
      <c r="H14" s="1295"/>
      <c r="I14" s="1295"/>
      <c r="J14" s="1295"/>
    </row>
    <row r="15" spans="1:10">
      <c r="A15" s="1295"/>
      <c r="B15" s="1295"/>
      <c r="C15" s="1295"/>
      <c r="D15" s="1295"/>
      <c r="E15" s="1295"/>
      <c r="F15" s="1295"/>
      <c r="G15" s="1295"/>
      <c r="H15" s="1295"/>
      <c r="I15" s="1295"/>
      <c r="J15" s="1295"/>
    </row>
    <row r="16" spans="1:10">
      <c r="A16" s="525"/>
      <c r="B16" s="525"/>
      <c r="C16" s="525"/>
      <c r="D16" s="525"/>
      <c r="E16" s="525"/>
      <c r="F16" s="525"/>
      <c r="G16" s="525"/>
      <c r="H16" s="525"/>
      <c r="I16" s="525"/>
      <c r="J16" s="525"/>
    </row>
    <row r="17" spans="1:10">
      <c r="A17" s="477" t="s">
        <v>1873</v>
      </c>
      <c r="B17" s="417"/>
      <c r="C17" s="417"/>
      <c r="D17" s="417"/>
      <c r="E17" s="417"/>
      <c r="F17" s="417"/>
      <c r="G17" s="417"/>
      <c r="H17" s="417"/>
      <c r="I17" s="417"/>
      <c r="J17" s="417"/>
    </row>
    <row r="18" spans="1:10">
      <c r="A18" s="417" t="s">
        <v>249</v>
      </c>
      <c r="B18" s="417"/>
      <c r="C18" s="417"/>
      <c r="D18" s="417"/>
      <c r="E18" s="417"/>
      <c r="F18" s="417"/>
      <c r="G18" s="417"/>
      <c r="H18" s="417"/>
      <c r="I18" s="417"/>
      <c r="J18" s="417"/>
    </row>
    <row r="19" spans="1:10">
      <c r="A19" s="1294" t="s">
        <v>1189</v>
      </c>
      <c r="B19" s="1294"/>
      <c r="C19" s="1294"/>
      <c r="D19" s="1294"/>
      <c r="E19" s="1294"/>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91" t="s">
        <v>1190</v>
      </c>
      <c r="B56" s="1291"/>
      <c r="C56" s="1291"/>
      <c r="D56" s="1291"/>
      <c r="E56" s="1291"/>
      <c r="F56" s="1291"/>
      <c r="G56" s="1291"/>
      <c r="H56" s="1291"/>
      <c r="I56" s="1291"/>
      <c r="J56" s="1291"/>
    </row>
    <row r="57" spans="1:10">
      <c r="A57" s="1291"/>
      <c r="B57" s="1291"/>
      <c r="C57" s="1291"/>
      <c r="D57" s="1291"/>
      <c r="E57" s="1291"/>
      <c r="F57" s="1291"/>
      <c r="G57" s="1291"/>
      <c r="H57" s="1291"/>
      <c r="I57" s="1291"/>
      <c r="J57" s="1291"/>
    </row>
    <row r="58" spans="1:10">
      <c r="A58" s="1291"/>
      <c r="B58" s="1291"/>
      <c r="C58" s="1291"/>
      <c r="D58" s="1291"/>
      <c r="E58" s="1291"/>
      <c r="F58" s="1291"/>
      <c r="G58" s="1291"/>
      <c r="H58" s="1291"/>
      <c r="I58" s="1291"/>
      <c r="J58" s="1291"/>
    </row>
    <row r="59" spans="1:10"/>
    <row r="60" spans="1:10">
      <c r="A60" s="403" t="s">
        <v>1189</v>
      </c>
    </row>
    <row r="61" spans="1:10"/>
    <row r="62" spans="1:10"/>
    <row r="63" spans="1:10"/>
    <row r="64" spans="1:10"/>
    <row r="65" spans="1:9"/>
    <row r="66" spans="1:9"/>
    <row r="67" spans="1:9"/>
    <row r="68" spans="1:9"/>
    <row r="69" spans="1:9"/>
    <row r="70" spans="1:9"/>
    <row r="71" spans="1:9">
      <c r="A71" s="1292" t="s">
        <v>1870</v>
      </c>
      <c r="B71" s="1292"/>
      <c r="C71" s="1292"/>
      <c r="D71" s="1292"/>
      <c r="E71" s="1292"/>
      <c r="F71" s="1292"/>
      <c r="G71" s="1292"/>
      <c r="H71" s="1292"/>
      <c r="I71" s="1292"/>
    </row>
    <row r="72" spans="1:9">
      <c r="A72" s="1282" t="s">
        <v>2046</v>
      </c>
      <c r="B72" s="1282"/>
      <c r="C72" s="1282"/>
      <c r="D72" s="1282"/>
      <c r="E72" s="1282"/>
    </row>
    <row r="73" spans="1:9">
      <c r="A73" s="1282" t="s">
        <v>2047</v>
      </c>
      <c r="B73" s="1282"/>
      <c r="C73" s="1282"/>
      <c r="D73" s="1282"/>
      <c r="E73" s="1282"/>
    </row>
    <row r="74" spans="1:9">
      <c r="A74" s="1282" t="s">
        <v>1871</v>
      </c>
      <c r="B74" s="1282"/>
      <c r="C74" s="1282"/>
      <c r="D74" s="1282"/>
      <c r="E74" s="1282"/>
    </row>
    <row r="75" spans="1:9"/>
    <row r="76" spans="1:9"/>
    <row r="77" spans="1:9"/>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topLeftCell="A704" workbookViewId="0">
      <selection activeCell="D774" sqref="D774:F775"/>
    </sheetView>
  </sheetViews>
  <sheetFormatPr defaultColWidth="0" defaultRowHeight="12.75" zeroHeight="1"/>
  <cols>
    <col min="1" max="1" width="3.42578125" style="481" customWidth="1"/>
    <col min="2" max="2" width="13.42578125" style="481" customWidth="1"/>
    <col min="3" max="3" width="2.42578125" style="481" customWidth="1"/>
    <col min="4" max="5" width="3.42578125" style="403" customWidth="1"/>
    <col min="6" max="6" width="65.42578125" style="403" customWidth="1"/>
    <col min="7" max="7" width="1.42578125" style="403" customWidth="1"/>
    <col min="8" max="8" width="3.42578125" style="403" customWidth="1"/>
    <col min="9" max="9" width="9.140625" style="405" customWidth="1"/>
    <col min="10" max="10" width="8.85546875" style="403" hidden="1" customWidth="1"/>
    <col min="11" max="16384" width="8.85546875" style="403" hidden="1"/>
  </cols>
  <sheetData>
    <row r="1" spans="1:13"/>
    <row r="2" spans="1:13">
      <c r="A2" s="1296" t="s">
        <v>2461</v>
      </c>
      <c r="B2" s="1296"/>
      <c r="C2" s="1296"/>
      <c r="D2" s="1296"/>
      <c r="E2" s="1296"/>
      <c r="F2" s="1296"/>
      <c r="G2" s="1296"/>
      <c r="H2" s="1296"/>
      <c r="I2" s="1296"/>
    </row>
    <row r="3" spans="1:13">
      <c r="A3" s="1297" t="s">
        <v>2220</v>
      </c>
      <c r="B3" s="1297"/>
      <c r="C3" s="1297"/>
      <c r="D3" s="1297"/>
      <c r="E3" s="1297"/>
      <c r="F3" s="1297"/>
      <c r="G3" s="1297"/>
      <c r="H3" s="1297"/>
      <c r="I3" s="1297"/>
    </row>
    <row r="4" spans="1:13">
      <c r="A4" s="1297"/>
      <c r="B4" s="1297"/>
      <c r="C4" s="1294"/>
      <c r="D4" s="1294"/>
      <c r="E4" s="1294"/>
      <c r="F4" s="1294"/>
      <c r="G4" s="1294"/>
    </row>
    <row r="5" spans="1:13">
      <c r="A5" s="1297"/>
      <c r="B5" s="1297"/>
      <c r="C5" s="1294"/>
      <c r="D5" s="1294"/>
      <c r="E5" s="1294"/>
      <c r="F5" s="1294"/>
      <c r="G5" s="1294"/>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1" t="s">
        <v>1101</v>
      </c>
      <c r="B9" s="1301"/>
      <c r="C9" s="1301"/>
      <c r="D9" s="1301"/>
      <c r="E9" s="1301"/>
      <c r="F9" s="1301"/>
      <c r="G9" s="1301"/>
      <c r="H9" s="1029"/>
      <c r="I9" s="1030"/>
    </row>
    <row r="10" spans="1:13">
      <c r="A10" s="483"/>
      <c r="B10" s="483"/>
      <c r="E10" s="405"/>
    </row>
    <row r="11" spans="1:13" ht="13.7" customHeight="1">
      <c r="C11" s="483"/>
      <c r="D11" s="1320" t="s">
        <v>1100</v>
      </c>
      <c r="E11" s="1320"/>
      <c r="F11" s="1320"/>
    </row>
    <row r="12" spans="1:13">
      <c r="C12" s="483"/>
      <c r="D12" s="1320"/>
      <c r="E12" s="1320"/>
      <c r="F12" s="1320"/>
    </row>
    <row r="13" spans="1:13">
      <c r="A13" s="484"/>
      <c r="B13" s="484"/>
      <c r="C13" s="484"/>
      <c r="D13" s="1299" t="s">
        <v>1090</v>
      </c>
      <c r="E13" s="1299"/>
      <c r="F13" s="1299"/>
      <c r="M13" s="96"/>
    </row>
    <row r="14" spans="1:13">
      <c r="A14" s="484"/>
      <c r="B14" s="484"/>
      <c r="C14" s="484"/>
      <c r="D14" s="477"/>
      <c r="L14" s="313"/>
    </row>
    <row r="15" spans="1:13" ht="14.25">
      <c r="A15" s="485"/>
      <c r="B15" s="486" t="s">
        <v>2730</v>
      </c>
      <c r="C15" s="484"/>
      <c r="D15" s="1298" t="s">
        <v>1922</v>
      </c>
      <c r="E15" s="1298"/>
      <c r="F15" s="1298"/>
      <c r="I15" s="491"/>
    </row>
    <row r="16" spans="1:13">
      <c r="A16" s="484"/>
      <c r="B16" s="484"/>
      <c r="C16" s="484"/>
      <c r="D16" s="1298"/>
      <c r="E16" s="1298"/>
      <c r="F16" s="1298"/>
      <c r="I16" s="491"/>
    </row>
    <row r="17" spans="1:9">
      <c r="A17" s="484"/>
      <c r="B17" s="484"/>
      <c r="C17" s="484"/>
      <c r="D17" s="1298"/>
      <c r="E17" s="1298"/>
      <c r="F17" s="1298"/>
      <c r="I17" s="491"/>
    </row>
    <row r="18" spans="1:9">
      <c r="A18" s="484"/>
      <c r="B18" s="484"/>
      <c r="C18" s="484"/>
      <c r="D18" s="446"/>
      <c r="E18" s="313" t="s">
        <v>1920</v>
      </c>
      <c r="F18" s="446"/>
      <c r="I18" s="491"/>
    </row>
    <row r="19" spans="1:9">
      <c r="A19" s="484"/>
      <c r="B19" s="484"/>
      <c r="C19" s="484"/>
      <c r="I19" s="491"/>
    </row>
    <row r="20" spans="1:9" ht="14.25">
      <c r="A20" s="485"/>
      <c r="B20" s="486" t="s">
        <v>2730</v>
      </c>
      <c r="D20" s="1298" t="s">
        <v>1923</v>
      </c>
      <c r="E20" s="1298"/>
      <c r="F20" s="1298"/>
      <c r="I20" s="491"/>
    </row>
    <row r="21" spans="1:9" ht="14.25">
      <c r="A21" s="485"/>
      <c r="D21" s="1298"/>
      <c r="E21" s="1298"/>
      <c r="F21" s="1298"/>
      <c r="I21" s="491"/>
    </row>
    <row r="22" spans="1:9" ht="14.25">
      <c r="A22" s="485"/>
      <c r="D22" s="393"/>
      <c r="E22" s="96" t="s">
        <v>1919</v>
      </c>
      <c r="F22" s="393"/>
      <c r="I22" s="491"/>
    </row>
    <row r="23" spans="1:9" ht="14.25">
      <c r="A23" s="485"/>
      <c r="B23" s="485"/>
      <c r="D23" s="447"/>
      <c r="I23" s="491"/>
    </row>
    <row r="24" spans="1:9" ht="14.25">
      <c r="A24" s="485"/>
      <c r="B24" s="486" t="s">
        <v>2731</v>
      </c>
      <c r="D24" s="1298" t="s">
        <v>1091</v>
      </c>
      <c r="E24" s="1298"/>
      <c r="F24" s="1298"/>
      <c r="I24" s="491"/>
    </row>
    <row r="25" spans="1:9" ht="14.25">
      <c r="A25" s="485"/>
      <c r="B25" s="485"/>
      <c r="D25" s="1298"/>
      <c r="E25" s="1298"/>
      <c r="F25" s="1298"/>
      <c r="I25" s="491"/>
    </row>
    <row r="26" spans="1:9">
      <c r="I26" s="491"/>
    </row>
    <row r="27" spans="1:9" ht="14.25">
      <c r="A27" s="485"/>
      <c r="B27" s="486" t="s">
        <v>2730</v>
      </c>
      <c r="D27" s="1298" t="s">
        <v>2049</v>
      </c>
      <c r="E27" s="1298"/>
      <c r="F27" s="1298"/>
      <c r="I27" s="491"/>
    </row>
    <row r="28" spans="1:9">
      <c r="D28" s="1298"/>
      <c r="E28" s="1298"/>
      <c r="F28" s="1298"/>
      <c r="I28" s="491"/>
    </row>
    <row r="29" spans="1:9">
      <c r="D29" s="1298"/>
      <c r="E29" s="1298"/>
      <c r="F29" s="1298"/>
      <c r="I29" s="491"/>
    </row>
    <row r="30" spans="1:9">
      <c r="D30" s="1298"/>
      <c r="E30" s="1298"/>
      <c r="F30" s="1298"/>
      <c r="I30" s="491"/>
    </row>
    <row r="31" spans="1:9">
      <c r="D31" s="1298"/>
      <c r="E31" s="1298"/>
      <c r="F31" s="1298"/>
      <c r="I31" s="491"/>
    </row>
    <row r="32" spans="1:9">
      <c r="D32" s="448"/>
      <c r="I32" s="491"/>
    </row>
    <row r="33" spans="1:9">
      <c r="B33" s="486" t="s">
        <v>2730</v>
      </c>
      <c r="D33" s="1298" t="s">
        <v>2050</v>
      </c>
      <c r="E33" s="1298"/>
      <c r="F33" s="1298"/>
      <c r="I33" s="491"/>
    </row>
    <row r="34" spans="1:9">
      <c r="D34" s="1298"/>
      <c r="E34" s="1298"/>
      <c r="F34" s="1298"/>
      <c r="I34" s="491"/>
    </row>
    <row r="35" spans="1:9" ht="14.25">
      <c r="A35" s="485"/>
      <c r="B35" s="485"/>
      <c r="D35" s="448"/>
      <c r="I35" s="491"/>
    </row>
    <row r="36" spans="1:9" ht="14.45" customHeight="1">
      <c r="A36" s="485"/>
      <c r="B36" s="486" t="s">
        <v>2730</v>
      </c>
      <c r="D36" s="1298" t="s">
        <v>1214</v>
      </c>
      <c r="E36" s="1298"/>
      <c r="F36" s="1298"/>
      <c r="I36" s="491"/>
    </row>
    <row r="37" spans="1:9" ht="14.25">
      <c r="A37" s="485"/>
      <c r="B37" s="485"/>
      <c r="D37" s="1298"/>
      <c r="E37" s="1298"/>
      <c r="F37" s="1298"/>
      <c r="I37" s="491"/>
    </row>
    <row r="38" spans="1:9" ht="14.25">
      <c r="A38" s="485"/>
      <c r="B38" s="485"/>
      <c r="D38" s="1298"/>
      <c r="E38" s="1298"/>
      <c r="F38" s="1298"/>
      <c r="I38" s="491"/>
    </row>
    <row r="39" spans="1:9" ht="14.25">
      <c r="A39" s="485"/>
      <c r="B39" s="485"/>
      <c r="D39" s="1298"/>
      <c r="E39" s="1298"/>
      <c r="F39" s="1298"/>
      <c r="I39" s="491"/>
    </row>
    <row r="40" spans="1:9" ht="14.25">
      <c r="A40" s="485"/>
      <c r="B40" s="485"/>
      <c r="I40" s="491"/>
    </row>
    <row r="41" spans="1:9" ht="14.25">
      <c r="A41" s="485"/>
      <c r="B41" s="486" t="s">
        <v>2730</v>
      </c>
      <c r="D41" s="1298" t="s">
        <v>1092</v>
      </c>
      <c r="E41" s="1298"/>
      <c r="F41" s="1298"/>
      <c r="I41" s="491"/>
    </row>
    <row r="42" spans="1:9" ht="14.25">
      <c r="A42" s="485"/>
      <c r="B42" s="485"/>
      <c r="D42" s="1298"/>
      <c r="E42" s="1298"/>
      <c r="F42" s="1298"/>
      <c r="I42" s="491"/>
    </row>
    <row r="43" spans="1:9" ht="14.25">
      <c r="A43" s="485"/>
      <c r="B43" s="485"/>
      <c r="D43" s="1298"/>
      <c r="E43" s="1298"/>
      <c r="F43" s="1298"/>
      <c r="I43" s="491"/>
    </row>
    <row r="44" spans="1:9" ht="14.25">
      <c r="A44" s="485"/>
      <c r="B44" s="485"/>
      <c r="D44" s="1298"/>
      <c r="E44" s="1298"/>
      <c r="F44" s="1298"/>
      <c r="I44" s="491"/>
    </row>
    <row r="45" spans="1:9" ht="14.25">
      <c r="A45" s="485"/>
      <c r="B45" s="485"/>
      <c r="D45" s="1298"/>
      <c r="E45" s="1298"/>
      <c r="F45" s="1298"/>
      <c r="I45" s="491"/>
    </row>
    <row r="46" spans="1:9" ht="14.25">
      <c r="A46" s="485"/>
      <c r="B46" s="485"/>
      <c r="D46" s="446"/>
      <c r="E46" s="446"/>
      <c r="F46" s="446"/>
      <c r="I46" s="491"/>
    </row>
    <row r="47" spans="1:9" ht="14.25">
      <c r="A47" s="485"/>
      <c r="B47" s="486" t="s">
        <v>2730</v>
      </c>
      <c r="D47" s="1298" t="s">
        <v>1093</v>
      </c>
      <c r="E47" s="1298"/>
      <c r="F47" s="1298"/>
      <c r="I47" s="491"/>
    </row>
    <row r="48" spans="1:9" ht="14.25">
      <c r="A48" s="485"/>
      <c r="B48" s="485"/>
      <c r="D48" s="1298"/>
      <c r="E48" s="1298"/>
      <c r="F48" s="1298"/>
      <c r="I48" s="491"/>
    </row>
    <row r="49" spans="1:9" ht="14.25">
      <c r="A49" s="485"/>
      <c r="B49" s="485"/>
      <c r="D49" s="1298"/>
      <c r="E49" s="1298"/>
      <c r="F49" s="1298"/>
      <c r="I49" s="491"/>
    </row>
    <row r="50" spans="1:9" ht="23.25" customHeight="1">
      <c r="A50" s="485"/>
      <c r="B50" s="485"/>
      <c r="D50" s="1298"/>
      <c r="E50" s="1298"/>
      <c r="F50" s="1298"/>
      <c r="I50" s="491"/>
    </row>
    <row r="51" spans="1:9" ht="14.25">
      <c r="A51" s="485"/>
      <c r="B51" s="485"/>
      <c r="D51" s="447"/>
      <c r="I51" s="491"/>
    </row>
    <row r="52" spans="1:9" ht="14.45" customHeight="1">
      <c r="A52" s="485"/>
      <c r="B52" s="486" t="s">
        <v>2731</v>
      </c>
      <c r="D52" s="1298" t="s">
        <v>1094</v>
      </c>
      <c r="E52" s="1298"/>
      <c r="F52" s="1298"/>
      <c r="I52" s="491"/>
    </row>
    <row r="53" spans="1:9" ht="14.25">
      <c r="A53" s="485"/>
      <c r="B53" s="485"/>
      <c r="D53" s="1298"/>
      <c r="E53" s="1298"/>
      <c r="F53" s="1298"/>
      <c r="I53" s="491"/>
    </row>
    <row r="54" spans="1:9" ht="14.25">
      <c r="A54" s="485"/>
      <c r="B54" s="485"/>
      <c r="D54" s="1298"/>
      <c r="E54" s="1298"/>
      <c r="F54" s="1298"/>
      <c r="I54" s="491"/>
    </row>
    <row r="55" spans="1:9" ht="14.25">
      <c r="A55" s="485"/>
      <c r="B55" s="485"/>
      <c r="I55" s="491"/>
    </row>
    <row r="56" spans="1:9" ht="14.25">
      <c r="A56" s="485"/>
      <c r="B56" s="486" t="s">
        <v>2732</v>
      </c>
      <c r="D56" s="1322" t="s">
        <v>1095</v>
      </c>
      <c r="E56" s="1322"/>
      <c r="F56" s="1322"/>
      <c r="I56" s="491"/>
    </row>
    <row r="57" spans="1:9" ht="14.25">
      <c r="A57" s="485"/>
      <c r="B57" s="485"/>
      <c r="D57" s="1322"/>
      <c r="E57" s="1322"/>
      <c r="F57" s="1322"/>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2731</v>
      </c>
      <c r="D61" s="1298" t="s">
        <v>1096</v>
      </c>
      <c r="E61" s="1298"/>
      <c r="F61" s="1298"/>
      <c r="I61" s="491"/>
    </row>
    <row r="62" spans="1:9">
      <c r="D62" s="1298"/>
      <c r="E62" s="1298"/>
      <c r="F62" s="1298"/>
      <c r="I62" s="491"/>
    </row>
    <row r="63" spans="1:9">
      <c r="D63" s="1298"/>
      <c r="E63" s="1298"/>
      <c r="F63" s="1298"/>
      <c r="I63" s="491"/>
    </row>
    <row r="64" spans="1:9">
      <c r="I64" s="491"/>
    </row>
    <row r="65" spans="1:9" ht="14.25">
      <c r="A65" s="485"/>
      <c r="B65" s="486" t="s">
        <v>2731</v>
      </c>
      <c r="D65" s="1298" t="s">
        <v>1097</v>
      </c>
      <c r="E65" s="1298"/>
      <c r="F65" s="1298"/>
      <c r="I65" s="491"/>
    </row>
    <row r="66" spans="1:9">
      <c r="D66" s="1298"/>
      <c r="E66" s="1298"/>
      <c r="F66" s="1298"/>
      <c r="I66" s="491"/>
    </row>
    <row r="67" spans="1:9">
      <c r="I67" s="491"/>
    </row>
    <row r="68" spans="1:9" ht="14.25">
      <c r="A68" s="485"/>
      <c r="B68" s="486" t="s">
        <v>2730</v>
      </c>
      <c r="D68" s="1298" t="s">
        <v>1098</v>
      </c>
      <c r="E68" s="1298"/>
      <c r="F68" s="1298"/>
      <c r="I68" s="491"/>
    </row>
    <row r="69" spans="1:9">
      <c r="D69" s="1298"/>
      <c r="E69" s="1298"/>
      <c r="F69" s="1298"/>
      <c r="I69" s="491"/>
    </row>
    <row r="70" spans="1:9">
      <c r="D70" s="1298"/>
      <c r="E70" s="1298"/>
      <c r="F70" s="1298"/>
      <c r="I70" s="491"/>
    </row>
    <row r="71" spans="1:9">
      <c r="I71" s="491"/>
    </row>
    <row r="72" spans="1:9" ht="14.25">
      <c r="A72" s="485"/>
      <c r="B72" s="486" t="s">
        <v>2730</v>
      </c>
      <c r="D72" s="1298" t="s">
        <v>1099</v>
      </c>
      <c r="E72" s="1298"/>
      <c r="F72" s="1298"/>
      <c r="I72" s="491"/>
    </row>
    <row r="73" spans="1:9">
      <c r="D73" s="1298"/>
      <c r="E73" s="1298"/>
      <c r="F73" s="1298"/>
      <c r="I73" s="491"/>
    </row>
    <row r="74" spans="1:9" ht="14.25">
      <c r="A74" s="485"/>
      <c r="B74" s="485"/>
      <c r="D74" s="447"/>
      <c r="I74" s="491"/>
    </row>
    <row r="75" spans="1:9">
      <c r="A75" s="1301" t="s">
        <v>1044</v>
      </c>
      <c r="B75" s="1301"/>
      <c r="C75" s="1301"/>
      <c r="D75" s="1301"/>
      <c r="E75" s="1301"/>
      <c r="F75" s="1301"/>
      <c r="G75" s="1301"/>
      <c r="H75" s="1029"/>
      <c r="I75" s="1155"/>
    </row>
    <row r="76" spans="1:9">
      <c r="I76" s="491"/>
    </row>
    <row r="77" spans="1:9">
      <c r="C77" s="487"/>
      <c r="D77" s="1300" t="s">
        <v>1102</v>
      </c>
      <c r="E77" s="1300"/>
      <c r="F77" s="1300"/>
      <c r="I77" s="491"/>
    </row>
    <row r="78" spans="1:9">
      <c r="A78" s="447"/>
      <c r="B78" s="447"/>
      <c r="D78" s="1298" t="s">
        <v>1117</v>
      </c>
      <c r="E78" s="1298"/>
      <c r="F78" s="1298"/>
      <c r="I78" s="491"/>
    </row>
    <row r="79" spans="1:9">
      <c r="A79" s="447"/>
      <c r="B79" s="447"/>
      <c r="I79" s="491"/>
    </row>
    <row r="80" spans="1:9" ht="13.7" customHeight="1">
      <c r="A80" s="485"/>
      <c r="B80" s="486" t="s">
        <v>2732</v>
      </c>
      <c r="D80" s="1298" t="s">
        <v>1245</v>
      </c>
      <c r="E80" s="1298"/>
      <c r="F80" s="1298"/>
      <c r="I80" s="491"/>
    </row>
    <row r="81" spans="1:9" ht="14.25">
      <c r="A81" s="485"/>
      <c r="B81" s="485"/>
      <c r="D81" s="1298"/>
      <c r="E81" s="1298"/>
      <c r="F81" s="1298"/>
      <c r="I81" s="491"/>
    </row>
    <row r="82" spans="1:9" ht="14.25">
      <c r="A82" s="485"/>
      <c r="B82" s="485"/>
      <c r="D82" s="1298"/>
      <c r="E82" s="1298"/>
      <c r="F82" s="1298"/>
      <c r="I82" s="491"/>
    </row>
    <row r="83" spans="1:9" ht="14.25">
      <c r="A83" s="485"/>
      <c r="B83" s="485"/>
      <c r="D83" s="1298"/>
      <c r="E83" s="1298"/>
      <c r="F83" s="1298"/>
      <c r="I83" s="491"/>
    </row>
    <row r="84" spans="1:9" ht="14.25">
      <c r="A84" s="485"/>
      <c r="B84" s="485"/>
      <c r="D84" s="1298"/>
      <c r="E84" s="1298"/>
      <c r="F84" s="1298"/>
      <c r="I84" s="491"/>
    </row>
    <row r="85" spans="1:9" ht="14.25">
      <c r="A85" s="485"/>
      <c r="B85" s="485"/>
      <c r="D85" s="1298"/>
      <c r="E85" s="1298"/>
      <c r="F85" s="1298"/>
      <c r="I85" s="491"/>
    </row>
    <row r="86" spans="1:9" ht="14.25">
      <c r="A86" s="485"/>
      <c r="B86" s="485"/>
      <c r="D86" s="1298"/>
      <c r="E86" s="1298"/>
      <c r="F86" s="1298"/>
      <c r="I86" s="491"/>
    </row>
    <row r="87" spans="1:9" ht="14.25">
      <c r="A87" s="485"/>
      <c r="B87" s="485"/>
      <c r="D87" s="1298"/>
      <c r="E87" s="1298"/>
      <c r="F87" s="1298"/>
      <c r="I87" s="491"/>
    </row>
    <row r="88" spans="1:9" ht="14.25">
      <c r="A88" s="485"/>
      <c r="B88" s="485"/>
      <c r="D88" s="386"/>
      <c r="E88" s="386"/>
      <c r="F88" s="386"/>
      <c r="I88" s="491"/>
    </row>
    <row r="89" spans="1:9" ht="15" customHeight="1">
      <c r="A89" s="485"/>
      <c r="B89" s="486" t="s">
        <v>2732</v>
      </c>
      <c r="D89" s="1298" t="s">
        <v>1742</v>
      </c>
      <c r="E89" s="1298"/>
      <c r="F89" s="1298"/>
      <c r="I89" s="491"/>
    </row>
    <row r="90" spans="1:9" ht="14.25">
      <c r="A90" s="485"/>
      <c r="B90" s="485"/>
      <c r="D90" s="1298"/>
      <c r="E90" s="1298"/>
      <c r="F90" s="1298"/>
      <c r="I90" s="491"/>
    </row>
    <row r="91" spans="1:9" ht="14.25">
      <c r="A91" s="485"/>
      <c r="B91" s="485"/>
      <c r="D91" s="446"/>
      <c r="E91" s="446"/>
      <c r="F91" s="446"/>
      <c r="I91" s="491"/>
    </row>
    <row r="92" spans="1:9" ht="14.25">
      <c r="A92" s="485"/>
      <c r="B92" s="486" t="s">
        <v>2730</v>
      </c>
      <c r="D92" s="1298" t="s">
        <v>1745</v>
      </c>
      <c r="E92" s="1298"/>
      <c r="F92" s="1298"/>
      <c r="I92" s="491"/>
    </row>
    <row r="93" spans="1:9" ht="14.25">
      <c r="A93" s="485"/>
      <c r="B93" s="485"/>
      <c r="D93" s="1298"/>
      <c r="E93" s="1298"/>
      <c r="F93" s="1298"/>
      <c r="I93" s="491"/>
    </row>
    <row r="94" spans="1:9" ht="14.25">
      <c r="A94" s="485"/>
      <c r="B94" s="485"/>
      <c r="D94" s="1298"/>
      <c r="E94" s="1298"/>
      <c r="F94" s="1298"/>
      <c r="I94" s="491"/>
    </row>
    <row r="95" spans="1:9" ht="14.25">
      <c r="A95" s="485"/>
      <c r="B95" s="485"/>
      <c r="D95" s="446"/>
      <c r="E95" s="446"/>
      <c r="F95" s="446"/>
      <c r="I95" s="491"/>
    </row>
    <row r="96" spans="1:9" ht="14.25">
      <c r="A96" s="485"/>
      <c r="B96" s="486" t="s">
        <v>2732</v>
      </c>
      <c r="D96" s="1298" t="s">
        <v>1744</v>
      </c>
      <c r="E96" s="1298"/>
      <c r="F96" s="1298"/>
      <c r="I96" s="491"/>
    </row>
    <row r="97" spans="1:9" s="988" customFormat="1" ht="14.25">
      <c r="A97" s="986"/>
      <c r="B97" s="986"/>
      <c r="C97" s="987"/>
      <c r="D97" s="1298"/>
      <c r="E97" s="1298"/>
      <c r="F97" s="1298"/>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2731</v>
      </c>
      <c r="D100" s="1298" t="s">
        <v>1743</v>
      </c>
      <c r="E100" s="1298"/>
      <c r="F100" s="1298"/>
      <c r="I100" s="491"/>
    </row>
    <row r="101" spans="1:9" ht="14.25">
      <c r="A101" s="485"/>
      <c r="B101" s="485"/>
      <c r="D101" s="1298"/>
      <c r="E101" s="1298"/>
      <c r="F101" s="1298"/>
      <c r="I101" s="491"/>
    </row>
    <row r="102" spans="1:9" ht="14.25">
      <c r="A102" s="485"/>
      <c r="B102" s="485"/>
      <c r="D102" s="446"/>
      <c r="E102" s="446"/>
      <c r="F102" s="446"/>
      <c r="I102" s="491"/>
    </row>
    <row r="103" spans="1:9" ht="14.45" customHeight="1">
      <c r="A103" s="485"/>
      <c r="B103" s="486" t="s">
        <v>2731</v>
      </c>
      <c r="D103" s="1298" t="s">
        <v>1194</v>
      </c>
      <c r="E103" s="1298"/>
      <c r="F103" s="1298"/>
      <c r="I103" s="491"/>
    </row>
    <row r="104" spans="1:9" ht="14.25">
      <c r="A104" s="485"/>
      <c r="B104" s="485"/>
      <c r="D104" s="1298"/>
      <c r="E104" s="1298"/>
      <c r="F104" s="1298"/>
      <c r="I104" s="491"/>
    </row>
    <row r="105" spans="1:9" ht="14.25">
      <c r="A105" s="485"/>
      <c r="B105" s="485"/>
      <c r="D105" s="1298"/>
      <c r="E105" s="1298"/>
      <c r="F105" s="1298"/>
      <c r="I105" s="491"/>
    </row>
    <row r="106" spans="1:9" ht="14.25">
      <c r="A106" s="485"/>
      <c r="B106" s="485"/>
      <c r="D106" s="1298"/>
      <c r="E106" s="1298"/>
      <c r="F106" s="1298"/>
      <c r="I106" s="491"/>
    </row>
    <row r="107" spans="1:9" ht="14.25">
      <c r="A107" s="485"/>
      <c r="B107" s="485"/>
      <c r="D107" s="1298"/>
      <c r="E107" s="1298"/>
      <c r="F107" s="1298"/>
      <c r="I107" s="491"/>
    </row>
    <row r="108" spans="1:9" ht="14.25">
      <c r="A108" s="485"/>
      <c r="B108" s="485"/>
      <c r="D108" s="1298"/>
      <c r="E108" s="1298"/>
      <c r="F108" s="1298"/>
      <c r="I108" s="491"/>
    </row>
    <row r="109" spans="1:9" ht="14.25">
      <c r="A109" s="485"/>
      <c r="B109" s="485"/>
      <c r="D109" s="1298"/>
      <c r="E109" s="1298"/>
      <c r="F109" s="1298"/>
      <c r="I109" s="491"/>
    </row>
    <row r="110" spans="1:9" ht="14.25">
      <c r="A110" s="485"/>
      <c r="B110" s="485"/>
      <c r="D110" s="1298"/>
      <c r="E110" s="1298"/>
      <c r="F110" s="1298"/>
      <c r="I110" s="491"/>
    </row>
    <row r="111" spans="1:9" ht="14.25">
      <c r="A111" s="485"/>
      <c r="B111" s="485"/>
      <c r="D111" s="1298"/>
      <c r="E111" s="1298"/>
      <c r="F111" s="1298"/>
      <c r="I111" s="491"/>
    </row>
    <row r="112" spans="1:9" ht="14.25">
      <c r="A112" s="485"/>
      <c r="B112" s="485"/>
      <c r="D112" s="1298"/>
      <c r="E112" s="1298"/>
      <c r="F112" s="1298"/>
      <c r="I112" s="491"/>
    </row>
    <row r="113" spans="1:9" ht="14.25">
      <c r="A113" s="485"/>
      <c r="B113" s="485"/>
      <c r="D113" s="1298"/>
      <c r="E113" s="1298"/>
      <c r="F113" s="1298"/>
      <c r="I113" s="491"/>
    </row>
    <row r="114" spans="1:9" ht="14.25">
      <c r="A114" s="485"/>
      <c r="B114" s="485"/>
      <c r="D114" s="1298"/>
      <c r="E114" s="1298"/>
      <c r="F114" s="1298"/>
      <c r="I114" s="491"/>
    </row>
    <row r="115" spans="1:9" ht="14.25">
      <c r="A115" s="485"/>
      <c r="B115" s="485"/>
      <c r="D115" s="1298"/>
      <c r="E115" s="1298"/>
      <c r="F115" s="1298"/>
      <c r="I115" s="491"/>
    </row>
    <row r="116" spans="1:9" ht="14.25">
      <c r="A116" s="485"/>
      <c r="B116" s="485"/>
      <c r="D116" s="1298"/>
      <c r="E116" s="1298"/>
      <c r="F116" s="1298"/>
      <c r="I116" s="491"/>
    </row>
    <row r="117" spans="1:9" ht="14.25">
      <c r="A117" s="485"/>
      <c r="B117" s="485"/>
      <c r="D117" s="1298"/>
      <c r="E117" s="1298"/>
      <c r="F117" s="1298"/>
      <c r="I117" s="491"/>
    </row>
    <row r="118" spans="1:9" ht="14.25">
      <c r="A118" s="485"/>
      <c r="B118" s="485"/>
      <c r="D118" s="525"/>
      <c r="E118" s="525"/>
      <c r="F118" s="525"/>
      <c r="I118" s="491"/>
    </row>
    <row r="119" spans="1:9" ht="14.25" customHeight="1">
      <c r="A119" s="485"/>
      <c r="B119" s="486" t="s">
        <v>2731</v>
      </c>
      <c r="D119" s="1318" t="s">
        <v>1103</v>
      </c>
      <c r="E119" s="1318"/>
      <c r="F119" s="1318"/>
      <c r="I119" s="491"/>
    </row>
    <row r="120" spans="1:9" ht="14.25">
      <c r="A120" s="485"/>
      <c r="B120" s="485"/>
      <c r="D120" s="1318"/>
      <c r="E120" s="1318"/>
      <c r="F120" s="1318"/>
      <c r="I120" s="491"/>
    </row>
    <row r="121" spans="1:9" ht="14.25">
      <c r="A121" s="485"/>
      <c r="B121" s="485"/>
      <c r="D121" s="1318"/>
      <c r="E121" s="1318"/>
      <c r="F121" s="1318"/>
      <c r="I121" s="491"/>
    </row>
    <row r="122" spans="1:9" ht="14.25">
      <c r="A122" s="485"/>
      <c r="B122" s="485"/>
      <c r="D122" s="1318"/>
      <c r="E122" s="1318"/>
      <c r="F122" s="1318"/>
      <c r="I122" s="491"/>
    </row>
    <row r="123" spans="1:9" ht="14.25">
      <c r="A123" s="485"/>
      <c r="B123" s="485"/>
      <c r="D123" s="1318"/>
      <c r="E123" s="1318"/>
      <c r="F123" s="1318"/>
      <c r="I123" s="491"/>
    </row>
    <row r="124" spans="1:9" ht="14.25">
      <c r="A124" s="485"/>
      <c r="B124" s="485"/>
      <c r="D124" s="1318"/>
      <c r="E124" s="1318"/>
      <c r="F124" s="1318"/>
      <c r="I124" s="491"/>
    </row>
    <row r="125" spans="1:9" ht="14.25">
      <c r="A125" s="485"/>
      <c r="B125" s="485"/>
      <c r="D125" s="1318"/>
      <c r="E125" s="1318"/>
      <c r="F125" s="1318"/>
      <c r="I125" s="491"/>
    </row>
    <row r="126" spans="1:9" ht="14.25">
      <c r="A126" s="485"/>
      <c r="B126" s="485"/>
      <c r="D126" s="1318"/>
      <c r="E126" s="1318"/>
      <c r="F126" s="1318"/>
      <c r="I126" s="491"/>
    </row>
    <row r="127" spans="1:9">
      <c r="C127" s="403"/>
      <c r="D127" s="526"/>
      <c r="E127" s="526"/>
      <c r="F127" s="526"/>
      <c r="I127" s="491"/>
    </row>
    <row r="128" spans="1:9" ht="14.25">
      <c r="A128" s="485"/>
      <c r="B128" s="486" t="s">
        <v>2730</v>
      </c>
      <c r="C128" s="403"/>
      <c r="D128" s="1318" t="s">
        <v>2051</v>
      </c>
      <c r="E128" s="1318"/>
      <c r="F128" s="1318"/>
      <c r="I128" s="491"/>
    </row>
    <row r="129" spans="1:9" ht="14.25">
      <c r="A129" s="485"/>
      <c r="B129" s="485"/>
      <c r="C129" s="403"/>
      <c r="D129" s="1318"/>
      <c r="E129" s="1318"/>
      <c r="F129" s="1318"/>
      <c r="I129" s="491"/>
    </row>
    <row r="130" spans="1:9">
      <c r="I130" s="491"/>
    </row>
    <row r="131" spans="1:9" ht="14.25">
      <c r="A131" s="485"/>
      <c r="B131" s="486" t="s">
        <v>2730</v>
      </c>
      <c r="D131" s="1298" t="s">
        <v>1104</v>
      </c>
      <c r="E131" s="1298"/>
      <c r="F131" s="1298"/>
      <c r="I131" s="491"/>
    </row>
    <row r="132" spans="1:9">
      <c r="D132" s="1298"/>
      <c r="E132" s="1298"/>
      <c r="F132" s="1298"/>
      <c r="I132" s="491"/>
    </row>
    <row r="133" spans="1:9">
      <c r="D133" s="1298"/>
      <c r="E133" s="1298"/>
      <c r="F133" s="1298"/>
      <c r="I133" s="491"/>
    </row>
    <row r="134" spans="1:9">
      <c r="D134" s="1298"/>
      <c r="E134" s="1298"/>
      <c r="F134" s="1298"/>
      <c r="I134" s="491"/>
    </row>
    <row r="135" spans="1:9">
      <c r="D135" s="1298"/>
      <c r="E135" s="1298"/>
      <c r="F135" s="1298"/>
      <c r="I135" s="491"/>
    </row>
    <row r="136" spans="1:9">
      <c r="I136" s="491"/>
    </row>
    <row r="137" spans="1:9" ht="14.25">
      <c r="A137" s="485"/>
      <c r="B137" s="486" t="s">
        <v>2730</v>
      </c>
      <c r="D137" s="1298" t="s">
        <v>1105</v>
      </c>
      <c r="E137" s="1298"/>
      <c r="F137" s="1298"/>
      <c r="I137" s="491"/>
    </row>
    <row r="138" spans="1:9" s="418" customFormat="1" ht="13.7" customHeight="1">
      <c r="A138" s="489"/>
      <c r="B138" s="489"/>
      <c r="C138" s="489"/>
      <c r="D138" s="1298"/>
      <c r="E138" s="1298"/>
      <c r="F138" s="1298"/>
      <c r="I138" s="1157"/>
    </row>
    <row r="139" spans="1:9" ht="13.7" customHeight="1">
      <c r="D139" s="1298"/>
      <c r="E139" s="1298"/>
      <c r="F139" s="1298"/>
      <c r="I139" s="491"/>
    </row>
    <row r="140" spans="1:9" ht="13.7" customHeight="1">
      <c r="D140" s="1298"/>
      <c r="E140" s="1298"/>
      <c r="F140" s="1298"/>
      <c r="I140" s="491"/>
    </row>
    <row r="141" spans="1:9" ht="13.7" customHeight="1">
      <c r="D141" s="1298"/>
      <c r="E141" s="1298"/>
      <c r="F141" s="1298"/>
      <c r="I141" s="491"/>
    </row>
    <row r="142" spans="1:9" ht="13.7" customHeight="1">
      <c r="A142" s="490"/>
      <c r="B142" s="490"/>
      <c r="D142" s="1298"/>
      <c r="E142" s="1298"/>
      <c r="F142" s="1298"/>
      <c r="I142" s="491"/>
    </row>
    <row r="143" spans="1:9" ht="13.7" customHeight="1">
      <c r="D143" s="1298"/>
      <c r="E143" s="1298"/>
      <c r="F143" s="1298"/>
      <c r="I143" s="491"/>
    </row>
    <row r="144" spans="1:9" ht="13.7" customHeight="1">
      <c r="D144" s="1298"/>
      <c r="E144" s="1298"/>
      <c r="F144" s="1298"/>
      <c r="I144" s="491"/>
    </row>
    <row r="145" spans="2:9" ht="13.7" customHeight="1">
      <c r="D145" s="1298"/>
      <c r="E145" s="1298"/>
      <c r="F145" s="1298"/>
      <c r="I145" s="491"/>
    </row>
    <row r="146" spans="2:9" ht="13.7" customHeight="1">
      <c r="D146" s="1298"/>
      <c r="E146" s="1298"/>
      <c r="F146" s="1298"/>
      <c r="I146" s="491"/>
    </row>
    <row r="147" spans="2:9" ht="13.7" customHeight="1">
      <c r="D147" s="1298"/>
      <c r="E147" s="1298"/>
      <c r="F147" s="1298"/>
      <c r="I147" s="491"/>
    </row>
    <row r="148" spans="2:9" ht="13.7" customHeight="1">
      <c r="D148" s="1298"/>
      <c r="E148" s="1298"/>
      <c r="F148" s="1298"/>
      <c r="I148" s="491"/>
    </row>
    <row r="149" spans="2:9" ht="13.7" customHeight="1">
      <c r="D149" s="1298"/>
      <c r="E149" s="1298"/>
      <c r="F149" s="1298"/>
      <c r="I149" s="491"/>
    </row>
    <row r="150" spans="2:9" ht="13.7" customHeight="1">
      <c r="D150" s="477"/>
      <c r="E150" s="447"/>
      <c r="F150" s="447"/>
      <c r="I150" s="491"/>
    </row>
    <row r="151" spans="2:9" ht="13.7" customHeight="1">
      <c r="B151" s="486" t="s">
        <v>2732</v>
      </c>
      <c r="D151" s="1298" t="s">
        <v>1177</v>
      </c>
      <c r="E151" s="1298"/>
      <c r="F151" s="1298"/>
      <c r="I151" s="491"/>
    </row>
    <row r="152" spans="2:9" ht="13.7" customHeight="1">
      <c r="D152" s="1298"/>
      <c r="E152" s="1298"/>
      <c r="F152" s="1298"/>
      <c r="I152" s="491"/>
    </row>
    <row r="153" spans="2:9" ht="13.7" customHeight="1">
      <c r="D153" s="1298"/>
      <c r="E153" s="1298"/>
      <c r="F153" s="1298"/>
      <c r="I153" s="491"/>
    </row>
    <row r="154" spans="2:9" ht="13.7" customHeight="1">
      <c r="D154" s="1298"/>
      <c r="E154" s="1298"/>
      <c r="F154" s="1298"/>
      <c r="I154" s="491"/>
    </row>
    <row r="155" spans="2:9" ht="13.7" customHeight="1">
      <c r="D155" s="1298"/>
      <c r="E155" s="1298"/>
      <c r="F155" s="1298"/>
      <c r="I155" s="491"/>
    </row>
    <row r="156" spans="2:9" ht="13.7" customHeight="1">
      <c r="D156" s="1298"/>
      <c r="E156" s="1298"/>
      <c r="F156" s="1298"/>
      <c r="I156" s="491"/>
    </row>
    <row r="157" spans="2:9" ht="13.7" customHeight="1">
      <c r="D157" s="1298"/>
      <c r="E157" s="1298"/>
      <c r="F157" s="1298"/>
      <c r="I157" s="491"/>
    </row>
    <row r="158" spans="2:9" ht="13.7" customHeight="1">
      <c r="D158" s="1298"/>
      <c r="E158" s="1298"/>
      <c r="F158" s="1298"/>
      <c r="I158" s="491"/>
    </row>
    <row r="159" spans="2:9" ht="13.7" customHeight="1">
      <c r="D159" s="1298"/>
      <c r="E159" s="1298"/>
      <c r="F159" s="1298"/>
      <c r="I159" s="491"/>
    </row>
    <row r="160" spans="2:9" ht="13.7" customHeight="1">
      <c r="D160" s="1298"/>
      <c r="E160" s="1298"/>
      <c r="F160" s="1298"/>
      <c r="I160" s="491"/>
    </row>
    <row r="161" spans="1:9" ht="13.7" customHeight="1">
      <c r="D161" s="1298"/>
      <c r="E161" s="1298"/>
      <c r="F161" s="1298"/>
      <c r="I161" s="491"/>
    </row>
    <row r="162" spans="1:9" ht="13.7" customHeight="1">
      <c r="D162" s="1298"/>
      <c r="E162" s="1298"/>
      <c r="F162" s="1298"/>
      <c r="I162" s="491"/>
    </row>
    <row r="163" spans="1:9" ht="13.7" customHeight="1">
      <c r="D163" s="1298"/>
      <c r="E163" s="1298"/>
      <c r="F163" s="1298"/>
      <c r="I163" s="491"/>
    </row>
    <row r="164" spans="1:9" ht="13.7" customHeight="1">
      <c r="D164" s="1298"/>
      <c r="E164" s="1298"/>
      <c r="F164" s="1298"/>
      <c r="I164" s="491"/>
    </row>
    <row r="165" spans="1:9" ht="13.7" customHeight="1">
      <c r="D165" s="1298"/>
      <c r="E165" s="1298"/>
      <c r="F165" s="1298"/>
      <c r="I165" s="491"/>
    </row>
    <row r="166" spans="1:9" ht="13.7" customHeight="1">
      <c r="D166" s="1298"/>
      <c r="E166" s="1298"/>
      <c r="F166" s="1298"/>
      <c r="I166" s="491"/>
    </row>
    <row r="167" spans="1:9" ht="13.7" customHeight="1">
      <c r="D167" s="1298"/>
      <c r="E167" s="1298"/>
      <c r="F167" s="1298"/>
      <c r="I167" s="491"/>
    </row>
    <row r="168" spans="1:9" ht="13.7" customHeight="1">
      <c r="D168" s="1298"/>
      <c r="E168" s="1298"/>
      <c r="F168" s="1298"/>
      <c r="I168" s="491"/>
    </row>
    <row r="169" spans="1:9" ht="13.7" customHeight="1">
      <c r="D169" s="1319" t="s">
        <v>2074</v>
      </c>
      <c r="E169" s="1319"/>
      <c r="F169" s="1319"/>
      <c r="G169" s="508"/>
      <c r="I169" s="491"/>
    </row>
    <row r="170" spans="1:9" ht="13.7" customHeight="1">
      <c r="D170" s="1310"/>
      <c r="E170" s="1310"/>
      <c r="F170" s="1310"/>
      <c r="G170" s="1310"/>
      <c r="I170" s="491"/>
    </row>
    <row r="171" spans="1:9" ht="14.45" customHeight="1">
      <c r="A171" s="490"/>
      <c r="B171" s="486" t="s">
        <v>2730</v>
      </c>
      <c r="C171" s="477"/>
      <c r="D171" s="1278" t="s">
        <v>2214</v>
      </c>
      <c r="E171" s="1278"/>
      <c r="F171" s="1278"/>
      <c r="G171" s="477"/>
      <c r="I171" s="491"/>
    </row>
    <row r="172" spans="1:9" ht="14.45" customHeight="1">
      <c r="A172" s="490"/>
      <c r="B172" s="490"/>
      <c r="C172" s="477"/>
      <c r="D172" s="1278"/>
      <c r="E172" s="1278"/>
      <c r="F172" s="1278"/>
      <c r="G172" s="477"/>
      <c r="I172" s="491"/>
    </row>
    <row r="173" spans="1:9" ht="14.45" customHeight="1">
      <c r="A173" s="490"/>
      <c r="B173" s="490"/>
      <c r="C173" s="477"/>
      <c r="D173" s="1278"/>
      <c r="E173" s="1278"/>
      <c r="F173" s="1278"/>
      <c r="G173" s="477"/>
      <c r="I173" s="491"/>
    </row>
    <row r="174" spans="1:9" ht="14.45" customHeight="1">
      <c r="A174" s="490"/>
      <c r="B174" s="490"/>
      <c r="C174" s="477"/>
      <c r="D174" s="1278"/>
      <c r="E174" s="1278"/>
      <c r="F174" s="1278"/>
      <c r="G174" s="477"/>
      <c r="I174" s="491"/>
    </row>
    <row r="175" spans="1:9" ht="13.7" customHeight="1">
      <c r="A175" s="490"/>
      <c r="B175" s="490"/>
      <c r="C175" s="477"/>
      <c r="D175" s="1278"/>
      <c r="E175" s="1278"/>
      <c r="F175" s="1278"/>
      <c r="G175" s="477"/>
      <c r="I175" s="491"/>
    </row>
    <row r="176" spans="1:9" ht="13.7" customHeight="1">
      <c r="A176" s="490"/>
      <c r="B176" s="490"/>
      <c r="C176" s="477"/>
      <c r="D176" s="477"/>
      <c r="E176" s="477"/>
      <c r="F176" s="477"/>
      <c r="G176" s="477"/>
      <c r="I176" s="491"/>
    </row>
    <row r="177" spans="1:9" ht="13.7" customHeight="1">
      <c r="A177" s="490"/>
      <c r="B177" s="486" t="s">
        <v>2731</v>
      </c>
      <c r="C177" s="477"/>
      <c r="D177" s="1278" t="s">
        <v>1106</v>
      </c>
      <c r="E177" s="1278"/>
      <c r="F177" s="1278"/>
      <c r="G177" s="477"/>
      <c r="I177" s="491"/>
    </row>
    <row r="178" spans="1:9" ht="13.7" customHeight="1">
      <c r="A178" s="490"/>
      <c r="B178" s="490"/>
      <c r="C178" s="477"/>
      <c r="D178" s="1278"/>
      <c r="E178" s="1278"/>
      <c r="F178" s="1278"/>
      <c r="G178" s="477"/>
      <c r="I178" s="491"/>
    </row>
    <row r="179" spans="1:9" ht="13.7" customHeight="1">
      <c r="A179" s="490"/>
      <c r="B179" s="490"/>
      <c r="C179" s="477"/>
      <c r="D179" s="1278"/>
      <c r="E179" s="1278"/>
      <c r="F179" s="1278"/>
      <c r="G179" s="477"/>
      <c r="I179" s="491"/>
    </row>
    <row r="180" spans="1:9" ht="13.7" customHeight="1">
      <c r="A180" s="490"/>
      <c r="B180" s="490"/>
      <c r="C180" s="477"/>
      <c r="D180" s="1278"/>
      <c r="E180" s="1278"/>
      <c r="F180" s="1278"/>
      <c r="G180" s="477"/>
      <c r="I180" s="491"/>
    </row>
    <row r="181" spans="1:9" ht="13.7" customHeight="1">
      <c r="D181" s="447"/>
      <c r="E181" s="447"/>
      <c r="F181" s="447"/>
      <c r="I181" s="491"/>
    </row>
    <row r="182" spans="1:9" ht="13.7" customHeight="1">
      <c r="B182" s="486" t="s">
        <v>2731</v>
      </c>
      <c r="D182" s="1302" t="s">
        <v>2052</v>
      </c>
      <c r="E182" s="1302"/>
      <c r="F182" s="1302"/>
      <c r="I182" s="491"/>
    </row>
    <row r="183" spans="1:9" ht="13.7" customHeight="1">
      <c r="D183" s="1302"/>
      <c r="E183" s="1302"/>
      <c r="F183" s="1302"/>
      <c r="I183" s="491"/>
    </row>
    <row r="184" spans="1:9" ht="13.7" customHeight="1">
      <c r="D184" s="1302"/>
      <c r="E184" s="1302"/>
      <c r="F184" s="1302"/>
      <c r="I184" s="491"/>
    </row>
    <row r="185" spans="1:9" ht="13.7" customHeight="1">
      <c r="A185" s="491"/>
      <c r="B185" s="491"/>
      <c r="E185" s="447"/>
      <c r="F185" s="447"/>
      <c r="I185" s="491"/>
    </row>
    <row r="186" spans="1:9">
      <c r="A186" s="1301" t="s">
        <v>2053</v>
      </c>
      <c r="B186" s="1301"/>
      <c r="C186" s="1301"/>
      <c r="D186" s="1301"/>
      <c r="E186" s="1301"/>
      <c r="F186" s="1301"/>
      <c r="G186" s="1301"/>
      <c r="H186" s="1029"/>
      <c r="I186" s="1155"/>
    </row>
    <row r="187" spans="1:9" ht="12" customHeight="1">
      <c r="D187" s="447"/>
      <c r="E187" s="447"/>
      <c r="F187" s="447"/>
      <c r="I187" s="491"/>
    </row>
    <row r="188" spans="1:9">
      <c r="B188" s="1304" t="s">
        <v>446</v>
      </c>
      <c r="C188" s="1304"/>
      <c r="D188" s="1304"/>
      <c r="E188" s="1304"/>
      <c r="F188" s="1304"/>
      <c r="I188" s="491"/>
    </row>
    <row r="189" spans="1:9">
      <c r="B189" s="393" t="s">
        <v>1875</v>
      </c>
      <c r="C189" s="393"/>
      <c r="D189" s="393"/>
      <c r="E189" s="393"/>
      <c r="F189" s="393"/>
      <c r="I189" s="491"/>
    </row>
    <row r="190" spans="1:9" ht="12" customHeight="1">
      <c r="A190" s="483"/>
      <c r="B190" s="483"/>
      <c r="C190" s="483"/>
      <c r="I190" s="491"/>
    </row>
    <row r="191" spans="1:9">
      <c r="A191" s="1301" t="s">
        <v>1045</v>
      </c>
      <c r="B191" s="1301"/>
      <c r="C191" s="1301"/>
      <c r="D191" s="1301"/>
      <c r="E191" s="1301"/>
      <c r="F191" s="1301"/>
      <c r="G191" s="1301"/>
      <c r="H191" s="1029"/>
      <c r="I191" s="1155"/>
    </row>
    <row r="192" spans="1:9" ht="12" customHeight="1">
      <c r="A192" s="405"/>
      <c r="B192" s="405"/>
      <c r="E192" s="405"/>
      <c r="I192" s="491"/>
    </row>
    <row r="193" spans="1:9" ht="13.7" customHeight="1">
      <c r="A193" s="405"/>
      <c r="B193" s="405"/>
      <c r="D193" s="1300" t="s">
        <v>1746</v>
      </c>
      <c r="E193" s="1300"/>
      <c r="F193" s="1300"/>
      <c r="I193" s="491"/>
    </row>
    <row r="194" spans="1:9">
      <c r="A194" s="405"/>
      <c r="B194" s="405"/>
      <c r="D194" s="1300"/>
      <c r="E194" s="1300"/>
      <c r="F194" s="1300"/>
      <c r="I194" s="491"/>
    </row>
    <row r="195" spans="1:9">
      <c r="A195" s="405"/>
      <c r="B195" s="405"/>
      <c r="D195" s="1304" t="s">
        <v>1195</v>
      </c>
      <c r="E195" s="1304"/>
      <c r="F195" s="1304"/>
      <c r="I195" s="491"/>
    </row>
    <row r="196" spans="1:9">
      <c r="A196" s="405"/>
      <c r="B196" s="405"/>
      <c r="D196" s="393"/>
      <c r="E196" s="393"/>
      <c r="F196" s="393"/>
      <c r="I196" s="491"/>
    </row>
    <row r="197" spans="1:9">
      <c r="A197" s="405"/>
      <c r="B197" s="486" t="s">
        <v>2731</v>
      </c>
      <c r="D197" s="1315" t="s">
        <v>1747</v>
      </c>
      <c r="E197" s="1315"/>
      <c r="F197" s="1315"/>
      <c r="I197" s="491"/>
    </row>
    <row r="198" spans="1:9">
      <c r="A198" s="405"/>
      <c r="B198" s="405"/>
      <c r="D198" s="1316" t="s">
        <v>1902</v>
      </c>
      <c r="E198" s="1316"/>
      <c r="F198" s="1316"/>
      <c r="I198" s="491"/>
    </row>
    <row r="199" spans="1:9">
      <c r="A199" s="405"/>
      <c r="B199" s="405"/>
      <c r="D199" s="96" t="s">
        <v>1748</v>
      </c>
      <c r="E199" s="1317" t="s">
        <v>1925</v>
      </c>
      <c r="F199" s="1317"/>
      <c r="I199" s="491"/>
    </row>
    <row r="200" spans="1:9">
      <c r="A200" s="405"/>
      <c r="B200" s="405"/>
      <c r="D200" s="3"/>
      <c r="E200" s="3"/>
      <c r="F200" s="3"/>
      <c r="I200" s="491"/>
    </row>
    <row r="201" spans="1:9">
      <c r="A201" s="405"/>
      <c r="B201" s="486" t="s">
        <v>2732</v>
      </c>
      <c r="D201" s="1316" t="s">
        <v>1749</v>
      </c>
      <c r="E201" s="1316"/>
      <c r="F201" s="1316"/>
      <c r="I201" s="491"/>
    </row>
    <row r="202" spans="1:9">
      <c r="A202" s="405"/>
      <c r="B202" s="405"/>
      <c r="D202" s="1315" t="s">
        <v>1902</v>
      </c>
      <c r="E202" s="1315"/>
      <c r="F202" s="1315"/>
      <c r="I202" s="491"/>
    </row>
    <row r="203" spans="1:9">
      <c r="A203" s="405"/>
      <c r="B203" s="405"/>
      <c r="D203" s="57" t="s">
        <v>1750</v>
      </c>
      <c r="E203" s="1317" t="s">
        <v>1926</v>
      </c>
      <c r="F203" s="1317"/>
      <c r="I203" s="491"/>
    </row>
    <row r="204" spans="1:9">
      <c r="A204" s="405"/>
      <c r="B204" s="405"/>
      <c r="D204" s="3"/>
      <c r="E204" s="3"/>
      <c r="F204" s="3"/>
      <c r="I204" s="491"/>
    </row>
    <row r="205" spans="1:9">
      <c r="A205" s="405"/>
      <c r="B205" s="486" t="s">
        <v>2731</v>
      </c>
      <c r="D205" s="1316" t="s">
        <v>1751</v>
      </c>
      <c r="E205" s="1316"/>
      <c r="F205" s="1316"/>
      <c r="I205" s="491"/>
    </row>
    <row r="206" spans="1:9">
      <c r="A206" s="405"/>
      <c r="B206" s="405"/>
      <c r="D206" s="1315" t="s">
        <v>1902</v>
      </c>
      <c r="E206" s="1315"/>
      <c r="F206" s="1315"/>
      <c r="I206" s="491"/>
    </row>
    <row r="207" spans="1:9">
      <c r="A207" s="405"/>
      <c r="B207" s="405"/>
      <c r="D207" s="57" t="s">
        <v>1748</v>
      </c>
      <c r="E207" s="1317" t="s">
        <v>1927</v>
      </c>
      <c r="F207" s="1317"/>
      <c r="I207" s="491"/>
    </row>
    <row r="208" spans="1:9">
      <c r="A208" s="405"/>
      <c r="B208" s="405"/>
      <c r="D208" s="393"/>
      <c r="E208" s="393"/>
      <c r="F208" s="393"/>
      <c r="I208" s="491"/>
    </row>
    <row r="209" spans="1:9" ht="14.25" customHeight="1">
      <c r="A209" s="485"/>
      <c r="B209" s="486" t="s">
        <v>2731</v>
      </c>
      <c r="D209" s="387" t="s">
        <v>1895</v>
      </c>
      <c r="E209" s="386"/>
      <c r="F209" s="386"/>
      <c r="I209" s="491"/>
    </row>
    <row r="210" spans="1:9" ht="14.25">
      <c r="A210" s="485"/>
      <c r="B210" s="485"/>
      <c r="D210" s="1315" t="s">
        <v>1902</v>
      </c>
      <c r="E210" s="1315"/>
      <c r="F210" s="1315"/>
      <c r="I210" s="491"/>
    </row>
    <row r="211" spans="1:9">
      <c r="D211" s="386"/>
      <c r="E211" s="1317" t="s">
        <v>1928</v>
      </c>
      <c r="F211" s="1317"/>
      <c r="I211" s="491"/>
    </row>
    <row r="212" spans="1:9">
      <c r="D212" s="448"/>
      <c r="I212" s="491"/>
    </row>
    <row r="213" spans="1:9">
      <c r="B213" s="486" t="s">
        <v>2731</v>
      </c>
      <c r="D213" s="1316" t="s">
        <v>1752</v>
      </c>
      <c r="E213" s="1316"/>
      <c r="F213" s="1316"/>
      <c r="I213" s="491"/>
    </row>
    <row r="214" spans="1:9">
      <c r="D214" s="1315" t="s">
        <v>1902</v>
      </c>
      <c r="E214" s="1315"/>
      <c r="F214" s="1315"/>
      <c r="I214" s="491"/>
    </row>
    <row r="215" spans="1:9">
      <c r="D215" s="57" t="s">
        <v>1748</v>
      </c>
      <c r="E215" s="1317" t="s">
        <v>1929</v>
      </c>
      <c r="F215" s="1317"/>
      <c r="I215" s="491"/>
    </row>
    <row r="216" spans="1:9">
      <c r="D216" s="452"/>
      <c r="E216" s="452"/>
      <c r="F216" s="452"/>
      <c r="I216" s="491"/>
    </row>
    <row r="217" spans="1:9" ht="14.25">
      <c r="A217" s="485"/>
      <c r="B217" s="486" t="s">
        <v>2731</v>
      </c>
      <c r="D217" s="1298" t="s">
        <v>1216</v>
      </c>
      <c r="E217" s="1298"/>
      <c r="F217" s="1298"/>
      <c r="I217" s="491"/>
    </row>
    <row r="218" spans="1:9" ht="14.45" customHeight="1">
      <c r="A218" s="485"/>
      <c r="B218" s="403"/>
      <c r="D218" s="1298"/>
      <c r="E218" s="1298"/>
      <c r="F218" s="1298"/>
      <c r="I218" s="491"/>
    </row>
    <row r="219" spans="1:9" ht="14.25">
      <c r="A219" s="485"/>
      <c r="D219" s="1298"/>
      <c r="E219" s="1298"/>
      <c r="F219" s="1298"/>
      <c r="I219" s="491"/>
    </row>
    <row r="220" spans="1:9" ht="14.25">
      <c r="A220" s="485"/>
      <c r="D220" s="1298"/>
      <c r="E220" s="1298"/>
      <c r="F220" s="1298"/>
      <c r="I220" s="491"/>
    </row>
    <row r="221" spans="1:9">
      <c r="D221" s="452"/>
      <c r="E221" s="452"/>
      <c r="F221" s="452"/>
      <c r="I221" s="491"/>
    </row>
    <row r="222" spans="1:9">
      <c r="A222" s="1301" t="s">
        <v>1046</v>
      </c>
      <c r="B222" s="1301"/>
      <c r="C222" s="1301"/>
      <c r="D222" s="1301"/>
      <c r="E222" s="1301"/>
      <c r="F222" s="1301"/>
      <c r="G222" s="1301"/>
      <c r="H222" s="1029"/>
      <c r="I222" s="1155"/>
    </row>
    <row r="223" spans="1:9" ht="12" customHeight="1">
      <c r="D223" s="447"/>
      <c r="E223" s="447"/>
      <c r="F223" s="447"/>
      <c r="I223" s="491"/>
    </row>
    <row r="224" spans="1:9">
      <c r="C224" s="487"/>
      <c r="D224" s="1306" t="s">
        <v>207</v>
      </c>
      <c r="E224" s="1306"/>
      <c r="F224" s="1306"/>
      <c r="I224" s="491"/>
    </row>
    <row r="225" spans="1:9">
      <c r="A225" s="483"/>
      <c r="B225" s="483"/>
      <c r="C225" s="483"/>
      <c r="D225" s="1299" t="s">
        <v>1120</v>
      </c>
      <c r="E225" s="1299"/>
      <c r="F225" s="1299"/>
      <c r="I225" s="491"/>
    </row>
    <row r="226" spans="1:9" ht="12" customHeight="1">
      <c r="A226" s="491"/>
      <c r="B226" s="491"/>
      <c r="C226" s="491"/>
      <c r="I226" s="491"/>
    </row>
    <row r="227" spans="1:9" ht="13.7" customHeight="1">
      <c r="A227" s="491"/>
      <c r="C227" s="491"/>
      <c r="D227" s="1306" t="s">
        <v>546</v>
      </c>
      <c r="E227" s="1306"/>
      <c r="F227" s="1306"/>
      <c r="I227" s="491"/>
    </row>
    <row r="228" spans="1:9" ht="14.25">
      <c r="A228" s="485"/>
      <c r="B228" s="486" t="s">
        <v>2730</v>
      </c>
      <c r="D228" s="1298" t="s">
        <v>1753</v>
      </c>
      <c r="E228" s="1298"/>
      <c r="F228" s="1298"/>
      <c r="I228" s="491"/>
    </row>
    <row r="229" spans="1:9" ht="14.25" customHeight="1">
      <c r="A229" s="485"/>
      <c r="B229" s="485"/>
      <c r="D229" s="1298"/>
      <c r="E229" s="1298"/>
      <c r="F229" s="1298"/>
      <c r="I229" s="491"/>
    </row>
    <row r="230" spans="1:9" ht="14.25" customHeight="1">
      <c r="A230" s="485"/>
      <c r="B230" s="485"/>
      <c r="D230" s="1298"/>
      <c r="E230" s="1298"/>
      <c r="F230" s="1298"/>
      <c r="I230" s="491"/>
    </row>
    <row r="231" spans="1:9" ht="14.25">
      <c r="A231" s="485"/>
      <c r="B231" s="485"/>
      <c r="D231" s="1298"/>
      <c r="E231" s="1298"/>
      <c r="F231" s="1298"/>
      <c r="I231" s="491"/>
    </row>
    <row r="232" spans="1:9" ht="14.25">
      <c r="A232" s="485"/>
      <c r="B232" s="485"/>
      <c r="D232" s="446"/>
      <c r="E232" s="446"/>
      <c r="F232" s="446"/>
      <c r="I232" s="491"/>
    </row>
    <row r="233" spans="1:9" ht="14.25">
      <c r="A233" s="485"/>
      <c r="B233" s="486" t="s">
        <v>2730</v>
      </c>
      <c r="D233" s="1298" t="s">
        <v>1754</v>
      </c>
      <c r="E233" s="1298"/>
      <c r="F233" s="1298"/>
      <c r="I233" s="491"/>
    </row>
    <row r="234" spans="1:9" ht="14.25">
      <c r="A234" s="485"/>
      <c r="B234" s="485"/>
      <c r="D234" s="1298"/>
      <c r="E234" s="1298"/>
      <c r="F234" s="1298"/>
      <c r="I234" s="491"/>
    </row>
    <row r="235" spans="1:9" ht="14.25">
      <c r="A235" s="485"/>
      <c r="B235" s="485"/>
      <c r="D235" s="1298"/>
      <c r="E235" s="1298"/>
      <c r="F235" s="1298"/>
      <c r="I235" s="491"/>
    </row>
    <row r="236" spans="1:9" ht="14.25">
      <c r="A236" s="485"/>
      <c r="B236" s="485"/>
      <c r="D236" s="1298"/>
      <c r="E236" s="1298"/>
      <c r="F236" s="1298"/>
      <c r="I236" s="491"/>
    </row>
    <row r="237" spans="1:9" ht="14.25" customHeight="1">
      <c r="A237" s="485"/>
      <c r="B237" s="485"/>
      <c r="D237" s="1298"/>
      <c r="E237" s="1298"/>
      <c r="F237" s="1298"/>
      <c r="I237" s="491"/>
    </row>
    <row r="238" spans="1:9" ht="14.25" customHeight="1">
      <c r="A238" s="485"/>
      <c r="B238" s="485"/>
      <c r="D238" s="446"/>
      <c r="E238" s="446"/>
      <c r="F238" s="446"/>
      <c r="I238" s="491"/>
    </row>
    <row r="239" spans="1:9" ht="14.25">
      <c r="A239" s="485"/>
      <c r="B239" s="485"/>
      <c r="D239" s="1298" t="s">
        <v>1118</v>
      </c>
      <c r="E239" s="1298"/>
      <c r="F239" s="1298"/>
      <c r="I239" s="491"/>
    </row>
    <row r="240" spans="1:9" ht="14.25">
      <c r="A240" s="485"/>
      <c r="B240" s="485"/>
      <c r="D240" s="1298"/>
      <c r="E240" s="1298"/>
      <c r="F240" s="1298"/>
      <c r="I240" s="491"/>
    </row>
    <row r="241" spans="1:9" ht="14.25">
      <c r="A241" s="485"/>
      <c r="B241" s="485"/>
      <c r="D241" s="1298"/>
      <c r="E241" s="1298"/>
      <c r="F241" s="1298"/>
      <c r="I241" s="491"/>
    </row>
    <row r="242" spans="1:9" ht="14.25">
      <c r="A242" s="485"/>
      <c r="B242" s="485"/>
      <c r="D242" s="1298"/>
      <c r="E242" s="1298"/>
      <c r="F242" s="1298"/>
      <c r="I242" s="491"/>
    </row>
    <row r="243" spans="1:9" ht="14.25">
      <c r="A243" s="485"/>
      <c r="B243" s="485"/>
      <c r="D243" s="1298"/>
      <c r="E243" s="1298"/>
      <c r="F243" s="1298"/>
      <c r="I243" s="491"/>
    </row>
    <row r="244" spans="1:9" ht="14.25">
      <c r="A244" s="485"/>
      <c r="B244" s="485"/>
      <c r="D244" s="447"/>
      <c r="E244" s="447"/>
      <c r="F244" s="447"/>
      <c r="I244" s="491"/>
    </row>
    <row r="245" spans="1:9" ht="14.25">
      <c r="A245" s="485"/>
      <c r="B245" s="486" t="s">
        <v>2730</v>
      </c>
      <c r="D245" s="1298" t="s">
        <v>2054</v>
      </c>
      <c r="E245" s="1298"/>
      <c r="F245" s="1298"/>
      <c r="I245" s="491"/>
    </row>
    <row r="246" spans="1:9" ht="14.25">
      <c r="A246" s="485"/>
      <c r="B246" s="485"/>
      <c r="D246" s="1298"/>
      <c r="E246" s="1298"/>
      <c r="F246" s="1298"/>
      <c r="I246" s="491"/>
    </row>
    <row r="247" spans="1:9" ht="14.25">
      <c r="A247" s="485"/>
      <c r="B247" s="485"/>
      <c r="D247" s="1298"/>
      <c r="E247" s="1298"/>
      <c r="F247" s="1298"/>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2730</v>
      </c>
      <c r="D250" s="1298" t="s">
        <v>2055</v>
      </c>
      <c r="E250" s="1298"/>
      <c r="F250" s="1298"/>
      <c r="I250" s="491"/>
    </row>
    <row r="251" spans="1:9" ht="14.25">
      <c r="A251" s="485"/>
      <c r="B251" s="485"/>
      <c r="D251" s="1298"/>
      <c r="E251" s="1298"/>
      <c r="F251" s="1298"/>
      <c r="I251" s="491"/>
    </row>
    <row r="252" spans="1:9" ht="14.25">
      <c r="A252" s="485"/>
      <c r="B252" s="485"/>
      <c r="D252" s="1298"/>
      <c r="E252" s="1298"/>
      <c r="F252" s="1298"/>
      <c r="I252" s="491"/>
    </row>
    <row r="253" spans="1:9" ht="14.25">
      <c r="A253" s="485"/>
      <c r="B253" s="485"/>
      <c r="D253" s="1298"/>
      <c r="E253" s="1298"/>
      <c r="F253" s="1298"/>
      <c r="I253" s="491"/>
    </row>
    <row r="254" spans="1:9" ht="14.25">
      <c r="A254" s="485"/>
      <c r="B254" s="485"/>
      <c r="D254" s="1298"/>
      <c r="E254" s="1298"/>
      <c r="F254" s="1298"/>
      <c r="I254" s="491"/>
    </row>
    <row r="255" spans="1:9" ht="14.25">
      <c r="A255" s="485"/>
      <c r="B255" s="485"/>
      <c r="D255" s="446"/>
      <c r="E255" s="446"/>
      <c r="F255" s="446"/>
      <c r="I255" s="491"/>
    </row>
    <row r="256" spans="1:9" ht="14.25">
      <c r="A256" s="485"/>
      <c r="B256" s="486" t="s">
        <v>2730</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2730</v>
      </c>
      <c r="D259" s="1298" t="s">
        <v>1119</v>
      </c>
      <c r="E259" s="1298"/>
      <c r="F259" s="1298"/>
      <c r="I259" s="491"/>
    </row>
    <row r="260" spans="1:9" ht="14.25">
      <c r="A260" s="485"/>
      <c r="B260" s="485"/>
      <c r="D260" s="1298"/>
      <c r="E260" s="1298"/>
      <c r="F260" s="1298"/>
      <c r="I260" s="491"/>
    </row>
    <row r="261" spans="1:9">
      <c r="D261" s="492"/>
      <c r="I261" s="491"/>
    </row>
    <row r="262" spans="1:9">
      <c r="A262" s="1301" t="s">
        <v>1047</v>
      </c>
      <c r="B262" s="1301"/>
      <c r="C262" s="1301"/>
      <c r="D262" s="1301"/>
      <c r="E262" s="1301"/>
      <c r="F262" s="1301"/>
      <c r="G262" s="1301"/>
      <c r="H262" s="1029"/>
      <c r="I262" s="1155"/>
    </row>
    <row r="263" spans="1:9">
      <c r="D263" s="492"/>
      <c r="I263" s="491"/>
    </row>
    <row r="264" spans="1:9">
      <c r="C264" s="487"/>
      <c r="D264" s="1306" t="s">
        <v>1121</v>
      </c>
      <c r="E264" s="1306"/>
      <c r="F264" s="1306"/>
      <c r="I264" s="491"/>
    </row>
    <row r="265" spans="1:9">
      <c r="A265" s="483"/>
      <c r="B265" s="483"/>
      <c r="C265" s="483"/>
      <c r="D265" s="447"/>
      <c r="E265" s="447"/>
      <c r="F265" s="447"/>
      <c r="I265" s="491"/>
    </row>
    <row r="266" spans="1:9">
      <c r="A266" s="484"/>
      <c r="B266" s="484"/>
      <c r="C266" s="484"/>
      <c r="D266" s="1306" t="s">
        <v>268</v>
      </c>
      <c r="E266" s="1306"/>
      <c r="F266" s="1306"/>
      <c r="I266" s="491"/>
    </row>
    <row r="267" spans="1:9" ht="14.45" customHeight="1">
      <c r="A267" s="485"/>
      <c r="B267" s="486" t="s">
        <v>2730</v>
      </c>
      <c r="D267" s="1298" t="s">
        <v>1196</v>
      </c>
      <c r="E267" s="1298"/>
      <c r="F267" s="1298"/>
      <c r="I267" s="491"/>
    </row>
    <row r="268" spans="1:9">
      <c r="D268" s="1298"/>
      <c r="E268" s="1298"/>
      <c r="F268" s="1298"/>
      <c r="I268" s="491"/>
    </row>
    <row r="269" spans="1:9">
      <c r="E269" s="1037" t="s">
        <v>1898</v>
      </c>
      <c r="I269" s="491"/>
    </row>
    <row r="270" spans="1:9">
      <c r="D270" s="447"/>
      <c r="E270" s="447"/>
      <c r="F270" s="447"/>
      <c r="I270" s="491"/>
    </row>
    <row r="271" spans="1:9" ht="14.45" customHeight="1">
      <c r="A271" s="485"/>
      <c r="B271" s="486" t="s">
        <v>2731</v>
      </c>
      <c r="D271" s="1298" t="s">
        <v>2057</v>
      </c>
      <c r="E271" s="1298"/>
      <c r="F271" s="1298"/>
      <c r="I271" s="491"/>
    </row>
    <row r="272" spans="1:9">
      <c r="D272" s="1298"/>
      <c r="E272" s="1298"/>
      <c r="F272" s="1298"/>
      <c r="I272" s="491"/>
    </row>
    <row r="273" spans="1:9">
      <c r="D273" s="1298"/>
      <c r="E273" s="1298"/>
      <c r="F273" s="1298"/>
      <c r="I273" s="491"/>
    </row>
    <row r="274" spans="1:9">
      <c r="D274" s="1298"/>
      <c r="E274" s="1298"/>
      <c r="F274" s="1298"/>
      <c r="I274" s="491"/>
    </row>
    <row r="275" spans="1:9">
      <c r="D275" s="1298"/>
      <c r="E275" s="1298"/>
      <c r="F275" s="1298"/>
      <c r="I275" s="491"/>
    </row>
    <row r="276" spans="1:9">
      <c r="D276" s="1298"/>
      <c r="E276" s="1298"/>
      <c r="F276" s="1298"/>
      <c r="I276" s="491"/>
    </row>
    <row r="277" spans="1:9">
      <c r="D277" s="447"/>
      <c r="E277" s="447"/>
      <c r="F277" s="447"/>
      <c r="I277" s="491"/>
    </row>
    <row r="278" spans="1:9" ht="14.25">
      <c r="A278" s="485"/>
      <c r="B278" s="486" t="s">
        <v>2731</v>
      </c>
      <c r="D278" s="1298" t="s">
        <v>1122</v>
      </c>
      <c r="E278" s="1298"/>
      <c r="F278" s="1298"/>
      <c r="I278" s="491"/>
    </row>
    <row r="279" spans="1:9">
      <c r="D279" s="1298"/>
      <c r="E279" s="1298"/>
      <c r="F279" s="1298"/>
      <c r="I279" s="491"/>
    </row>
    <row r="280" spans="1:9">
      <c r="D280" s="1298"/>
      <c r="E280" s="1298"/>
      <c r="F280" s="1298"/>
      <c r="I280" s="491"/>
    </row>
    <row r="281" spans="1:9">
      <c r="D281" s="493"/>
      <c r="E281" s="447"/>
      <c r="F281" s="447"/>
      <c r="I281" s="491"/>
    </row>
    <row r="282" spans="1:9">
      <c r="A282" s="1301" t="s">
        <v>1048</v>
      </c>
      <c r="B282" s="1301"/>
      <c r="C282" s="1301"/>
      <c r="D282" s="1301"/>
      <c r="E282" s="1301"/>
      <c r="F282" s="1301"/>
      <c r="G282" s="1301"/>
      <c r="H282" s="1029"/>
      <c r="I282" s="1155"/>
    </row>
    <row r="283" spans="1:9">
      <c r="D283" s="493"/>
      <c r="E283" s="447"/>
      <c r="F283" s="447"/>
      <c r="I283" s="491"/>
    </row>
    <row r="284" spans="1:9">
      <c r="C284" s="483"/>
      <c r="D284" s="1300" t="s">
        <v>1123</v>
      </c>
      <c r="E284" s="1300"/>
      <c r="F284" s="1300"/>
      <c r="I284" s="491"/>
    </row>
    <row r="285" spans="1:9">
      <c r="C285" s="483"/>
      <c r="D285" s="1300"/>
      <c r="E285" s="1300"/>
      <c r="F285" s="1300"/>
      <c r="I285" s="491"/>
    </row>
    <row r="286" spans="1:9">
      <c r="A286" s="484"/>
      <c r="B286" s="484"/>
      <c r="C286" s="484"/>
      <c r="D286" s="405"/>
      <c r="I286" s="491"/>
    </row>
    <row r="287" spans="1:9">
      <c r="C287" s="484"/>
      <c r="D287" s="1306" t="s">
        <v>208</v>
      </c>
      <c r="E287" s="1306"/>
      <c r="F287" s="1306"/>
      <c r="I287" s="491"/>
    </row>
    <row r="288" spans="1:9" ht="15.75" customHeight="1">
      <c r="A288" s="485"/>
      <c r="B288" s="485"/>
      <c r="D288" s="1313" t="s">
        <v>1124</v>
      </c>
      <c r="E288" s="1313"/>
      <c r="F288" s="1313"/>
      <c r="I288" s="491"/>
    </row>
    <row r="289" spans="1:9">
      <c r="E289" s="447"/>
      <c r="F289" s="447"/>
      <c r="I289" s="491"/>
    </row>
    <row r="290" spans="1:9" ht="14.25">
      <c r="A290" s="485"/>
      <c r="B290" s="486" t="s">
        <v>2731</v>
      </c>
      <c r="D290" s="1298" t="s">
        <v>1125</v>
      </c>
      <c r="E290" s="1298"/>
      <c r="F290" s="1298"/>
      <c r="I290" s="491"/>
    </row>
    <row r="291" spans="1:9" ht="14.25">
      <c r="A291" s="485"/>
      <c r="B291" s="485"/>
      <c r="D291" s="1298"/>
      <c r="E291" s="1298"/>
      <c r="F291" s="1298"/>
      <c r="I291" s="491"/>
    </row>
    <row r="292" spans="1:9">
      <c r="D292" s="447"/>
      <c r="E292" s="447"/>
      <c r="F292" s="447"/>
      <c r="I292" s="491"/>
    </row>
    <row r="293" spans="1:9" ht="14.25">
      <c r="A293" s="485"/>
      <c r="B293" s="486" t="s">
        <v>2731</v>
      </c>
      <c r="D293" s="1298" t="s">
        <v>1126</v>
      </c>
      <c r="E293" s="1298"/>
      <c r="F293" s="1298"/>
      <c r="I293" s="491"/>
    </row>
    <row r="294" spans="1:9" ht="14.25">
      <c r="A294" s="485"/>
      <c r="B294" s="485"/>
      <c r="D294" s="1298"/>
      <c r="E294" s="1298"/>
      <c r="F294" s="1298"/>
      <c r="I294" s="491"/>
    </row>
    <row r="295" spans="1:9" ht="14.25">
      <c r="A295" s="485"/>
      <c r="B295" s="485"/>
      <c r="D295" s="1298"/>
      <c r="E295" s="1298"/>
      <c r="F295" s="1298"/>
      <c r="I295" s="491"/>
    </row>
    <row r="296" spans="1:9">
      <c r="D296" s="447"/>
      <c r="E296" s="447"/>
      <c r="F296" s="447"/>
      <c r="I296" s="491"/>
    </row>
    <row r="297" spans="1:9" ht="14.25">
      <c r="A297" s="485"/>
      <c r="B297" s="486" t="s">
        <v>2731</v>
      </c>
      <c r="D297" s="1298" t="s">
        <v>1127</v>
      </c>
      <c r="E297" s="1298"/>
      <c r="F297" s="1298"/>
      <c r="I297" s="491"/>
    </row>
    <row r="298" spans="1:9" ht="14.25">
      <c r="A298" s="485"/>
      <c r="B298" s="485"/>
      <c r="D298" s="1298"/>
      <c r="E298" s="1298"/>
      <c r="F298" s="1298"/>
      <c r="I298" s="491"/>
    </row>
    <row r="299" spans="1:9">
      <c r="A299" s="491"/>
      <c r="B299" s="491"/>
      <c r="E299" s="447"/>
      <c r="F299" s="447"/>
      <c r="I299" s="491"/>
    </row>
    <row r="300" spans="1:9">
      <c r="A300" s="1301" t="s">
        <v>1049</v>
      </c>
      <c r="B300" s="1301"/>
      <c r="C300" s="1301"/>
      <c r="D300" s="1301"/>
      <c r="E300" s="1301"/>
      <c r="F300" s="1301"/>
      <c r="G300" s="1301"/>
      <c r="H300" s="1029"/>
      <c r="I300" s="1155"/>
    </row>
    <row r="301" spans="1:9">
      <c r="A301" s="491"/>
      <c r="B301" s="491"/>
      <c r="D301" s="447"/>
      <c r="E301" s="447"/>
      <c r="F301" s="447"/>
      <c r="I301" s="491"/>
    </row>
    <row r="302" spans="1:9">
      <c r="C302" s="491"/>
      <c r="D302" s="1306" t="s">
        <v>682</v>
      </c>
      <c r="E302" s="1306"/>
      <c r="F302" s="1306"/>
      <c r="I302" s="491"/>
    </row>
    <row r="303" spans="1:9">
      <c r="C303" s="491"/>
      <c r="D303" s="1299" t="s">
        <v>1128</v>
      </c>
      <c r="E303" s="1299"/>
      <c r="F303" s="1299"/>
      <c r="I303" s="491"/>
    </row>
    <row r="304" spans="1:9">
      <c r="C304" s="491"/>
      <c r="D304" s="494"/>
      <c r="I304" s="491"/>
    </row>
    <row r="305" spans="1:9">
      <c r="B305" s="486" t="s">
        <v>2731</v>
      </c>
      <c r="D305" s="1299" t="s">
        <v>1129</v>
      </c>
      <c r="E305" s="1299"/>
      <c r="F305" s="1299"/>
      <c r="I305" s="491"/>
    </row>
    <row r="306" spans="1:9" ht="14.25">
      <c r="A306" s="485"/>
      <c r="B306" s="485"/>
      <c r="D306" s="495"/>
      <c r="E306" s="496"/>
      <c r="F306" s="496"/>
      <c r="I306" s="491"/>
    </row>
    <row r="307" spans="1:9" ht="13.7" customHeight="1">
      <c r="B307" s="486" t="s">
        <v>2731</v>
      </c>
      <c r="D307" s="1308" t="s">
        <v>1219</v>
      </c>
      <c r="E307" s="1308"/>
      <c r="F307" s="1308"/>
      <c r="I307" s="491"/>
    </row>
    <row r="308" spans="1:9" ht="14.25">
      <c r="A308" s="485"/>
      <c r="B308" s="485"/>
      <c r="D308" s="1308"/>
      <c r="E308" s="1308"/>
      <c r="F308" s="1308"/>
      <c r="I308" s="491"/>
    </row>
    <row r="309" spans="1:9" ht="14.25">
      <c r="A309" s="485"/>
      <c r="B309" s="485"/>
      <c r="D309" s="1308"/>
      <c r="E309" s="1308"/>
      <c r="F309" s="1308"/>
      <c r="I309" s="491"/>
    </row>
    <row r="310" spans="1:9" ht="14.25">
      <c r="A310" s="485"/>
      <c r="B310" s="485"/>
      <c r="D310" s="1308"/>
      <c r="E310" s="1308"/>
      <c r="F310" s="1308"/>
      <c r="I310" s="491"/>
    </row>
    <row r="311" spans="1:9" ht="14.25">
      <c r="A311" s="485"/>
      <c r="B311" s="485"/>
      <c r="D311" s="1308"/>
      <c r="E311" s="1308"/>
      <c r="F311" s="1308"/>
      <c r="I311" s="491"/>
    </row>
    <row r="312" spans="1:9" ht="14.25">
      <c r="A312" s="485"/>
      <c r="B312" s="485"/>
      <c r="D312" s="495"/>
      <c r="E312" s="496"/>
      <c r="F312" s="496"/>
      <c r="I312" s="491"/>
    </row>
    <row r="313" spans="1:9" ht="13.7" customHeight="1">
      <c r="B313" s="486" t="s">
        <v>2731</v>
      </c>
      <c r="D313" s="1308" t="s">
        <v>1130</v>
      </c>
      <c r="E313" s="1308"/>
      <c r="F313" s="1308"/>
      <c r="I313" s="491"/>
    </row>
    <row r="314" spans="1:9">
      <c r="D314" s="1308"/>
      <c r="E314" s="1308"/>
      <c r="F314" s="1308"/>
      <c r="I314" s="491"/>
    </row>
    <row r="315" spans="1:9" ht="14.25">
      <c r="A315" s="485"/>
      <c r="B315" s="485"/>
      <c r="D315" s="495"/>
      <c r="E315" s="496"/>
      <c r="F315" s="496"/>
      <c r="I315" s="491"/>
    </row>
    <row r="316" spans="1:9">
      <c r="B316" s="486" t="s">
        <v>2731</v>
      </c>
      <c r="D316" s="1299" t="s">
        <v>1131</v>
      </c>
      <c r="E316" s="1299"/>
      <c r="F316" s="1299"/>
      <c r="I316" s="491"/>
    </row>
    <row r="317" spans="1:9">
      <c r="E317" s="447"/>
      <c r="F317" s="447"/>
      <c r="I317" s="491"/>
    </row>
    <row r="318" spans="1:9" ht="14.25">
      <c r="A318" s="485"/>
      <c r="B318" s="486" t="s">
        <v>2731</v>
      </c>
      <c r="D318" s="1298" t="s">
        <v>2248</v>
      </c>
      <c r="E318" s="1298"/>
      <c r="F318" s="1298"/>
      <c r="I318" s="491"/>
    </row>
    <row r="319" spans="1:9" ht="14.25">
      <c r="A319" s="485"/>
      <c r="B319" s="485"/>
      <c r="D319" s="1298"/>
      <c r="E319" s="1298"/>
      <c r="F319" s="1298"/>
      <c r="I319" s="491"/>
    </row>
    <row r="320" spans="1:9" ht="14.25">
      <c r="A320" s="485"/>
      <c r="B320" s="485"/>
      <c r="D320" s="1298"/>
      <c r="E320" s="1298"/>
      <c r="F320" s="1298"/>
      <c r="I320" s="491"/>
    </row>
    <row r="321" spans="1:9" ht="14.25">
      <c r="A321" s="485"/>
      <c r="B321" s="485"/>
      <c r="D321" s="1298"/>
      <c r="E321" s="1298"/>
      <c r="F321" s="1298"/>
      <c r="I321" s="491"/>
    </row>
    <row r="322" spans="1:9" ht="14.25">
      <c r="A322" s="485"/>
      <c r="B322" s="485"/>
      <c r="D322" s="1298"/>
      <c r="E322" s="1298"/>
      <c r="F322" s="1298"/>
      <c r="I322" s="491"/>
    </row>
    <row r="323" spans="1:9" ht="14.25">
      <c r="A323" s="485"/>
      <c r="B323" s="485"/>
      <c r="D323" s="1298"/>
      <c r="E323" s="1298"/>
      <c r="F323" s="1298"/>
      <c r="I323" s="491"/>
    </row>
    <row r="324" spans="1:9" ht="14.25">
      <c r="A324" s="485"/>
      <c r="B324" s="485"/>
      <c r="D324" s="1298"/>
      <c r="E324" s="1298"/>
      <c r="F324" s="1298"/>
      <c r="I324" s="491"/>
    </row>
    <row r="325" spans="1:9" ht="14.25">
      <c r="A325" s="485"/>
      <c r="B325" s="485"/>
      <c r="D325" s="1298"/>
      <c r="E325" s="1298"/>
      <c r="F325" s="1298"/>
      <c r="I325" s="491"/>
    </row>
    <row r="326" spans="1:9" ht="14.25">
      <c r="A326" s="485"/>
      <c r="B326" s="485"/>
      <c r="D326" s="1298"/>
      <c r="E326" s="1298"/>
      <c r="F326" s="1298"/>
      <c r="I326" s="491"/>
    </row>
    <row r="327" spans="1:9" ht="14.25">
      <c r="A327" s="485"/>
      <c r="B327" s="485"/>
      <c r="D327" s="1298"/>
      <c r="E327" s="1298"/>
      <c r="F327" s="1298"/>
      <c r="I327" s="491"/>
    </row>
    <row r="328" spans="1:9" ht="14.25">
      <c r="A328" s="485"/>
      <c r="B328" s="485"/>
      <c r="D328" s="1298"/>
      <c r="E328" s="1298"/>
      <c r="F328" s="1298"/>
      <c r="I328" s="491"/>
    </row>
    <row r="329" spans="1:9" ht="14.25">
      <c r="A329" s="485"/>
      <c r="B329" s="485"/>
      <c r="D329" s="1298"/>
      <c r="E329" s="1298"/>
      <c r="F329" s="1298"/>
      <c r="I329" s="491"/>
    </row>
    <row r="330" spans="1:9" ht="14.25">
      <c r="A330" s="485"/>
      <c r="B330" s="485"/>
      <c r="D330" s="1298"/>
      <c r="E330" s="1298"/>
      <c r="F330" s="1298"/>
      <c r="I330" s="491"/>
    </row>
    <row r="331" spans="1:9" ht="14.25">
      <c r="A331" s="485"/>
      <c r="B331" s="485"/>
      <c r="D331" s="1298"/>
      <c r="E331" s="1298"/>
      <c r="F331" s="1298"/>
      <c r="I331" s="491"/>
    </row>
    <row r="332" spans="1:9" ht="14.25">
      <c r="A332" s="485"/>
      <c r="B332" s="485"/>
      <c r="D332" s="1298"/>
      <c r="E332" s="1298"/>
      <c r="F332" s="1298"/>
      <c r="I332" s="491"/>
    </row>
    <row r="333" spans="1:9">
      <c r="D333" s="447"/>
      <c r="E333" s="447"/>
      <c r="F333" s="447"/>
      <c r="I333" s="491"/>
    </row>
    <row r="334" spans="1:9" ht="14.25">
      <c r="A334" s="485"/>
      <c r="B334" s="486" t="s">
        <v>2731</v>
      </c>
      <c r="D334" s="1298" t="s">
        <v>1132</v>
      </c>
      <c r="E334" s="1298"/>
      <c r="F334" s="1298"/>
      <c r="I334" s="491"/>
    </row>
    <row r="335" spans="1:9">
      <c r="D335" s="1298"/>
      <c r="E335" s="1298"/>
      <c r="F335" s="1298"/>
      <c r="I335" s="491"/>
    </row>
    <row r="336" spans="1:9">
      <c r="D336" s="1298"/>
      <c r="E336" s="1298"/>
      <c r="F336" s="1298"/>
      <c r="I336" s="491"/>
    </row>
    <row r="337" spans="1:9">
      <c r="D337" s="1298"/>
      <c r="E337" s="1298"/>
      <c r="F337" s="1298"/>
      <c r="I337" s="491"/>
    </row>
    <row r="338" spans="1:9">
      <c r="D338" s="1298"/>
      <c r="E338" s="1298"/>
      <c r="F338" s="1298"/>
      <c r="I338" s="491"/>
    </row>
    <row r="339" spans="1:9">
      <c r="D339" s="1298"/>
      <c r="E339" s="1298"/>
      <c r="F339" s="1298"/>
      <c r="I339" s="491"/>
    </row>
    <row r="340" spans="1:9">
      <c r="D340" s="1298"/>
      <c r="E340" s="1298"/>
      <c r="F340" s="1298"/>
      <c r="I340" s="491"/>
    </row>
    <row r="341" spans="1:9">
      <c r="D341" s="1298"/>
      <c r="E341" s="1298"/>
      <c r="F341" s="1298"/>
      <c r="I341" s="491"/>
    </row>
    <row r="342" spans="1:9">
      <c r="D342" s="1298"/>
      <c r="E342" s="1298"/>
      <c r="F342" s="1298"/>
      <c r="I342" s="491"/>
    </row>
    <row r="343" spans="1:9">
      <c r="D343" s="447"/>
      <c r="E343" s="447"/>
      <c r="F343" s="447"/>
      <c r="I343" s="491"/>
    </row>
    <row r="344" spans="1:9" ht="14.25" customHeight="1">
      <c r="A344" s="485"/>
      <c r="B344" s="486" t="s">
        <v>2731</v>
      </c>
      <c r="D344" s="1298" t="s">
        <v>1903</v>
      </c>
      <c r="E344" s="1298"/>
      <c r="F344" s="1298"/>
      <c r="I344" s="491"/>
    </row>
    <row r="345" spans="1:9">
      <c r="D345" s="1298"/>
      <c r="E345" s="1298"/>
      <c r="F345" s="1298"/>
      <c r="I345" s="491"/>
    </row>
    <row r="346" spans="1:9">
      <c r="D346" s="1298"/>
      <c r="E346" s="1298"/>
      <c r="F346" s="1298"/>
      <c r="I346" s="491"/>
    </row>
    <row r="347" spans="1:9">
      <c r="D347" s="1298"/>
      <c r="E347" s="1298"/>
      <c r="F347" s="1298"/>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11" t="s">
        <v>979</v>
      </c>
      <c r="E351" s="1311"/>
      <c r="F351" s="1311"/>
      <c r="G351" s="1028"/>
      <c r="H351" s="1028"/>
      <c r="I351" s="1158"/>
    </row>
    <row r="352" spans="1:9" ht="13.5" thickTop="1">
      <c r="D352" s="1309" t="s">
        <v>2249</v>
      </c>
      <c r="E352" s="1309"/>
      <c r="F352" s="1309"/>
      <c r="I352" s="491"/>
    </row>
    <row r="353" spans="1:9">
      <c r="D353" s="447"/>
      <c r="E353" s="447"/>
      <c r="F353" s="447"/>
      <c r="I353" s="491"/>
    </row>
    <row r="354" spans="1:9">
      <c r="A354" s="477"/>
      <c r="B354" s="477"/>
      <c r="C354" s="477"/>
      <c r="D354" s="448"/>
      <c r="E354" s="448"/>
      <c r="F354" s="447"/>
      <c r="I354" s="491"/>
    </row>
    <row r="355" spans="1:9" ht="14.25">
      <c r="A355" s="485"/>
      <c r="B355" s="486" t="s">
        <v>2731</v>
      </c>
      <c r="C355" s="488"/>
      <c r="D355" s="1299" t="s">
        <v>1901</v>
      </c>
      <c r="E355" s="1299"/>
      <c r="F355" s="1299"/>
      <c r="I355" s="491"/>
    </row>
    <row r="356" spans="1:9" ht="12.75" customHeight="1">
      <c r="D356" s="1038"/>
      <c r="E356" s="96" t="s">
        <v>1900</v>
      </c>
      <c r="F356" s="1038"/>
      <c r="I356" s="491"/>
    </row>
    <row r="357" spans="1:9">
      <c r="D357" s="1298" t="s">
        <v>1239</v>
      </c>
      <c r="E357" s="1298"/>
      <c r="F357" s="1298"/>
      <c r="I357" s="491"/>
    </row>
    <row r="358" spans="1:9">
      <c r="D358" s="1298"/>
      <c r="E358" s="1298"/>
      <c r="F358" s="1298"/>
      <c r="I358" s="491"/>
    </row>
    <row r="359" spans="1:9">
      <c r="D359" s="1298"/>
      <c r="E359" s="1298"/>
      <c r="F359" s="1298"/>
      <c r="I359" s="491"/>
    </row>
    <row r="360" spans="1:9" ht="14.25">
      <c r="A360" s="485"/>
      <c r="B360" s="486" t="s">
        <v>2731</v>
      </c>
      <c r="C360" s="477"/>
      <c r="D360" s="1310" t="s">
        <v>2058</v>
      </c>
      <c r="E360" s="1310"/>
      <c r="F360" s="1310"/>
      <c r="I360" s="481"/>
    </row>
    <row r="361" spans="1:9">
      <c r="A361" s="477"/>
      <c r="B361" s="477"/>
      <c r="C361" s="477"/>
      <c r="D361" s="448"/>
      <c r="E361" s="448"/>
      <c r="F361" s="447"/>
      <c r="I361" s="491"/>
    </row>
    <row r="362" spans="1:9">
      <c r="A362" s="477"/>
      <c r="B362" s="486" t="s">
        <v>2731</v>
      </c>
      <c r="C362" s="477"/>
      <c r="D362" s="1278" t="s">
        <v>2059</v>
      </c>
      <c r="E362" s="1278"/>
      <c r="F362" s="1278"/>
      <c r="I362" s="491"/>
    </row>
    <row r="363" spans="1:9">
      <c r="A363" s="477"/>
      <c r="B363" s="477"/>
      <c r="C363" s="477"/>
      <c r="D363" s="1278"/>
      <c r="E363" s="1278"/>
      <c r="F363" s="1278"/>
      <c r="I363" s="491"/>
    </row>
    <row r="364" spans="1:9">
      <c r="A364" s="477"/>
      <c r="B364" s="477"/>
      <c r="C364" s="477"/>
      <c r="D364" s="1278"/>
      <c r="E364" s="1278"/>
      <c r="F364" s="1278"/>
      <c r="I364" s="491"/>
    </row>
    <row r="365" spans="1:9">
      <c r="A365" s="477"/>
      <c r="B365" s="477"/>
      <c r="C365" s="477"/>
      <c r="D365" s="1278"/>
      <c r="E365" s="1278"/>
      <c r="F365" s="1278"/>
      <c r="I365" s="491"/>
    </row>
    <row r="366" spans="1:9">
      <c r="A366" s="477"/>
      <c r="B366" s="477"/>
      <c r="C366" s="477"/>
      <c r="D366" s="1278"/>
      <c r="E366" s="1278"/>
      <c r="F366" s="1278"/>
      <c r="I366" s="491"/>
    </row>
    <row r="367" spans="1:9">
      <c r="A367" s="477"/>
      <c r="B367" s="477"/>
      <c r="C367" s="477"/>
      <c r="D367" s="1278"/>
      <c r="E367" s="1278"/>
      <c r="F367" s="1278"/>
      <c r="I367" s="491"/>
    </row>
    <row r="368" spans="1:9">
      <c r="A368" s="477"/>
      <c r="B368" s="477"/>
      <c r="C368" s="477"/>
      <c r="D368" s="1278"/>
      <c r="E368" s="1278"/>
      <c r="F368" s="1278"/>
      <c r="I368" s="491"/>
    </row>
    <row r="369" spans="1:9">
      <c r="A369" s="477"/>
      <c r="B369" s="477"/>
      <c r="C369" s="477"/>
      <c r="D369" s="1278"/>
      <c r="E369" s="1278"/>
      <c r="F369" s="1278"/>
      <c r="I369" s="491"/>
    </row>
    <row r="370" spans="1:9">
      <c r="A370" s="477"/>
      <c r="B370" s="477"/>
      <c r="C370" s="477"/>
      <c r="D370" s="1278"/>
      <c r="E370" s="1278"/>
      <c r="F370" s="1278"/>
      <c r="I370" s="491"/>
    </row>
    <row r="371" spans="1:9">
      <c r="A371" s="477"/>
      <c r="B371" s="477"/>
      <c r="C371" s="477"/>
      <c r="D371" s="1278"/>
      <c r="E371" s="1278"/>
      <c r="F371" s="1278"/>
      <c r="I371" s="491"/>
    </row>
    <row r="372" spans="1:9">
      <c r="A372" s="477"/>
      <c r="B372" s="477"/>
      <c r="C372" s="477"/>
      <c r="D372" s="1278"/>
      <c r="E372" s="1278"/>
      <c r="F372" s="1278"/>
      <c r="I372" s="491"/>
    </row>
    <row r="373" spans="1:9">
      <c r="A373" s="477"/>
      <c r="B373" s="477"/>
      <c r="C373" s="477"/>
      <c r="D373" s="1278"/>
      <c r="E373" s="1278"/>
      <c r="F373" s="1278"/>
      <c r="I373" s="491"/>
    </row>
    <row r="374" spans="1:9">
      <c r="A374" s="477"/>
      <c r="B374" s="477"/>
      <c r="C374" s="477"/>
      <c r="D374" s="452"/>
      <c r="E374" s="452"/>
      <c r="F374" s="452"/>
      <c r="I374" s="491"/>
    </row>
    <row r="375" spans="1:9" ht="12.75" customHeight="1">
      <c r="A375" s="477"/>
      <c r="B375" s="486" t="s">
        <v>2731</v>
      </c>
      <c r="C375" s="477"/>
      <c r="D375" s="1295" t="s">
        <v>1221</v>
      </c>
      <c r="E375" s="1295"/>
      <c r="F375" s="1295"/>
      <c r="I375" s="491"/>
    </row>
    <row r="376" spans="1:9">
      <c r="A376" s="477"/>
      <c r="B376" s="477"/>
      <c r="C376" s="477"/>
      <c r="D376" s="1295"/>
      <c r="E376" s="1295"/>
      <c r="F376" s="1295"/>
      <c r="I376" s="491"/>
    </row>
    <row r="377" spans="1:9">
      <c r="A377" s="477"/>
      <c r="B377" s="477"/>
      <c r="C377" s="477"/>
      <c r="D377" s="1295"/>
      <c r="E377" s="1295"/>
      <c r="F377" s="1295"/>
      <c r="I377" s="491"/>
    </row>
    <row r="378" spans="1:9">
      <c r="A378" s="477"/>
      <c r="B378" s="477"/>
      <c r="C378" s="477"/>
      <c r="D378" s="1295"/>
      <c r="E378" s="1295"/>
      <c r="F378" s="1295"/>
      <c r="I378" s="491"/>
    </row>
    <row r="379" spans="1:9">
      <c r="A379" s="477"/>
      <c r="B379" s="477"/>
      <c r="C379" s="477"/>
      <c r="D379" s="525"/>
      <c r="E379" s="525"/>
      <c r="F379" s="525"/>
      <c r="I379" s="491"/>
    </row>
    <row r="380" spans="1:9">
      <c r="A380" s="477"/>
      <c r="B380" s="486" t="s">
        <v>2731</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2731</v>
      </c>
      <c r="C387" s="477"/>
      <c r="D387" s="1278" t="s">
        <v>1133</v>
      </c>
      <c r="E387" s="1278"/>
      <c r="F387" s="1278"/>
      <c r="I387" s="491"/>
    </row>
    <row r="388" spans="1:9">
      <c r="A388" s="477"/>
      <c r="B388" s="477"/>
      <c r="C388" s="477"/>
      <c r="D388" s="1278"/>
      <c r="E388" s="1278"/>
      <c r="F388" s="1278"/>
      <c r="I388" s="491"/>
    </row>
    <row r="389" spans="1:9">
      <c r="A389" s="477"/>
      <c r="B389" s="477"/>
      <c r="C389" s="477"/>
      <c r="D389" s="1278"/>
      <c r="E389" s="1278"/>
      <c r="F389" s="1278"/>
      <c r="I389" s="491"/>
    </row>
    <row r="390" spans="1:9">
      <c r="A390" s="477"/>
      <c r="B390" s="477"/>
      <c r="C390" s="477"/>
      <c r="D390" s="1278"/>
      <c r="E390" s="1278"/>
      <c r="F390" s="1278"/>
      <c r="I390" s="491"/>
    </row>
    <row r="391" spans="1:9">
      <c r="A391" s="477"/>
      <c r="B391" s="477"/>
      <c r="C391" s="477"/>
      <c r="D391" s="448"/>
      <c r="E391" s="448"/>
      <c r="F391" s="447"/>
      <c r="I391" s="491"/>
    </row>
    <row r="392" spans="1:9">
      <c r="A392" s="477"/>
      <c r="B392" s="477"/>
      <c r="C392" s="477"/>
      <c r="D392" s="1278" t="s">
        <v>1134</v>
      </c>
      <c r="E392" s="1278"/>
      <c r="F392" s="1278"/>
      <c r="I392" s="491"/>
    </row>
    <row r="393" spans="1:9">
      <c r="A393" s="477"/>
      <c r="B393" s="477"/>
      <c r="C393" s="477"/>
      <c r="D393" s="1278"/>
      <c r="E393" s="1278"/>
      <c r="F393" s="1278"/>
      <c r="I393" s="491"/>
    </row>
    <row r="394" spans="1:9">
      <c r="A394" s="477"/>
      <c r="B394" s="477"/>
      <c r="C394" s="477"/>
      <c r="D394" s="1278"/>
      <c r="E394" s="1278"/>
      <c r="F394" s="1278"/>
      <c r="I394" s="491"/>
    </row>
    <row r="395" spans="1:9">
      <c r="A395" s="477"/>
      <c r="B395" s="477"/>
      <c r="C395" s="477"/>
      <c r="D395" s="1278"/>
      <c r="E395" s="1278"/>
      <c r="F395" s="1278"/>
      <c r="I395" s="491"/>
    </row>
    <row r="396" spans="1:9" ht="18" customHeight="1">
      <c r="A396" s="477"/>
      <c r="B396" s="477"/>
      <c r="C396" s="477"/>
      <c r="D396" s="1278"/>
      <c r="E396" s="1278"/>
      <c r="F396" s="1278"/>
      <c r="I396" s="491"/>
    </row>
    <row r="397" spans="1:9">
      <c r="A397" s="477"/>
      <c r="B397" s="477"/>
      <c r="C397" s="477"/>
      <c r="D397" s="1278"/>
      <c r="E397" s="1278"/>
      <c r="F397" s="1278"/>
      <c r="I397" s="491"/>
    </row>
    <row r="398" spans="1:9">
      <c r="A398" s="477"/>
      <c r="B398" s="477"/>
      <c r="C398" s="477"/>
      <c r="D398" s="1278"/>
      <c r="E398" s="1278"/>
      <c r="F398" s="1278"/>
      <c r="I398" s="491"/>
    </row>
    <row r="399" spans="1:9">
      <c r="A399" s="477"/>
      <c r="B399" s="477"/>
      <c r="C399" s="477"/>
      <c r="D399" s="1278"/>
      <c r="E399" s="1278"/>
      <c r="F399" s="1278"/>
      <c r="I399" s="491"/>
    </row>
    <row r="400" spans="1:9" ht="8.25" customHeight="1">
      <c r="A400" s="477"/>
      <c r="B400" s="477"/>
      <c r="C400" s="477"/>
      <c r="D400" s="1278"/>
      <c r="E400" s="1278"/>
      <c r="F400" s="1278"/>
      <c r="I400" s="491"/>
    </row>
    <row r="401" spans="1:9" ht="13.7" customHeight="1">
      <c r="A401" s="477"/>
      <c r="B401" s="477"/>
      <c r="C401" s="477"/>
      <c r="D401" s="1278" t="s">
        <v>1135</v>
      </c>
      <c r="E401" s="1278"/>
      <c r="F401" s="1278"/>
      <c r="I401" s="491"/>
    </row>
    <row r="402" spans="1:9">
      <c r="A402" s="477"/>
      <c r="B402" s="477"/>
      <c r="C402" s="477"/>
      <c r="D402" s="1278"/>
      <c r="E402" s="1278"/>
      <c r="F402" s="1278"/>
      <c r="I402" s="491"/>
    </row>
    <row r="403" spans="1:9">
      <c r="A403" s="477"/>
      <c r="B403" s="477"/>
      <c r="C403" s="477"/>
      <c r="D403" s="1278"/>
      <c r="E403" s="1278"/>
      <c r="F403" s="1278"/>
      <c r="I403" s="491"/>
    </row>
    <row r="404" spans="1:9">
      <c r="A404" s="477"/>
      <c r="B404" s="477"/>
      <c r="C404" s="477"/>
      <c r="D404" s="1278"/>
      <c r="E404" s="1278"/>
      <c r="F404" s="1278"/>
      <c r="I404" s="491"/>
    </row>
    <row r="405" spans="1:9">
      <c r="A405" s="477"/>
      <c r="B405" s="477"/>
      <c r="C405" s="477"/>
      <c r="D405" s="1278"/>
      <c r="E405" s="1278"/>
      <c r="F405" s="1278"/>
      <c r="I405" s="491"/>
    </row>
    <row r="406" spans="1:9">
      <c r="A406" s="477"/>
      <c r="B406" s="477"/>
      <c r="C406" s="477"/>
      <c r="D406" s="1278"/>
      <c r="E406" s="1278"/>
      <c r="F406" s="1278"/>
      <c r="I406" s="491"/>
    </row>
    <row r="407" spans="1:9">
      <c r="A407" s="477"/>
      <c r="B407" s="477"/>
      <c r="C407" s="477"/>
      <c r="D407" s="1278"/>
      <c r="E407" s="1278"/>
      <c r="F407" s="1278"/>
      <c r="I407" s="491"/>
    </row>
    <row r="408" spans="1:9">
      <c r="A408" s="477"/>
      <c r="B408" s="477"/>
      <c r="C408" s="477"/>
      <c r="D408" s="1278"/>
      <c r="E408" s="1278"/>
      <c r="F408" s="1278"/>
      <c r="I408" s="491"/>
    </row>
    <row r="409" spans="1:9">
      <c r="A409" s="477"/>
      <c r="B409" s="477"/>
      <c r="C409" s="477"/>
      <c r="D409" s="1278"/>
      <c r="E409" s="1278"/>
      <c r="F409" s="1278"/>
      <c r="I409" s="491"/>
    </row>
    <row r="410" spans="1:9">
      <c r="A410" s="477"/>
      <c r="B410" s="477"/>
      <c r="C410" s="477"/>
      <c r="D410" s="1278"/>
      <c r="E410" s="1278"/>
      <c r="F410" s="1278"/>
      <c r="I410" s="491"/>
    </row>
    <row r="411" spans="1:9">
      <c r="A411" s="477"/>
      <c r="B411" s="477"/>
      <c r="C411" s="477"/>
      <c r="D411" s="1278"/>
      <c r="E411" s="1278"/>
      <c r="F411" s="1278"/>
      <c r="I411" s="491"/>
    </row>
    <row r="412" spans="1:9">
      <c r="A412" s="477"/>
      <c r="B412" s="477"/>
      <c r="C412" s="477"/>
      <c r="D412" s="1278"/>
      <c r="E412" s="1278"/>
      <c r="F412" s="1278"/>
      <c r="I412" s="491"/>
    </row>
    <row r="413" spans="1:9">
      <c r="A413" s="477"/>
      <c r="B413" s="477"/>
      <c r="C413" s="497"/>
      <c r="D413" s="1278"/>
      <c r="E413" s="1278"/>
      <c r="F413" s="1278"/>
      <c r="I413" s="491"/>
    </row>
    <row r="414" spans="1:9">
      <c r="A414" s="477"/>
      <c r="B414" s="477"/>
      <c r="C414" s="497"/>
      <c r="D414" s="1278"/>
      <c r="E414" s="1278"/>
      <c r="F414" s="1278"/>
      <c r="I414" s="491"/>
    </row>
    <row r="415" spans="1:9">
      <c r="A415" s="477"/>
      <c r="B415" s="477"/>
      <c r="C415" s="477"/>
      <c r="D415" s="1278"/>
      <c r="E415" s="1278"/>
      <c r="F415" s="1278"/>
      <c r="I415" s="491"/>
    </row>
    <row r="416" spans="1:9">
      <c r="A416" s="477"/>
      <c r="B416" s="477"/>
      <c r="C416" s="497"/>
      <c r="D416" s="1278"/>
      <c r="E416" s="1278"/>
      <c r="F416" s="1278"/>
      <c r="I416" s="491"/>
    </row>
    <row r="417" spans="1:9">
      <c r="A417" s="477"/>
      <c r="B417" s="477"/>
      <c r="C417" s="497"/>
      <c r="D417" s="1278"/>
      <c r="E417" s="1278"/>
      <c r="F417" s="1278"/>
      <c r="I417" s="491"/>
    </row>
    <row r="418" spans="1:9">
      <c r="A418" s="477"/>
      <c r="B418" s="477"/>
      <c r="C418" s="497"/>
      <c r="D418" s="1278"/>
      <c r="E418" s="1278"/>
      <c r="F418" s="1278"/>
      <c r="I418" s="491"/>
    </row>
    <row r="419" spans="1:9">
      <c r="A419" s="477"/>
      <c r="B419" s="477"/>
      <c r="C419" s="477"/>
      <c r="D419" s="448"/>
      <c r="E419" s="448"/>
      <c r="F419" s="447"/>
      <c r="I419" s="491"/>
    </row>
    <row r="420" spans="1:9">
      <c r="A420" s="477"/>
      <c r="B420" s="486" t="s">
        <v>2731</v>
      </c>
      <c r="C420" s="477"/>
      <c r="D420" s="1278" t="s">
        <v>1136</v>
      </c>
      <c r="E420" s="1278"/>
      <c r="F420" s="1278"/>
      <c r="I420" s="491"/>
    </row>
    <row r="421" spans="1:9">
      <c r="A421" s="477"/>
      <c r="B421" s="477"/>
      <c r="C421" s="477"/>
      <c r="D421" s="1278"/>
      <c r="E421" s="1278"/>
      <c r="F421" s="1278"/>
      <c r="I421" s="491"/>
    </row>
    <row r="422" spans="1:9">
      <c r="A422" s="477"/>
      <c r="B422" s="477"/>
      <c r="C422" s="477"/>
      <c r="D422" s="452"/>
      <c r="E422" s="452"/>
      <c r="F422" s="452"/>
      <c r="I422" s="491"/>
    </row>
    <row r="423" spans="1:9" ht="14.45" customHeight="1">
      <c r="A423" s="485"/>
      <c r="B423" s="486" t="s">
        <v>2731</v>
      </c>
      <c r="D423" s="1278" t="s">
        <v>1882</v>
      </c>
      <c r="E423" s="1278"/>
      <c r="F423" s="1278"/>
      <c r="I423" s="491"/>
    </row>
    <row r="424" spans="1:9" ht="14.45" customHeight="1">
      <c r="A424" s="485"/>
      <c r="D424" s="1278"/>
      <c r="E424" s="1278"/>
      <c r="F424" s="1278"/>
      <c r="I424" s="491"/>
    </row>
    <row r="425" spans="1:9" ht="14.45" customHeight="1">
      <c r="A425" s="485"/>
      <c r="D425" s="1278"/>
      <c r="E425" s="1278"/>
      <c r="F425" s="1278"/>
      <c r="I425" s="491"/>
    </row>
    <row r="426" spans="1:9" ht="14.45" customHeight="1">
      <c r="A426" s="485"/>
      <c r="D426" s="1278"/>
      <c r="E426" s="1278"/>
      <c r="F426" s="1278"/>
      <c r="I426" s="491"/>
    </row>
    <row r="427" spans="1:9" ht="14.45" customHeight="1">
      <c r="A427" s="485"/>
      <c r="D427" s="1278"/>
      <c r="E427" s="1278"/>
      <c r="F427" s="1278"/>
      <c r="I427" s="491"/>
    </row>
    <row r="428" spans="1:9" ht="14.45" customHeight="1">
      <c r="A428" s="485"/>
      <c r="D428" s="386"/>
      <c r="E428" s="386"/>
      <c r="F428" s="386"/>
      <c r="I428" s="491"/>
    </row>
    <row r="429" spans="1:9" ht="13.7" customHeight="1">
      <c r="A429" s="485"/>
      <c r="B429" s="486" t="s">
        <v>2731</v>
      </c>
      <c r="C429" s="477"/>
      <c r="D429" s="1278" t="s">
        <v>1240</v>
      </c>
      <c r="E429" s="1278"/>
      <c r="F429" s="1278"/>
      <c r="I429" s="491"/>
    </row>
    <row r="430" spans="1:9" ht="14.25">
      <c r="A430" s="498"/>
      <c r="B430" s="498"/>
      <c r="C430" s="477"/>
      <c r="D430" s="1278"/>
      <c r="E430" s="1278"/>
      <c r="F430" s="1278"/>
      <c r="I430" s="491"/>
    </row>
    <row r="431" spans="1:9" ht="14.25">
      <c r="A431" s="498"/>
      <c r="B431" s="498"/>
      <c r="C431" s="477"/>
      <c r="D431" s="1278"/>
      <c r="E431" s="1278"/>
      <c r="F431" s="1278"/>
      <c r="I431" s="491"/>
    </row>
    <row r="432" spans="1:9" ht="14.25">
      <c r="A432" s="498"/>
      <c r="B432" s="498"/>
      <c r="C432" s="477"/>
      <c r="D432" s="1278"/>
      <c r="E432" s="1278"/>
      <c r="F432" s="1278"/>
      <c r="I432" s="491"/>
    </row>
    <row r="433" spans="1:9" ht="15.75" customHeight="1">
      <c r="A433" s="498"/>
      <c r="B433" s="498"/>
      <c r="C433" s="477"/>
      <c r="D433" s="1312" t="s">
        <v>2075</v>
      </c>
      <c r="E433" s="1278"/>
      <c r="F433" s="1278"/>
      <c r="I433" s="491"/>
    </row>
    <row r="434" spans="1:9">
      <c r="D434" s="447"/>
      <c r="E434" s="447"/>
      <c r="F434" s="447"/>
      <c r="I434" s="491"/>
    </row>
    <row r="435" spans="1:9" ht="14.25">
      <c r="A435" s="485"/>
      <c r="B435" s="486" t="s">
        <v>2731</v>
      </c>
      <c r="C435" s="488"/>
      <c r="D435" s="1298" t="s">
        <v>2060</v>
      </c>
      <c r="E435" s="1298"/>
      <c r="F435" s="1298"/>
      <c r="I435" s="491"/>
    </row>
    <row r="436" spans="1:9" ht="14.25">
      <c r="A436" s="485"/>
      <c r="B436" s="485"/>
      <c r="D436" s="1298"/>
      <c r="E436" s="1298"/>
      <c r="F436" s="1298"/>
      <c r="I436" s="491"/>
    </row>
    <row r="437" spans="1:9">
      <c r="D437" s="1298"/>
      <c r="E437" s="1298"/>
      <c r="F437" s="1298"/>
      <c r="I437" s="491"/>
    </row>
    <row r="438" spans="1:9">
      <c r="D438" s="1298"/>
      <c r="E438" s="1298"/>
      <c r="F438" s="1298"/>
      <c r="I438" s="491"/>
    </row>
    <row r="439" spans="1:9">
      <c r="D439" s="1298"/>
      <c r="E439" s="1298"/>
      <c r="F439" s="1298"/>
      <c r="I439" s="491"/>
    </row>
    <row r="440" spans="1:9">
      <c r="D440" s="1298"/>
      <c r="E440" s="1298"/>
      <c r="F440" s="1298"/>
      <c r="I440" s="491"/>
    </row>
    <row r="441" spans="1:9">
      <c r="D441" s="1298"/>
      <c r="E441" s="1298"/>
      <c r="F441" s="1298"/>
      <c r="I441" s="491"/>
    </row>
    <row r="442" spans="1:9">
      <c r="D442" s="1298"/>
      <c r="E442" s="1298"/>
      <c r="F442" s="1298"/>
      <c r="I442" s="491"/>
    </row>
    <row r="443" spans="1:9">
      <c r="D443" s="1298"/>
      <c r="E443" s="1298"/>
      <c r="F443" s="1298"/>
      <c r="I443" s="491"/>
    </row>
    <row r="444" spans="1:9">
      <c r="D444" s="1298"/>
      <c r="E444" s="1298"/>
      <c r="F444" s="1298"/>
      <c r="I444" s="491"/>
    </row>
    <row r="445" spans="1:9">
      <c r="D445" s="1298"/>
      <c r="E445" s="1298"/>
      <c r="F445" s="1298"/>
      <c r="I445" s="491"/>
    </row>
    <row r="446" spans="1:9">
      <c r="D446" s="1298"/>
      <c r="E446" s="1298"/>
      <c r="F446" s="1298"/>
      <c r="I446" s="491"/>
    </row>
    <row r="447" spans="1:9">
      <c r="D447" s="1298"/>
      <c r="E447" s="1298"/>
      <c r="F447" s="1298"/>
      <c r="I447" s="491"/>
    </row>
    <row r="448" spans="1:9">
      <c r="A448" s="403"/>
      <c r="B448" s="403"/>
      <c r="C448" s="403"/>
      <c r="D448" s="1298"/>
      <c r="E448" s="1298"/>
      <c r="F448" s="1298"/>
      <c r="I448" s="491"/>
    </row>
    <row r="449" spans="1:9">
      <c r="A449" s="403"/>
      <c r="B449" s="403"/>
      <c r="C449" s="403"/>
      <c r="D449" s="1298"/>
      <c r="E449" s="1298"/>
      <c r="F449" s="1298"/>
      <c r="I449" s="491"/>
    </row>
    <row r="450" spans="1:9">
      <c r="A450" s="403"/>
      <c r="B450" s="403"/>
      <c r="C450" s="403"/>
      <c r="D450" s="1298"/>
      <c r="E450" s="1298"/>
      <c r="F450" s="1298"/>
      <c r="I450" s="491"/>
    </row>
    <row r="451" spans="1:9">
      <c r="A451" s="403"/>
      <c r="B451" s="403"/>
      <c r="C451" s="403"/>
      <c r="D451" s="1298"/>
      <c r="E451" s="1298"/>
      <c r="F451" s="1298"/>
      <c r="I451" s="491"/>
    </row>
    <row r="452" spans="1:9">
      <c r="A452" s="403"/>
      <c r="B452" s="403"/>
      <c r="C452" s="403"/>
      <c r="D452" s="1298"/>
      <c r="E452" s="1298"/>
      <c r="F452" s="1298"/>
      <c r="I452" s="491"/>
    </row>
    <row r="453" spans="1:9">
      <c r="A453" s="403"/>
      <c r="B453" s="403"/>
      <c r="C453" s="403"/>
      <c r="D453" s="1298"/>
      <c r="E453" s="1298"/>
      <c r="F453" s="1298"/>
      <c r="I453" s="491"/>
    </row>
    <row r="454" spans="1:9">
      <c r="A454" s="403"/>
      <c r="B454" s="403"/>
      <c r="C454" s="403"/>
      <c r="D454" s="1298"/>
      <c r="E454" s="1298"/>
      <c r="F454" s="1298"/>
      <c r="I454" s="491"/>
    </row>
    <row r="455" spans="1:9">
      <c r="A455" s="403"/>
      <c r="B455" s="403"/>
      <c r="C455" s="403"/>
      <c r="D455" s="1298"/>
      <c r="E455" s="1298"/>
      <c r="F455" s="1298"/>
      <c r="I455" s="491"/>
    </row>
    <row r="456" spans="1:9">
      <c r="A456" s="403"/>
      <c r="B456" s="403"/>
      <c r="C456" s="403"/>
      <c r="D456" s="1298"/>
      <c r="E456" s="1298"/>
      <c r="F456" s="1298"/>
      <c r="I456" s="491"/>
    </row>
    <row r="457" spans="1:9">
      <c r="A457" s="403"/>
      <c r="B457" s="403"/>
      <c r="C457" s="403"/>
      <c r="D457" s="1298"/>
      <c r="E457" s="1298"/>
      <c r="F457" s="1298"/>
      <c r="I457" s="491"/>
    </row>
    <row r="458" spans="1:9">
      <c r="A458" s="403"/>
      <c r="B458" s="403"/>
      <c r="C458" s="403"/>
      <c r="D458" s="1298"/>
      <c r="E458" s="1298"/>
      <c r="F458" s="1298"/>
      <c r="I458" s="491"/>
    </row>
    <row r="459" spans="1:9">
      <c r="A459" s="403"/>
      <c r="B459" s="403"/>
      <c r="C459" s="403"/>
      <c r="D459" s="1298"/>
      <c r="E459" s="1298"/>
      <c r="F459" s="1298"/>
      <c r="I459" s="491"/>
    </row>
    <row r="460" spans="1:9">
      <c r="A460" s="403"/>
      <c r="B460" s="403"/>
      <c r="C460" s="403"/>
      <c r="D460" s="1298"/>
      <c r="E460" s="1298"/>
      <c r="F460" s="1298"/>
      <c r="I460" s="491"/>
    </row>
    <row r="461" spans="1:9">
      <c r="A461" s="403"/>
      <c r="B461" s="403"/>
      <c r="C461" s="403"/>
      <c r="D461" s="1298"/>
      <c r="E461" s="1298"/>
      <c r="F461" s="1298"/>
      <c r="I461" s="491"/>
    </row>
    <row r="462" spans="1:9">
      <c r="A462" s="403"/>
      <c r="B462" s="403"/>
      <c r="C462" s="403"/>
      <c r="D462" s="1298"/>
      <c r="E462" s="1298"/>
      <c r="F462" s="1298"/>
      <c r="I462" s="491"/>
    </row>
    <row r="463" spans="1:9">
      <c r="A463" s="403"/>
      <c r="B463" s="403"/>
      <c r="C463" s="403"/>
      <c r="D463" s="1298"/>
      <c r="E463" s="1298"/>
      <c r="F463" s="1298"/>
      <c r="I463" s="491"/>
    </row>
    <row r="464" spans="1:9">
      <c r="D464" s="1298"/>
      <c r="E464" s="1298"/>
      <c r="F464" s="1298"/>
      <c r="I464" s="491"/>
    </row>
    <row r="465" spans="1:9" ht="40.700000000000003" customHeight="1">
      <c r="D465" s="1298"/>
      <c r="E465" s="1298"/>
      <c r="F465" s="1298"/>
      <c r="I465" s="491"/>
    </row>
    <row r="466" spans="1:9">
      <c r="D466" s="447"/>
      <c r="E466" s="447"/>
      <c r="F466" s="447"/>
      <c r="I466" s="491"/>
    </row>
    <row r="467" spans="1:9" ht="14.25">
      <c r="A467" s="485"/>
      <c r="B467" s="486" t="s">
        <v>2731</v>
      </c>
      <c r="C467" s="488"/>
      <c r="D467" s="1298" t="s">
        <v>1137</v>
      </c>
      <c r="E467" s="1298"/>
      <c r="F467" s="1298"/>
      <c r="I467" s="491"/>
    </row>
    <row r="468" spans="1:9">
      <c r="D468" s="1298"/>
      <c r="E468" s="1298"/>
      <c r="F468" s="1298"/>
      <c r="I468" s="491"/>
    </row>
    <row r="469" spans="1:9">
      <c r="D469" s="1298"/>
      <c r="E469" s="1298"/>
      <c r="F469" s="1298"/>
      <c r="I469" s="491"/>
    </row>
    <row r="470" spans="1:9">
      <c r="D470" s="446"/>
      <c r="E470" s="446"/>
      <c r="F470" s="446"/>
      <c r="I470" s="491"/>
    </row>
    <row r="471" spans="1:9" ht="14.25">
      <c r="B471" s="486" t="s">
        <v>2731</v>
      </c>
      <c r="C471" s="485"/>
      <c r="D471" s="1298" t="s">
        <v>1197</v>
      </c>
      <c r="E471" s="1298"/>
      <c r="F471" s="1298"/>
      <c r="I471" s="491"/>
    </row>
    <row r="472" spans="1:9">
      <c r="D472" s="1298"/>
      <c r="E472" s="1298"/>
      <c r="F472" s="1298"/>
      <c r="I472" s="491"/>
    </row>
    <row r="473" spans="1:9">
      <c r="D473" s="447"/>
      <c r="E473" s="447"/>
      <c r="F473" s="447"/>
      <c r="I473" s="491"/>
    </row>
    <row r="474" spans="1:9" ht="14.25">
      <c r="B474" s="486" t="s">
        <v>2731</v>
      </c>
      <c r="C474" s="485"/>
      <c r="D474" s="1298" t="s">
        <v>1138</v>
      </c>
      <c r="E474" s="1298"/>
      <c r="F474" s="1298"/>
      <c r="I474" s="491"/>
    </row>
    <row r="475" spans="1:9">
      <c r="D475" s="1298"/>
      <c r="E475" s="1298"/>
      <c r="F475" s="1298"/>
      <c r="I475" s="491"/>
    </row>
    <row r="476" spans="1:9">
      <c r="D476" s="1298"/>
      <c r="E476" s="1298"/>
      <c r="F476" s="1298"/>
      <c r="I476" s="491"/>
    </row>
    <row r="477" spans="1:9">
      <c r="D477" s="1298"/>
      <c r="E477" s="1298"/>
      <c r="F477" s="1298"/>
      <c r="I477" s="491"/>
    </row>
    <row r="478" spans="1:9">
      <c r="B478" s="486" t="s">
        <v>2731</v>
      </c>
      <c r="D478" s="1298"/>
      <c r="E478" s="1298"/>
      <c r="F478" s="1298"/>
      <c r="I478" s="491"/>
    </row>
    <row r="479" spans="1:9">
      <c r="A479" s="403"/>
      <c r="B479" s="403"/>
      <c r="C479" s="403"/>
      <c r="D479" s="1298"/>
      <c r="E479" s="1298"/>
      <c r="F479" s="1298"/>
      <c r="I479" s="491"/>
    </row>
    <row r="480" spans="1:9">
      <c r="A480" s="403"/>
      <c r="C480" s="403"/>
      <c r="D480" s="1298"/>
      <c r="E480" s="1298"/>
      <c r="F480" s="1298"/>
      <c r="I480" s="491"/>
    </row>
    <row r="481" spans="1:9">
      <c r="A481" s="403"/>
      <c r="B481" s="486" t="s">
        <v>2731</v>
      </c>
      <c r="C481" s="403"/>
      <c r="D481" s="1298"/>
      <c r="E481" s="1298"/>
      <c r="F481" s="1298"/>
      <c r="I481" s="491"/>
    </row>
    <row r="482" spans="1:9">
      <c r="A482" s="403"/>
      <c r="B482" s="403"/>
      <c r="C482" s="403"/>
      <c r="D482" s="1298"/>
      <c r="E482" s="1298"/>
      <c r="F482" s="1298"/>
      <c r="I482" s="491"/>
    </row>
    <row r="483" spans="1:9">
      <c r="A483" s="403"/>
      <c r="C483" s="403"/>
      <c r="D483" s="1298"/>
      <c r="E483" s="1298"/>
      <c r="F483" s="1298"/>
      <c r="I483" s="491"/>
    </row>
    <row r="484" spans="1:9">
      <c r="A484" s="403"/>
      <c r="C484" s="403"/>
      <c r="D484" s="1298"/>
      <c r="E484" s="1298"/>
      <c r="F484" s="1298"/>
      <c r="I484" s="491"/>
    </row>
    <row r="485" spans="1:9">
      <c r="A485" s="403"/>
      <c r="C485" s="403"/>
      <c r="D485" s="1298"/>
      <c r="E485" s="1298"/>
      <c r="F485" s="1298"/>
      <c r="I485" s="491"/>
    </row>
    <row r="486" spans="1:9">
      <c r="A486" s="403"/>
      <c r="B486" s="486" t="s">
        <v>2731</v>
      </c>
      <c r="C486" s="403"/>
      <c r="D486" s="1298"/>
      <c r="E486" s="1298"/>
      <c r="F486" s="1298"/>
      <c r="I486" s="491"/>
    </row>
    <row r="487" spans="1:9">
      <c r="A487" s="403"/>
      <c r="C487" s="403"/>
      <c r="D487" s="1298"/>
      <c r="E487" s="1298"/>
      <c r="F487" s="1298"/>
      <c r="I487" s="491"/>
    </row>
    <row r="488" spans="1:9">
      <c r="A488" s="403"/>
      <c r="B488" s="486" t="s">
        <v>2731</v>
      </c>
      <c r="C488" s="403"/>
      <c r="D488" s="1298" t="s">
        <v>1139</v>
      </c>
      <c r="E488" s="1298"/>
      <c r="F488" s="1298"/>
      <c r="I488" s="491"/>
    </row>
    <row r="489" spans="1:9">
      <c r="A489" s="403"/>
      <c r="B489" s="403"/>
      <c r="C489" s="403"/>
      <c r="D489" s="1298"/>
      <c r="E489" s="1298"/>
      <c r="F489" s="1298"/>
      <c r="I489" s="491"/>
    </row>
    <row r="490" spans="1:9">
      <c r="A490" s="403"/>
      <c r="B490" s="403"/>
      <c r="C490" s="403"/>
      <c r="D490" s="1298"/>
      <c r="E490" s="1298"/>
      <c r="F490" s="1298"/>
      <c r="I490" s="491"/>
    </row>
    <row r="491" spans="1:9">
      <c r="A491" s="403"/>
      <c r="B491" s="403"/>
      <c r="C491" s="403"/>
      <c r="D491" s="1298"/>
      <c r="E491" s="1298"/>
      <c r="F491" s="1298"/>
      <c r="I491" s="491"/>
    </row>
    <row r="492" spans="1:9">
      <c r="D492" s="1298"/>
      <c r="E492" s="1298"/>
      <c r="F492" s="1298"/>
      <c r="I492" s="491"/>
    </row>
    <row r="493" spans="1:9">
      <c r="D493" s="447"/>
      <c r="E493" s="447"/>
      <c r="F493" s="447"/>
      <c r="I493" s="491"/>
    </row>
    <row r="494" spans="1:9">
      <c r="B494" s="486" t="s">
        <v>2731</v>
      </c>
      <c r="D494" s="1299" t="s">
        <v>1140</v>
      </c>
      <c r="E494" s="1299"/>
      <c r="F494" s="1299"/>
      <c r="I494" s="491"/>
    </row>
    <row r="495" spans="1:9">
      <c r="A495" s="447"/>
      <c r="B495" s="447"/>
      <c r="I495" s="491"/>
    </row>
    <row r="496" spans="1:9">
      <c r="A496" s="1301" t="s">
        <v>1050</v>
      </c>
      <c r="B496" s="1301"/>
      <c r="C496" s="1301"/>
      <c r="D496" s="1301"/>
      <c r="E496" s="1301"/>
      <c r="F496" s="1301"/>
      <c r="G496" s="1301"/>
      <c r="H496" s="1029"/>
      <c r="I496" s="1155"/>
    </row>
    <row r="497" spans="1:9">
      <c r="A497" s="447"/>
      <c r="B497" s="447"/>
      <c r="I497" s="491"/>
    </row>
    <row r="498" spans="1:9">
      <c r="D498" s="1314" t="s">
        <v>883</v>
      </c>
      <c r="E498" s="1314"/>
      <c r="F498" s="1314"/>
      <c r="I498" s="491"/>
    </row>
    <row r="499" spans="1:9" ht="14.25">
      <c r="A499" s="485"/>
      <c r="B499" s="485"/>
      <c r="D499" s="1310" t="s">
        <v>1141</v>
      </c>
      <c r="E499" s="1310"/>
      <c r="F499" s="1310"/>
      <c r="I499" s="491"/>
    </row>
    <row r="500" spans="1:9" ht="14.25">
      <c r="A500" s="485"/>
      <c r="B500" s="485"/>
      <c r="D500" s="448"/>
      <c r="I500" s="491"/>
    </row>
    <row r="501" spans="1:9" ht="14.25">
      <c r="A501" s="485"/>
      <c r="B501" s="486" t="s">
        <v>2731</v>
      </c>
      <c r="D501" s="1278" t="s">
        <v>1142</v>
      </c>
      <c r="E501" s="1278"/>
      <c r="F501" s="1278"/>
      <c r="I501" s="491"/>
    </row>
    <row r="502" spans="1:9" ht="14.25">
      <c r="A502" s="485"/>
      <c r="B502" s="485"/>
      <c r="D502" s="1278"/>
      <c r="E502" s="1278"/>
      <c r="F502" s="1278"/>
      <c r="I502" s="491"/>
    </row>
    <row r="503" spans="1:9" ht="14.25">
      <c r="A503" s="485"/>
      <c r="B503" s="485"/>
      <c r="D503" s="447"/>
      <c r="I503" s="491"/>
    </row>
    <row r="504" spans="1:9" ht="12.75" customHeight="1">
      <c r="B504" s="486" t="s">
        <v>2731</v>
      </c>
      <c r="D504" s="1302" t="s">
        <v>1273</v>
      </c>
      <c r="E504" s="1302"/>
      <c r="F504" s="1302"/>
      <c r="I504" s="491"/>
    </row>
    <row r="505" spans="1:9" ht="14.25">
      <c r="A505" s="485"/>
      <c r="D505" s="1302"/>
      <c r="E505" s="1302"/>
      <c r="F505" s="1302"/>
      <c r="I505" s="491"/>
    </row>
    <row r="506" spans="1:9" ht="14.25">
      <c r="A506" s="485"/>
      <c r="B506" s="485"/>
      <c r="D506" s="1302"/>
      <c r="E506" s="1302"/>
      <c r="F506" s="1302"/>
      <c r="I506" s="491"/>
    </row>
    <row r="507" spans="1:9" ht="14.25">
      <c r="A507" s="485"/>
      <c r="B507" s="485"/>
      <c r="D507" s="1302"/>
      <c r="E507" s="1302"/>
      <c r="F507" s="1302"/>
      <c r="I507" s="491"/>
    </row>
    <row r="508" spans="1:9" ht="14.25">
      <c r="A508" s="485"/>
      <c r="D508" s="521"/>
      <c r="E508" s="521"/>
      <c r="F508" s="521"/>
      <c r="I508" s="491"/>
    </row>
    <row r="509" spans="1:9" ht="14.25">
      <c r="A509" s="485"/>
      <c r="B509" s="486" t="s">
        <v>2731</v>
      </c>
      <c r="D509" s="1299" t="s">
        <v>1143</v>
      </c>
      <c r="E509" s="1299"/>
      <c r="F509" s="1299"/>
      <c r="I509" s="491"/>
    </row>
    <row r="510" spans="1:9" ht="14.25">
      <c r="A510" s="485"/>
      <c r="B510" s="485"/>
      <c r="D510" s="447"/>
      <c r="I510" s="491"/>
    </row>
    <row r="511" spans="1:9" ht="14.25">
      <c r="A511" s="485"/>
      <c r="B511" s="486" t="s">
        <v>2731</v>
      </c>
      <c r="D511" s="1298" t="s">
        <v>1144</v>
      </c>
      <c r="E511" s="1298"/>
      <c r="F511" s="1298"/>
      <c r="I511" s="491"/>
    </row>
    <row r="512" spans="1:9" ht="14.25">
      <c r="A512" s="485"/>
      <c r="D512" s="1298"/>
      <c r="E512" s="1298"/>
      <c r="F512" s="1298"/>
      <c r="I512" s="491"/>
    </row>
    <row r="513" spans="1:9">
      <c r="A513" s="491"/>
      <c r="B513" s="491"/>
      <c r="D513" s="448"/>
      <c r="I513" s="491"/>
    </row>
    <row r="514" spans="1:9">
      <c r="A514" s="491"/>
      <c r="B514" s="486" t="s">
        <v>2731</v>
      </c>
      <c r="D514" s="1299" t="s">
        <v>1145</v>
      </c>
      <c r="E514" s="1299"/>
      <c r="F514" s="1299"/>
      <c r="I514" s="491"/>
    </row>
    <row r="515" spans="1:9">
      <c r="D515" s="447"/>
      <c r="E515" s="447"/>
      <c r="F515" s="447"/>
      <c r="I515" s="491"/>
    </row>
    <row r="516" spans="1:9">
      <c r="B516" s="486" t="s">
        <v>2731</v>
      </c>
      <c r="D516" s="1298" t="s">
        <v>2283</v>
      </c>
      <c r="E516" s="1298"/>
      <c r="F516" s="1298"/>
      <c r="I516" s="491"/>
    </row>
    <row r="517" spans="1:9">
      <c r="D517" s="1298"/>
      <c r="E517" s="1298"/>
      <c r="F517" s="1298"/>
      <c r="I517" s="491"/>
    </row>
    <row r="518" spans="1:9">
      <c r="D518" s="1298"/>
      <c r="E518" s="1298"/>
      <c r="F518" s="1298"/>
      <c r="I518" s="491"/>
    </row>
    <row r="519" spans="1:9">
      <c r="D519" s="447"/>
      <c r="E519" s="447"/>
      <c r="F519" s="447"/>
      <c r="I519" s="491"/>
    </row>
    <row r="520" spans="1:9" ht="14.25">
      <c r="A520" s="485"/>
      <c r="B520" s="485"/>
      <c r="D520" s="447"/>
      <c r="I520" s="491"/>
    </row>
    <row r="521" spans="1:9">
      <c r="A521" s="1301" t="s">
        <v>1051</v>
      </c>
      <c r="B521" s="1301"/>
      <c r="C521" s="1301"/>
      <c r="D521" s="1301"/>
      <c r="E521" s="1301"/>
      <c r="F521" s="1301"/>
      <c r="G521" s="1301"/>
      <c r="H521" s="1029"/>
      <c r="I521" s="1155"/>
    </row>
    <row r="522" spans="1:9" ht="12" customHeight="1">
      <c r="A522" s="485"/>
      <c r="B522" s="485"/>
      <c r="D522" s="447"/>
      <c r="I522" s="491"/>
    </row>
    <row r="523" spans="1:9">
      <c r="C523" s="483"/>
      <c r="D523" s="1306" t="s">
        <v>793</v>
      </c>
      <c r="E523" s="1306"/>
      <c r="F523" s="1306"/>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2730</v>
      </c>
      <c r="C527" s="484"/>
      <c r="D527" s="1278" t="s">
        <v>2061</v>
      </c>
      <c r="E527" s="1278"/>
      <c r="F527" s="1278"/>
      <c r="I527" s="491"/>
    </row>
    <row r="528" spans="1:9">
      <c r="A528" s="484"/>
      <c r="B528" s="484"/>
      <c r="C528" s="484"/>
      <c r="D528" s="1278"/>
      <c r="E528" s="1278"/>
      <c r="F528" s="1278"/>
      <c r="I528" s="491"/>
    </row>
    <row r="529" spans="1:9">
      <c r="A529" s="484"/>
      <c r="B529" s="484"/>
      <c r="C529" s="484"/>
      <c r="D529" s="452"/>
      <c r="E529" s="452"/>
      <c r="F529" s="452"/>
      <c r="I529" s="481"/>
    </row>
    <row r="530" spans="1:9" ht="12.75" customHeight="1">
      <c r="A530" s="484"/>
      <c r="B530" s="486" t="s">
        <v>2730</v>
      </c>
      <c r="D530" s="387" t="s">
        <v>1904</v>
      </c>
      <c r="E530" s="386"/>
      <c r="F530" s="386"/>
      <c r="I530" s="491"/>
    </row>
    <row r="531" spans="1:9">
      <c r="A531" s="484"/>
      <c r="B531" s="484"/>
      <c r="C531" s="484"/>
      <c r="D531" s="386"/>
      <c r="E531" s="96" t="s">
        <v>1905</v>
      </c>
      <c r="I531" s="491"/>
    </row>
    <row r="532" spans="1:9">
      <c r="A532" s="484"/>
      <c r="B532" s="484"/>
      <c r="D532" s="1295" t="s">
        <v>2062</v>
      </c>
      <c r="E532" s="1295"/>
      <c r="F532" s="1295"/>
      <c r="I532" s="491"/>
    </row>
    <row r="533" spans="1:9">
      <c r="A533" s="484"/>
      <c r="B533" s="484"/>
      <c r="D533" s="1295"/>
      <c r="E533" s="1295"/>
      <c r="F533" s="1295"/>
      <c r="I533" s="491"/>
    </row>
    <row r="534" spans="1:9">
      <c r="A534" s="484"/>
      <c r="B534" s="484"/>
      <c r="C534" s="484"/>
      <c r="D534" s="1295"/>
      <c r="E534" s="1295"/>
      <c r="F534" s="1295"/>
      <c r="I534" s="491"/>
    </row>
    <row r="535" spans="1:9">
      <c r="A535" s="484"/>
      <c r="B535" s="484"/>
      <c r="C535" s="484"/>
      <c r="D535" s="499"/>
      <c r="F535" s="447"/>
      <c r="I535" s="491"/>
    </row>
    <row r="536" spans="1:9" ht="13.5" customHeight="1">
      <c r="A536" s="484"/>
      <c r="B536" s="486" t="s">
        <v>2731</v>
      </c>
      <c r="C536" s="484"/>
      <c r="D536" s="1298" t="s">
        <v>2063</v>
      </c>
      <c r="E536" s="1298"/>
      <c r="F536" s="1298"/>
      <c r="I536" s="491"/>
    </row>
    <row r="537" spans="1:9">
      <c r="A537" s="484"/>
      <c r="B537" s="484"/>
      <c r="C537" s="484"/>
      <c r="D537" s="1298"/>
      <c r="E537" s="1298"/>
      <c r="F537" s="1298"/>
      <c r="I537" s="491"/>
    </row>
    <row r="538" spans="1:9" ht="12" customHeight="1">
      <c r="A538" s="447"/>
      <c r="B538" s="447"/>
      <c r="C538" s="488"/>
      <c r="D538" s="447"/>
      <c r="F538" s="449"/>
      <c r="I538" s="491"/>
    </row>
    <row r="539" spans="1:9">
      <c r="A539" s="1301" t="s">
        <v>1052</v>
      </c>
      <c r="B539" s="1301"/>
      <c r="C539" s="1301"/>
      <c r="D539" s="1301"/>
      <c r="E539" s="1301"/>
      <c r="F539" s="1301"/>
      <c r="G539" s="1301"/>
      <c r="H539" s="1029"/>
      <c r="I539" s="1155"/>
    </row>
    <row r="540" spans="1:9">
      <c r="A540" s="447"/>
      <c r="B540" s="447"/>
      <c r="C540" s="488"/>
      <c r="F540" s="449"/>
      <c r="I540" s="491"/>
    </row>
    <row r="541" spans="1:9">
      <c r="B541" s="1304" t="s">
        <v>446</v>
      </c>
      <c r="C541" s="1304"/>
      <c r="D541" s="1304"/>
      <c r="E541" s="1304"/>
      <c r="F541" s="1304"/>
      <c r="I541" s="491"/>
    </row>
    <row r="542" spans="1:9">
      <c r="A542" s="447"/>
      <c r="B542" s="447"/>
      <c r="C542" s="488"/>
      <c r="D542" s="447"/>
      <c r="F542" s="447"/>
      <c r="I542" s="491"/>
    </row>
    <row r="543" spans="1:9">
      <c r="A543" s="1305" t="s">
        <v>1053</v>
      </c>
      <c r="B543" s="1305"/>
      <c r="C543" s="1305"/>
      <c r="D543" s="1305"/>
      <c r="E543" s="1305"/>
      <c r="F543" s="1305"/>
      <c r="G543" s="1305"/>
      <c r="H543" s="1029"/>
      <c r="I543" s="1155"/>
    </row>
    <row r="544" spans="1:9">
      <c r="A544" s="447"/>
      <c r="B544" s="447"/>
      <c r="C544" s="488"/>
      <c r="D544" s="447"/>
      <c r="F544" s="447"/>
      <c r="I544" s="491"/>
    </row>
    <row r="545" spans="1:9">
      <c r="C545" s="488"/>
      <c r="D545" s="1306" t="s">
        <v>683</v>
      </c>
      <c r="E545" s="1306"/>
      <c r="F545" s="1306"/>
      <c r="I545" s="491"/>
    </row>
    <row r="546" spans="1:9">
      <c r="C546" s="488"/>
      <c r="D546" s="1299" t="s">
        <v>1081</v>
      </c>
      <c r="E546" s="1299"/>
      <c r="F546" s="1299"/>
      <c r="I546" s="491"/>
    </row>
    <row r="547" spans="1:9">
      <c r="C547" s="488"/>
      <c r="D547" s="447"/>
      <c r="E547" s="447"/>
      <c r="F547" s="447"/>
      <c r="I547" s="491"/>
    </row>
    <row r="548" spans="1:9" ht="13.7" customHeight="1">
      <c r="A548" s="485"/>
      <c r="B548" s="486" t="s">
        <v>2730</v>
      </c>
      <c r="C548" s="488"/>
      <c r="D548" s="1299" t="s">
        <v>884</v>
      </c>
      <c r="E548" s="1299"/>
      <c r="F548" s="1299"/>
      <c r="I548" s="491"/>
    </row>
    <row r="549" spans="1:9" ht="13.7" customHeight="1">
      <c r="A549" s="488"/>
      <c r="B549" s="488"/>
      <c r="C549" s="488"/>
      <c r="D549" s="447"/>
      <c r="I549" s="491"/>
    </row>
    <row r="550" spans="1:9" ht="14.25">
      <c r="A550" s="485"/>
      <c r="B550" s="486" t="s">
        <v>2730</v>
      </c>
      <c r="C550" s="488"/>
      <c r="D550" s="1298" t="s">
        <v>1082</v>
      </c>
      <c r="E550" s="1298"/>
      <c r="F550" s="1298"/>
      <c r="I550" s="491"/>
    </row>
    <row r="551" spans="1:9">
      <c r="A551" s="488"/>
      <c r="B551" s="488"/>
      <c r="C551" s="488"/>
      <c r="D551" s="1298"/>
      <c r="E551" s="1298"/>
      <c r="F551" s="1298"/>
      <c r="I551" s="491"/>
    </row>
    <row r="552" spans="1:9">
      <c r="A552" s="488"/>
      <c r="B552" s="488"/>
      <c r="C552" s="488"/>
      <c r="D552" s="447"/>
      <c r="E552" s="447"/>
      <c r="F552" s="447"/>
      <c r="I552" s="491"/>
    </row>
    <row r="553" spans="1:9" ht="14.25">
      <c r="A553" s="485"/>
      <c r="B553" s="486" t="s">
        <v>2730</v>
      </c>
      <c r="C553" s="488"/>
      <c r="D553" s="1298" t="s">
        <v>1083</v>
      </c>
      <c r="E553" s="1298"/>
      <c r="F553" s="1298"/>
      <c r="I553" s="491"/>
    </row>
    <row r="554" spans="1:9">
      <c r="A554" s="488"/>
      <c r="B554" s="488"/>
      <c r="C554" s="488"/>
      <c r="D554" s="1298"/>
      <c r="E554" s="1298"/>
      <c r="F554" s="1298"/>
      <c r="I554" s="491"/>
    </row>
    <row r="555" spans="1:9">
      <c r="A555" s="488"/>
      <c r="B555" s="488"/>
      <c r="C555" s="488"/>
      <c r="D555" s="447"/>
      <c r="E555" s="447"/>
      <c r="F555" s="447"/>
      <c r="I555" s="491"/>
    </row>
    <row r="556" spans="1:9" ht="14.25">
      <c r="A556" s="485"/>
      <c r="B556" s="486" t="s">
        <v>2730</v>
      </c>
      <c r="C556" s="488"/>
      <c r="D556" s="1298" t="s">
        <v>1084</v>
      </c>
      <c r="E556" s="1298"/>
      <c r="F556" s="1298"/>
      <c r="I556" s="491"/>
    </row>
    <row r="557" spans="1:9">
      <c r="A557" s="488"/>
      <c r="B557" s="488"/>
      <c r="C557" s="488"/>
      <c r="D557" s="1298"/>
      <c r="E557" s="1298"/>
      <c r="F557" s="1298"/>
      <c r="I557" s="491"/>
    </row>
    <row r="558" spans="1:9">
      <c r="A558" s="488"/>
      <c r="B558" s="488"/>
      <c r="C558" s="488"/>
      <c r="D558" s="447"/>
      <c r="E558" s="447"/>
      <c r="F558" s="447"/>
      <c r="I558" s="491"/>
    </row>
    <row r="559" spans="1:9" ht="14.25">
      <c r="A559" s="485"/>
      <c r="B559" s="486" t="s">
        <v>2730</v>
      </c>
      <c r="C559" s="488"/>
      <c r="D559" s="1298" t="s">
        <v>1085</v>
      </c>
      <c r="E559" s="1298"/>
      <c r="F559" s="1298"/>
      <c r="I559" s="491"/>
    </row>
    <row r="560" spans="1:9">
      <c r="A560" s="488"/>
      <c r="B560" s="488"/>
      <c r="C560" s="488"/>
      <c r="D560" s="1298"/>
      <c r="E560" s="1298"/>
      <c r="F560" s="1298"/>
      <c r="I560" s="491"/>
    </row>
    <row r="561" spans="1:9">
      <c r="A561" s="488"/>
      <c r="B561" s="488"/>
      <c r="C561" s="488"/>
      <c r="D561" s="1298"/>
      <c r="E561" s="1298"/>
      <c r="F561" s="1298"/>
      <c r="I561" s="491"/>
    </row>
    <row r="562" spans="1:9">
      <c r="A562" s="488"/>
      <c r="B562" s="488"/>
      <c r="C562" s="488"/>
      <c r="D562" s="447"/>
      <c r="E562" s="447"/>
      <c r="F562" s="447"/>
      <c r="I562" s="491"/>
    </row>
    <row r="563" spans="1:9" ht="14.25">
      <c r="A563" s="485"/>
      <c r="B563" s="486" t="s">
        <v>2731</v>
      </c>
      <c r="C563" s="488"/>
      <c r="D563" s="1298" t="s">
        <v>2250</v>
      </c>
      <c r="E563" s="1298"/>
      <c r="F563" s="1298"/>
      <c r="I563" s="491"/>
    </row>
    <row r="564" spans="1:9">
      <c r="A564" s="488"/>
      <c r="B564" s="488"/>
      <c r="C564" s="488"/>
      <c r="D564" s="1298"/>
      <c r="E564" s="1298"/>
      <c r="F564" s="1298"/>
      <c r="I564" s="491"/>
    </row>
    <row r="565" spans="1:9">
      <c r="A565" s="488"/>
      <c r="B565" s="488"/>
      <c r="C565" s="488"/>
      <c r="D565" s="447"/>
      <c r="E565" s="447"/>
      <c r="F565" s="447"/>
      <c r="I565" s="491"/>
    </row>
    <row r="566" spans="1:9" ht="14.25">
      <c r="A566" s="485"/>
      <c r="B566" s="486" t="s">
        <v>2730</v>
      </c>
      <c r="C566" s="488"/>
      <c r="D566" s="1298" t="s">
        <v>1086</v>
      </c>
      <c r="E566" s="1298"/>
      <c r="F566" s="1298"/>
      <c r="I566" s="491"/>
    </row>
    <row r="567" spans="1:9">
      <c r="A567" s="488"/>
      <c r="B567" s="488"/>
      <c r="C567" s="488"/>
      <c r="D567" s="1298"/>
      <c r="E567" s="1298"/>
      <c r="F567" s="1298"/>
      <c r="I567" s="491"/>
    </row>
    <row r="568" spans="1:9">
      <c r="A568" s="488"/>
      <c r="B568" s="488"/>
      <c r="C568" s="488"/>
      <c r="D568" s="447"/>
      <c r="E568" s="447"/>
      <c r="F568" s="447"/>
      <c r="I568" s="491"/>
    </row>
    <row r="569" spans="1:9" ht="14.25">
      <c r="A569" s="485"/>
      <c r="B569" s="486" t="s">
        <v>2730</v>
      </c>
      <c r="C569" s="488"/>
      <c r="D569" s="1299" t="s">
        <v>1087</v>
      </c>
      <c r="E569" s="1299"/>
      <c r="F569" s="1299"/>
      <c r="I569" s="491"/>
    </row>
    <row r="570" spans="1:9">
      <c r="A570" s="491"/>
      <c r="B570" s="491"/>
      <c r="C570" s="488"/>
      <c r="D570" s="1299" t="s">
        <v>1907</v>
      </c>
      <c r="E570" s="1299"/>
      <c r="F570" s="1299"/>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2730</v>
      </c>
      <c r="C573" s="488"/>
      <c r="D573" s="1299" t="s">
        <v>1088</v>
      </c>
      <c r="E573" s="1299"/>
      <c r="F573" s="1299"/>
      <c r="I573" s="491"/>
    </row>
    <row r="574" spans="1:9">
      <c r="C574" s="488"/>
      <c r="D574" s="1298" t="s">
        <v>1089</v>
      </c>
      <c r="E574" s="1298"/>
      <c r="F574" s="1298"/>
      <c r="I574" s="491"/>
    </row>
    <row r="575" spans="1:9">
      <c r="A575" s="488"/>
      <c r="B575" s="488"/>
      <c r="C575" s="488"/>
      <c r="D575" s="1298"/>
      <c r="E575" s="1298"/>
      <c r="F575" s="1298"/>
      <c r="I575" s="491"/>
    </row>
    <row r="576" spans="1:9">
      <c r="A576" s="488"/>
      <c r="B576" s="488"/>
      <c r="C576" s="488"/>
      <c r="D576" s="1298"/>
      <c r="E576" s="1298"/>
      <c r="F576" s="1298"/>
      <c r="I576" s="491"/>
    </row>
    <row r="577" spans="1:9">
      <c r="A577" s="488"/>
      <c r="B577" s="488"/>
      <c r="C577" s="488"/>
      <c r="D577" s="447"/>
      <c r="E577" s="447"/>
      <c r="F577" s="447"/>
      <c r="I577" s="491"/>
    </row>
    <row r="578" spans="1:9" ht="14.25">
      <c r="A578" s="485"/>
      <c r="B578" s="486" t="s">
        <v>2730</v>
      </c>
      <c r="C578" s="488"/>
      <c r="D578" s="1298" t="s">
        <v>2064</v>
      </c>
      <c r="E578" s="1298"/>
      <c r="F578" s="1298"/>
      <c r="I578" s="491"/>
    </row>
    <row r="579" spans="1:9" ht="14.25">
      <c r="A579" s="485"/>
      <c r="B579" s="485"/>
      <c r="C579" s="488"/>
      <c r="D579" s="1298"/>
      <c r="E579" s="1298"/>
      <c r="F579" s="1298"/>
      <c r="I579" s="491"/>
    </row>
    <row r="580" spans="1:9" ht="14.25">
      <c r="A580" s="485"/>
      <c r="B580" s="485"/>
      <c r="C580" s="488"/>
      <c r="D580" s="1298"/>
      <c r="E580" s="1298"/>
      <c r="F580" s="1298"/>
      <c r="I580" s="491"/>
    </row>
    <row r="581" spans="1:9" ht="14.25">
      <c r="A581" s="485"/>
      <c r="B581" s="485"/>
      <c r="C581" s="488"/>
      <c r="D581" s="1298"/>
      <c r="E581" s="1298"/>
      <c r="F581" s="1298"/>
      <c r="I581" s="491"/>
    </row>
    <row r="582" spans="1:9" ht="14.25">
      <c r="A582" s="485"/>
      <c r="B582" s="485"/>
      <c r="C582" s="488"/>
      <c r="D582" s="447"/>
      <c r="E582" s="447"/>
      <c r="F582" s="447"/>
      <c r="I582" s="491"/>
    </row>
    <row r="583" spans="1:9">
      <c r="A583" s="1301" t="s">
        <v>1054</v>
      </c>
      <c r="B583" s="1301"/>
      <c r="C583" s="1301"/>
      <c r="D583" s="1301"/>
      <c r="E583" s="1301"/>
      <c r="F583" s="1301"/>
      <c r="G583" s="1301"/>
      <c r="H583" s="1029"/>
      <c r="I583" s="1155"/>
    </row>
    <row r="584" spans="1:9">
      <c r="A584" s="488"/>
      <c r="B584" s="488"/>
      <c r="C584" s="488"/>
      <c r="E584" s="447"/>
      <c r="F584" s="447"/>
      <c r="I584" s="491"/>
    </row>
    <row r="585" spans="1:9" ht="12.75" customHeight="1">
      <c r="C585" s="483"/>
      <c r="D585" s="1300" t="s">
        <v>209</v>
      </c>
      <c r="E585" s="1300"/>
      <c r="F585" s="1300"/>
      <c r="I585" s="491"/>
    </row>
    <row r="586" spans="1:9">
      <c r="A586" s="484"/>
      <c r="B586" s="484"/>
      <c r="C586" s="484"/>
      <c r="D586" s="1302" t="s">
        <v>1067</v>
      </c>
      <c r="E586" s="1302"/>
      <c r="F586" s="1302"/>
      <c r="I586" s="491"/>
    </row>
    <row r="587" spans="1:9">
      <c r="A587" s="403"/>
      <c r="B587" s="403"/>
      <c r="C587" s="484"/>
      <c r="D587" s="500"/>
      <c r="I587" s="491"/>
    </row>
    <row r="588" spans="1:9">
      <c r="A588" s="484"/>
      <c r="B588" s="486" t="s">
        <v>2730</v>
      </c>
      <c r="D588" s="1302" t="s">
        <v>888</v>
      </c>
      <c r="E588" s="1302"/>
      <c r="F588" s="1302"/>
      <c r="I588" s="491"/>
    </row>
    <row r="589" spans="1:9">
      <c r="A589" s="491"/>
      <c r="B589" s="491"/>
      <c r="D589" s="477"/>
      <c r="I589" s="491"/>
    </row>
    <row r="590" spans="1:9">
      <c r="A590" s="491"/>
      <c r="B590" s="486" t="s">
        <v>2730</v>
      </c>
      <c r="D590" s="1302" t="s">
        <v>2065</v>
      </c>
      <c r="E590" s="1302"/>
      <c r="F590" s="1302"/>
      <c r="I590" s="491"/>
    </row>
    <row r="591" spans="1:9">
      <c r="A591" s="491"/>
      <c r="B591" s="491"/>
      <c r="D591" s="1302"/>
      <c r="E591" s="1302"/>
      <c r="F591" s="1302"/>
      <c r="I591" s="491"/>
    </row>
    <row r="592" spans="1:9">
      <c r="A592" s="491"/>
      <c r="B592" s="491"/>
      <c r="D592" s="1302"/>
      <c r="E592" s="1302"/>
      <c r="F592" s="1302"/>
      <c r="I592" s="491"/>
    </row>
    <row r="593" spans="1:9">
      <c r="A593" s="491"/>
      <c r="B593" s="491"/>
      <c r="D593" s="1302"/>
      <c r="E593" s="1302"/>
      <c r="F593" s="1302"/>
      <c r="I593" s="491"/>
    </row>
    <row r="594" spans="1:9">
      <c r="A594" s="491"/>
      <c r="B594" s="486" t="s">
        <v>2731</v>
      </c>
      <c r="D594" s="1302" t="s">
        <v>1068</v>
      </c>
      <c r="E594" s="1302"/>
      <c r="F594" s="1302"/>
      <c r="I594" s="491"/>
    </row>
    <row r="595" spans="1:9">
      <c r="A595" s="491"/>
      <c r="B595" s="491"/>
      <c r="D595" s="1302"/>
      <c r="E595" s="1302"/>
      <c r="F595" s="1302"/>
      <c r="I595" s="491"/>
    </row>
    <row r="596" spans="1:9">
      <c r="A596" s="491"/>
      <c r="B596" s="491"/>
      <c r="D596" s="1302"/>
      <c r="E596" s="1302"/>
      <c r="F596" s="1302"/>
      <c r="I596" s="491"/>
    </row>
    <row r="597" spans="1:9">
      <c r="A597" s="491"/>
      <c r="B597" s="491"/>
      <c r="D597" s="1302"/>
      <c r="E597" s="1302"/>
      <c r="F597" s="1302"/>
      <c r="I597" s="491"/>
    </row>
    <row r="598" spans="1:9">
      <c r="A598" s="491"/>
      <c r="B598" s="491"/>
      <c r="D598" s="441"/>
      <c r="E598" s="441"/>
      <c r="F598" s="441"/>
      <c r="I598" s="491"/>
    </row>
    <row r="599" spans="1:9">
      <c r="A599" s="491"/>
      <c r="B599" s="486" t="s">
        <v>2730</v>
      </c>
      <c r="D599" s="1302" t="s">
        <v>2066</v>
      </c>
      <c r="E599" s="1302"/>
      <c r="F599" s="1302"/>
      <c r="I599" s="491"/>
    </row>
    <row r="600" spans="1:9">
      <c r="A600" s="491"/>
      <c r="B600" s="491"/>
      <c r="D600" s="1302"/>
      <c r="E600" s="1302"/>
      <c r="F600" s="1302"/>
      <c r="I600" s="491"/>
    </row>
    <row r="601" spans="1:9">
      <c r="A601" s="491"/>
      <c r="B601" s="491"/>
      <c r="D601" s="500"/>
      <c r="I601" s="491"/>
    </row>
    <row r="602" spans="1:9">
      <c r="A602" s="491"/>
      <c r="B602" s="486" t="s">
        <v>2731</v>
      </c>
      <c r="D602" s="1302" t="s">
        <v>1069</v>
      </c>
      <c r="E602" s="1302"/>
      <c r="F602" s="1302"/>
      <c r="I602" s="491"/>
    </row>
    <row r="603" spans="1:9">
      <c r="A603" s="491"/>
      <c r="B603" s="491"/>
      <c r="D603" s="1302"/>
      <c r="E603" s="1302"/>
      <c r="F603" s="1302"/>
      <c r="I603" s="491"/>
    </row>
    <row r="604" spans="1:9" ht="14.25">
      <c r="A604" s="485"/>
      <c r="B604" s="485"/>
      <c r="D604" s="500"/>
      <c r="I604" s="491"/>
    </row>
    <row r="605" spans="1:9">
      <c r="A605" s="1301" t="s">
        <v>1055</v>
      </c>
      <c r="B605" s="1301"/>
      <c r="C605" s="1301"/>
      <c r="D605" s="1301"/>
      <c r="E605" s="1301"/>
      <c r="F605" s="1301"/>
      <c r="G605" s="1301"/>
      <c r="H605" s="1029"/>
      <c r="I605" s="1155"/>
    </row>
    <row r="606" spans="1:9">
      <c r="I606" s="491"/>
    </row>
    <row r="607" spans="1:9">
      <c r="D607" s="1306" t="s">
        <v>1107</v>
      </c>
      <c r="E607" s="1306"/>
      <c r="F607" s="1306"/>
      <c r="I607" s="491"/>
    </row>
    <row r="608" spans="1:9">
      <c r="D608" s="1307" t="s">
        <v>1108</v>
      </c>
      <c r="E608" s="1307"/>
      <c r="F608" s="1307"/>
      <c r="I608" s="491"/>
    </row>
    <row r="609" spans="1:9">
      <c r="D609" s="445"/>
      <c r="I609" s="491"/>
    </row>
    <row r="610" spans="1:9" ht="14.25" customHeight="1">
      <c r="A610" s="485"/>
      <c r="B610" s="486" t="s">
        <v>2730</v>
      </c>
      <c r="D610" s="1327" t="s">
        <v>1908</v>
      </c>
      <c r="E610" s="1327"/>
      <c r="F610" s="1327"/>
      <c r="I610" s="491"/>
    </row>
    <row r="611" spans="1:9">
      <c r="D611" s="1327"/>
      <c r="E611" s="1327"/>
      <c r="F611" s="1327"/>
      <c r="I611" s="491"/>
    </row>
    <row r="612" spans="1:9">
      <c r="D612" s="386"/>
      <c r="E612" s="1037" t="s">
        <v>1909</v>
      </c>
      <c r="F612" s="386"/>
      <c r="I612" s="491"/>
    </row>
    <row r="613" spans="1:9">
      <c r="I613" s="491"/>
    </row>
    <row r="614" spans="1:9">
      <c r="A614" s="1301" t="s">
        <v>1056</v>
      </c>
      <c r="B614" s="1301"/>
      <c r="C614" s="1301"/>
      <c r="D614" s="1301"/>
      <c r="E614" s="1301"/>
      <c r="F614" s="1301"/>
      <c r="G614" s="1301"/>
      <c r="H614" s="1029"/>
      <c r="I614" s="1155"/>
    </row>
    <row r="615" spans="1:9">
      <c r="A615" s="447"/>
      <c r="B615" s="447"/>
      <c r="I615" s="491"/>
    </row>
    <row r="616" spans="1:9">
      <c r="A616" s="483"/>
      <c r="B616" s="483"/>
      <c r="C616" s="483"/>
      <c r="D616" s="1335" t="s">
        <v>1109</v>
      </c>
      <c r="E616" s="1335"/>
      <c r="F616" s="1335"/>
      <c r="I616" s="491"/>
    </row>
    <row r="617" spans="1:9">
      <c r="A617" s="483"/>
      <c r="B617" s="483"/>
      <c r="C617" s="483"/>
      <c r="D617" s="1335"/>
      <c r="E617" s="1335"/>
      <c r="F617" s="1335"/>
      <c r="I617" s="491"/>
    </row>
    <row r="618" spans="1:9">
      <c r="C618" s="484"/>
      <c r="D618" s="1307" t="s">
        <v>1110</v>
      </c>
      <c r="E618" s="1307"/>
      <c r="F618" s="1307"/>
      <c r="I618" s="491"/>
    </row>
    <row r="619" spans="1:9">
      <c r="C619" s="484"/>
      <c r="D619" s="445"/>
      <c r="E619" s="445"/>
      <c r="F619" s="445"/>
      <c r="I619" s="491"/>
    </row>
    <row r="620" spans="1:9" ht="12.75" customHeight="1">
      <c r="A620" s="491"/>
      <c r="B620" s="486" t="s">
        <v>2730</v>
      </c>
      <c r="D620" s="1323" t="s">
        <v>1111</v>
      </c>
      <c r="E620" s="1323"/>
      <c r="F620" s="1323"/>
      <c r="I620" s="491"/>
    </row>
    <row r="621" spans="1:9">
      <c r="D621" s="1323"/>
      <c r="E621" s="1323"/>
      <c r="F621" s="1323"/>
      <c r="I621" s="491"/>
    </row>
    <row r="622" spans="1:9">
      <c r="I622" s="491"/>
    </row>
    <row r="623" spans="1:9">
      <c r="B623" s="486" t="s">
        <v>2730</v>
      </c>
      <c r="D623" s="1323" t="s">
        <v>1112</v>
      </c>
      <c r="E623" s="1323"/>
      <c r="F623" s="1323"/>
      <c r="I623" s="491"/>
    </row>
    <row r="624" spans="1:9">
      <c r="C624" s="501"/>
      <c r="D624" s="1323"/>
      <c r="E624" s="1323"/>
      <c r="F624" s="1323"/>
      <c r="I624" s="491"/>
    </row>
    <row r="625" spans="1:9">
      <c r="C625" s="501"/>
      <c r="I625" s="491"/>
    </row>
    <row r="626" spans="1:9">
      <c r="B626" s="486" t="s">
        <v>2731</v>
      </c>
      <c r="C626" s="501"/>
      <c r="D626" s="1323" t="s">
        <v>1113</v>
      </c>
      <c r="E626" s="1323"/>
      <c r="F626" s="1323"/>
      <c r="I626" s="491"/>
    </row>
    <row r="627" spans="1:9">
      <c r="C627" s="501"/>
      <c r="D627" s="1323"/>
      <c r="E627" s="1323"/>
      <c r="F627" s="1323"/>
      <c r="I627" s="501"/>
    </row>
    <row r="628" spans="1:9">
      <c r="C628" s="501"/>
      <c r="I628" s="491"/>
    </row>
    <row r="629" spans="1:9">
      <c r="A629" s="1301" t="s">
        <v>1057</v>
      </c>
      <c r="B629" s="1301"/>
      <c r="C629" s="1301"/>
      <c r="D629" s="1301"/>
      <c r="E629" s="1301"/>
      <c r="F629" s="1301"/>
      <c r="G629" s="1301"/>
      <c r="H629" s="1029"/>
      <c r="I629" s="1155"/>
    </row>
    <row r="630" spans="1:9">
      <c r="A630" s="483"/>
      <c r="B630" s="483"/>
      <c r="C630" s="483"/>
      <c r="I630" s="491"/>
    </row>
    <row r="631" spans="1:9">
      <c r="C631" s="491"/>
      <c r="D631" s="1306" t="s">
        <v>1114</v>
      </c>
      <c r="E631" s="1306"/>
      <c r="F631" s="1306"/>
      <c r="I631" s="491"/>
    </row>
    <row r="632" spans="1:9">
      <c r="A632" s="491"/>
      <c r="B632" s="491"/>
      <c r="D632" s="405"/>
      <c r="I632" s="491"/>
    </row>
    <row r="633" spans="1:9" ht="14.25" customHeight="1">
      <c r="A633" s="485"/>
      <c r="B633" s="486" t="s">
        <v>2730</v>
      </c>
      <c r="D633" s="1327" t="s">
        <v>2067</v>
      </c>
      <c r="E633" s="1327"/>
      <c r="F633" s="1327"/>
      <c r="I633" s="491"/>
    </row>
    <row r="634" spans="1:9">
      <c r="D634" s="1327"/>
      <c r="E634" s="1327"/>
      <c r="F634" s="1327"/>
      <c r="I634" s="491"/>
    </row>
    <row r="635" spans="1:9">
      <c r="D635" s="386"/>
      <c r="E635" s="1037" t="s">
        <v>1911</v>
      </c>
      <c r="F635" s="386"/>
      <c r="I635" s="491"/>
    </row>
    <row r="636" spans="1:9">
      <c r="D636" s="1298" t="s">
        <v>1910</v>
      </c>
      <c r="E636" s="1298"/>
      <c r="F636" s="1298"/>
      <c r="I636" s="491"/>
    </row>
    <row r="637" spans="1:9">
      <c r="D637" s="1298"/>
      <c r="E637" s="1298"/>
      <c r="F637" s="1298"/>
      <c r="I637" s="491"/>
    </row>
    <row r="638" spans="1:9">
      <c r="D638" s="1298"/>
      <c r="E638" s="1298"/>
      <c r="F638" s="1298"/>
      <c r="I638" s="491"/>
    </row>
    <row r="639" spans="1:9">
      <c r="D639" s="446"/>
      <c r="E639" s="446"/>
      <c r="F639" s="446"/>
      <c r="I639" s="491"/>
    </row>
    <row r="640" spans="1:9" ht="14.25">
      <c r="A640" s="485"/>
      <c r="B640" s="486" t="s">
        <v>2731</v>
      </c>
      <c r="D640" s="1298" t="s">
        <v>1115</v>
      </c>
      <c r="E640" s="1298"/>
      <c r="F640" s="1298"/>
      <c r="I640" s="491"/>
    </row>
    <row r="641" spans="1:9">
      <c r="A641" s="488"/>
      <c r="B641" s="488"/>
      <c r="C641" s="488"/>
      <c r="D641" s="1298"/>
      <c r="E641" s="1298"/>
      <c r="F641" s="1298"/>
      <c r="I641" s="491"/>
    </row>
    <row r="642" spans="1:9">
      <c r="A642" s="488"/>
      <c r="B642" s="488"/>
      <c r="C642" s="488"/>
      <c r="D642" s="447"/>
      <c r="E642" s="447"/>
      <c r="F642" s="447"/>
      <c r="I642" s="491"/>
    </row>
    <row r="643" spans="1:9" ht="14.25">
      <c r="A643" s="485"/>
      <c r="B643" s="486" t="s">
        <v>2731</v>
      </c>
      <c r="C643" s="488"/>
      <c r="D643" s="1298" t="s">
        <v>1225</v>
      </c>
      <c r="E643" s="1298"/>
      <c r="F643" s="1298"/>
      <c r="I643" s="491"/>
    </row>
    <row r="644" spans="1:9" ht="14.25">
      <c r="A644" s="485"/>
      <c r="B644" s="485"/>
      <c r="C644" s="488"/>
      <c r="D644" s="1298"/>
      <c r="E644" s="1298"/>
      <c r="F644" s="1298"/>
      <c r="I644" s="491"/>
    </row>
    <row r="645" spans="1:9" ht="14.25">
      <c r="A645" s="485"/>
      <c r="B645" s="485"/>
      <c r="C645" s="488"/>
      <c r="D645" s="1298"/>
      <c r="E645" s="1298"/>
      <c r="F645" s="1298"/>
      <c r="I645" s="491"/>
    </row>
    <row r="646" spans="1:9">
      <c r="A646" s="488"/>
      <c r="B646" s="486" t="s">
        <v>2731</v>
      </c>
      <c r="C646" s="488"/>
      <c r="D646" s="1299" t="s">
        <v>1116</v>
      </c>
      <c r="E646" s="1299"/>
      <c r="F646" s="1299"/>
      <c r="I646" s="491"/>
    </row>
    <row r="647" spans="1:9">
      <c r="A647" s="488"/>
      <c r="B647" s="488"/>
      <c r="C647" s="488"/>
      <c r="D647" s="447"/>
      <c r="E647" s="447"/>
      <c r="F647" s="447"/>
      <c r="I647" s="491"/>
    </row>
    <row r="648" spans="1:9">
      <c r="A648" s="1301" t="s">
        <v>1058</v>
      </c>
      <c r="B648" s="1301"/>
      <c r="C648" s="1301"/>
      <c r="D648" s="1301"/>
      <c r="E648" s="1301"/>
      <c r="F648" s="1301"/>
      <c r="G648" s="1301"/>
      <c r="H648" s="1029"/>
      <c r="I648" s="1155"/>
    </row>
    <row r="649" spans="1:9">
      <c r="A649" s="447"/>
      <c r="B649" s="447"/>
      <c r="C649" s="488"/>
      <c r="D649" s="447"/>
      <c r="E649" s="447"/>
      <c r="F649" s="447"/>
      <c r="I649" s="491"/>
    </row>
    <row r="650" spans="1:9">
      <c r="C650" s="483"/>
      <c r="D650" s="1306" t="s">
        <v>1146</v>
      </c>
      <c r="E650" s="1306"/>
      <c r="F650" s="1306"/>
      <c r="I650" s="491"/>
    </row>
    <row r="651" spans="1:9">
      <c r="A651" s="484"/>
      <c r="B651" s="484"/>
      <c r="C651" s="484"/>
      <c r="D651" s="1299" t="s">
        <v>1147</v>
      </c>
      <c r="E651" s="1299"/>
      <c r="F651" s="1299"/>
      <c r="I651" s="491"/>
    </row>
    <row r="652" spans="1:9">
      <c r="A652" s="484"/>
      <c r="B652" s="484"/>
      <c r="C652" s="484"/>
      <c r="D652" s="447"/>
      <c r="E652" s="447"/>
      <c r="F652" s="447"/>
      <c r="I652" s="491"/>
    </row>
    <row r="653" spans="1:9" ht="12.75" customHeight="1">
      <c r="B653" s="486" t="s">
        <v>2730</v>
      </c>
      <c r="C653" s="488"/>
      <c r="D653" s="1298" t="s">
        <v>1281</v>
      </c>
      <c r="E653" s="1298"/>
      <c r="F653" s="1298"/>
      <c r="I653" s="491"/>
    </row>
    <row r="654" spans="1:9">
      <c r="D654" s="1298"/>
      <c r="E654" s="1298"/>
      <c r="F654" s="1298"/>
      <c r="I654" s="491"/>
    </row>
    <row r="655" spans="1:9">
      <c r="D655" s="1298"/>
      <c r="E655" s="1298"/>
      <c r="F655" s="1298"/>
      <c r="I655" s="491"/>
    </row>
    <row r="656" spans="1:9">
      <c r="D656" s="1298"/>
      <c r="E656" s="1298"/>
      <c r="F656" s="1298"/>
      <c r="I656" s="491"/>
    </row>
    <row r="657" spans="1:9" ht="14.45" customHeight="1">
      <c r="A657" s="485"/>
      <c r="B657" s="485"/>
      <c r="C657" s="488"/>
      <c r="D657" s="386"/>
      <c r="E657" s="386"/>
      <c r="F657" s="386"/>
      <c r="I657" s="491"/>
    </row>
    <row r="658" spans="1:9" ht="12.75" customHeight="1">
      <c r="A658" s="484"/>
      <c r="B658" s="486" t="s">
        <v>2730</v>
      </c>
      <c r="C658" s="488"/>
      <c r="D658" s="1298" t="s">
        <v>1283</v>
      </c>
      <c r="E658" s="1298"/>
      <c r="F658" s="1298"/>
      <c r="I658" s="491"/>
    </row>
    <row r="659" spans="1:9" ht="14.25">
      <c r="A659" s="484"/>
      <c r="B659" s="485"/>
      <c r="C659" s="488"/>
      <c r="D659" s="1298"/>
      <c r="E659" s="1298"/>
      <c r="F659" s="1298"/>
      <c r="I659" s="491"/>
    </row>
    <row r="660" spans="1:9" ht="14.25">
      <c r="A660" s="484"/>
      <c r="B660" s="485"/>
      <c r="C660" s="488"/>
      <c r="D660" s="1298"/>
      <c r="E660" s="1298"/>
      <c r="F660" s="1298"/>
      <c r="I660" s="491"/>
    </row>
    <row r="661" spans="1:9" ht="14.25">
      <c r="A661" s="484"/>
      <c r="B661" s="485"/>
      <c r="C661" s="488"/>
      <c r="D661" s="1298"/>
      <c r="E661" s="1298"/>
      <c r="F661" s="1298"/>
      <c r="I661" s="491"/>
    </row>
    <row r="662" spans="1:9" ht="14.25">
      <c r="A662" s="484"/>
      <c r="B662" s="485"/>
      <c r="C662" s="488"/>
      <c r="D662" s="1298"/>
      <c r="E662" s="1298"/>
      <c r="F662" s="1298"/>
      <c r="I662" s="491"/>
    </row>
    <row r="663" spans="1:9" ht="14.25" customHeight="1">
      <c r="A663" s="484"/>
      <c r="B663" s="485"/>
      <c r="C663" s="488"/>
      <c r="F663" s="387"/>
      <c r="I663" s="491"/>
    </row>
    <row r="664" spans="1:9" ht="12.75" customHeight="1">
      <c r="A664" s="484"/>
      <c r="B664" s="486" t="s">
        <v>2731</v>
      </c>
      <c r="C664" s="488"/>
      <c r="D664" s="1298" t="s">
        <v>1282</v>
      </c>
      <c r="E664" s="1298"/>
      <c r="F664" s="1298"/>
      <c r="I664" s="491"/>
    </row>
    <row r="665" spans="1:9" ht="14.25">
      <c r="A665" s="484"/>
      <c r="B665" s="485"/>
      <c r="C665" s="488"/>
      <c r="D665" s="1298"/>
      <c r="E665" s="1298"/>
      <c r="F665" s="1298"/>
      <c r="I665" s="491"/>
    </row>
    <row r="666" spans="1:9" ht="14.25">
      <c r="A666" s="485"/>
      <c r="B666" s="485"/>
      <c r="C666" s="488"/>
      <c r="D666" s="1298"/>
      <c r="E666" s="1298"/>
      <c r="F666" s="1298"/>
      <c r="I666" s="491"/>
    </row>
    <row r="667" spans="1:9" ht="14.25">
      <c r="A667" s="485"/>
      <c r="B667" s="485"/>
      <c r="C667" s="488"/>
      <c r="D667" s="1298"/>
      <c r="E667" s="1298"/>
      <c r="F667" s="1298"/>
      <c r="I667" s="491"/>
    </row>
    <row r="668" spans="1:9" ht="14.25">
      <c r="A668" s="485"/>
      <c r="B668" s="485"/>
      <c r="C668" s="488"/>
      <c r="D668" s="446"/>
      <c r="E668" s="446"/>
      <c r="F668" s="446"/>
      <c r="I668" s="491"/>
    </row>
    <row r="669" spans="1:9" ht="12.75" customHeight="1">
      <c r="A669" s="484"/>
      <c r="B669" s="486" t="s">
        <v>2731</v>
      </c>
      <c r="C669" s="488"/>
      <c r="D669" s="1298" t="s">
        <v>2068</v>
      </c>
      <c r="E669" s="1298"/>
      <c r="F669" s="1298"/>
      <c r="I669" s="491"/>
    </row>
    <row r="670" spans="1:9" ht="12.75" customHeight="1">
      <c r="A670" s="484"/>
      <c r="B670" s="485"/>
      <c r="C670" s="488"/>
      <c r="D670" s="1298"/>
      <c r="E670" s="1298"/>
      <c r="F670" s="1298"/>
      <c r="I670" s="491"/>
    </row>
    <row r="671" spans="1:9" ht="12.75" customHeight="1">
      <c r="A671" s="484"/>
      <c r="B671" s="485"/>
      <c r="C671" s="488"/>
      <c r="D671" s="1298"/>
      <c r="E671" s="1298"/>
      <c r="F671" s="1298"/>
      <c r="I671" s="491"/>
    </row>
    <row r="672" spans="1:9" ht="12.75" customHeight="1">
      <c r="A672" s="484"/>
      <c r="B672" s="485"/>
      <c r="C672" s="488"/>
      <c r="D672" s="1298"/>
      <c r="E672" s="1298"/>
      <c r="F672" s="1298"/>
      <c r="I672" s="491"/>
    </row>
    <row r="673" spans="1:11" ht="12.75" customHeight="1">
      <c r="A673" s="484"/>
      <c r="B673" s="485"/>
      <c r="C673" s="488"/>
      <c r="D673" s="1298"/>
      <c r="E673" s="1298"/>
      <c r="F673" s="1298"/>
      <c r="I673" s="491"/>
    </row>
    <row r="674" spans="1:11" ht="12.75" customHeight="1">
      <c r="A674" s="484"/>
      <c r="B674" s="485"/>
      <c r="C674" s="488"/>
      <c r="D674" s="1298"/>
      <c r="E674" s="1298"/>
      <c r="F674" s="1298"/>
      <c r="I674" s="491"/>
    </row>
    <row r="675" spans="1:11" ht="12.75" customHeight="1">
      <c r="A675" s="484"/>
      <c r="B675" s="485"/>
      <c r="C675" s="488"/>
      <c r="D675" s="1298"/>
      <c r="E675" s="1298"/>
      <c r="F675" s="1298"/>
      <c r="I675" s="491"/>
    </row>
    <row r="676" spans="1:11" ht="12.75" customHeight="1">
      <c r="A676" s="484"/>
      <c r="B676" s="485"/>
      <c r="C676" s="488"/>
      <c r="D676" s="1298"/>
      <c r="E676" s="1298"/>
      <c r="F676" s="1298"/>
      <c r="I676" s="491"/>
    </row>
    <row r="677" spans="1:11" ht="12.75" customHeight="1">
      <c r="A677" s="484"/>
      <c r="B677" s="485"/>
      <c r="C677" s="488"/>
      <c r="D677" s="1298"/>
      <c r="E677" s="1298"/>
      <c r="F677" s="1298"/>
      <c r="I677" s="491"/>
    </row>
    <row r="678" spans="1:11">
      <c r="A678" s="488"/>
      <c r="B678" s="488"/>
      <c r="C678" s="488"/>
      <c r="D678" s="447"/>
      <c r="E678" s="447"/>
      <c r="F678" s="447"/>
      <c r="I678" s="491"/>
    </row>
    <row r="679" spans="1:11">
      <c r="A679" s="1301" t="s">
        <v>1059</v>
      </c>
      <c r="B679" s="1301"/>
      <c r="C679" s="1301"/>
      <c r="D679" s="1301"/>
      <c r="E679" s="1301"/>
      <c r="F679" s="1301"/>
      <c r="G679" s="1301"/>
      <c r="H679" s="1031"/>
      <c r="I679" s="1159"/>
      <c r="J679" s="502"/>
      <c r="K679" s="502"/>
    </row>
    <row r="680" spans="1:11">
      <c r="A680" s="449"/>
      <c r="B680" s="449"/>
      <c r="C680" s="449"/>
      <c r="D680" s="449"/>
      <c r="E680" s="449"/>
      <c r="F680" s="449"/>
      <c r="G680" s="449"/>
      <c r="H680" s="502"/>
      <c r="I680" s="484"/>
      <c r="J680" s="502"/>
      <c r="K680" s="502"/>
    </row>
    <row r="681" spans="1:11">
      <c r="C681" s="483"/>
      <c r="D681" s="1306" t="s">
        <v>99</v>
      </c>
      <c r="E681" s="1306"/>
      <c r="F681" s="1306"/>
      <c r="H681" s="502"/>
      <c r="I681" s="484"/>
      <c r="J681" s="502"/>
      <c r="K681" s="502"/>
    </row>
    <row r="682" spans="1:11">
      <c r="A682" s="483"/>
      <c r="B682" s="483"/>
      <c r="C682" s="483"/>
      <c r="D682" s="1306" t="s">
        <v>123</v>
      </c>
      <c r="E682" s="1306"/>
      <c r="F682" s="1306"/>
      <c r="H682" s="502"/>
      <c r="I682" s="484"/>
      <c r="J682" s="502"/>
      <c r="K682" s="502"/>
    </row>
    <row r="683" spans="1:11">
      <c r="A683" s="484"/>
      <c r="B683" s="484"/>
      <c r="C683" s="484"/>
      <c r="D683" s="1299" t="s">
        <v>1076</v>
      </c>
      <c r="E683" s="1299"/>
      <c r="F683" s="1299"/>
      <c r="H683" s="502"/>
      <c r="I683" s="484"/>
      <c r="J683" s="502"/>
      <c r="K683" s="502"/>
    </row>
    <row r="684" spans="1:11">
      <c r="A684" s="484"/>
      <c r="B684" s="484"/>
      <c r="C684" s="484"/>
      <c r="H684" s="502"/>
      <c r="I684" s="484"/>
      <c r="J684" s="502"/>
      <c r="K684" s="502"/>
    </row>
    <row r="685" spans="1:11" ht="14.25">
      <c r="A685" s="485"/>
      <c r="B685" s="486" t="s">
        <v>2730</v>
      </c>
      <c r="C685" s="484"/>
      <c r="D685" s="1299" t="s">
        <v>885</v>
      </c>
      <c r="E685" s="1299"/>
      <c r="F685" s="1299"/>
      <c r="H685" s="502"/>
      <c r="I685" s="484"/>
      <c r="J685" s="502"/>
      <c r="K685" s="502"/>
    </row>
    <row r="686" spans="1:11">
      <c r="A686" s="484"/>
      <c r="B686" s="484"/>
      <c r="C686" s="484"/>
      <c r="D686" s="1299" t="s">
        <v>894</v>
      </c>
      <c r="E686" s="1299"/>
      <c r="F686" s="1299"/>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2731</v>
      </c>
      <c r="C690" s="484"/>
      <c r="D690" s="1298" t="s">
        <v>2069</v>
      </c>
      <c r="E690" s="1298"/>
      <c r="F690" s="1298"/>
      <c r="H690" s="502"/>
      <c r="I690" s="484"/>
      <c r="J690" s="502"/>
      <c r="K690" s="502"/>
    </row>
    <row r="691" spans="1:11">
      <c r="A691" s="491"/>
      <c r="B691" s="491"/>
      <c r="C691" s="484"/>
      <c r="D691" s="1298"/>
      <c r="E691" s="1298"/>
      <c r="F691" s="1298"/>
      <c r="H691" s="502"/>
      <c r="I691" s="484"/>
      <c r="J691" s="502"/>
      <c r="K691" s="502"/>
    </row>
    <row r="692" spans="1:11">
      <c r="A692" s="484"/>
      <c r="B692" s="484"/>
      <c r="C692" s="484"/>
      <c r="D692" s="1298"/>
      <c r="E692" s="1298"/>
      <c r="F692" s="1298"/>
      <c r="H692" s="502"/>
      <c r="I692" s="484"/>
      <c r="J692" s="502"/>
      <c r="K692" s="502"/>
    </row>
    <row r="693" spans="1:11">
      <c r="A693" s="484"/>
      <c r="B693" s="484"/>
      <c r="C693" s="484"/>
      <c r="H693" s="502"/>
      <c r="J693" s="502"/>
      <c r="K693" s="502"/>
    </row>
    <row r="694" spans="1:11" ht="14.25">
      <c r="A694" s="485"/>
      <c r="B694" s="486" t="s">
        <v>2730</v>
      </c>
      <c r="C694" s="484"/>
      <c r="D694" s="1299" t="s">
        <v>917</v>
      </c>
      <c r="E694" s="1299"/>
      <c r="F694" s="1299"/>
      <c r="H694" s="502"/>
      <c r="I694" s="484"/>
      <c r="J694" s="502"/>
      <c r="K694" s="502"/>
    </row>
    <row r="695" spans="1:11" ht="14.25">
      <c r="A695" s="485"/>
      <c r="B695" s="485"/>
      <c r="C695" s="484"/>
      <c r="D695" s="1299" t="s">
        <v>894</v>
      </c>
      <c r="E695" s="1299"/>
      <c r="F695" s="1299"/>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2731</v>
      </c>
      <c r="C698" s="484"/>
      <c r="D698" s="1299" t="s">
        <v>2472</v>
      </c>
      <c r="E698" s="1299"/>
      <c r="F698" s="1299"/>
      <c r="H698" s="502"/>
      <c r="I698" s="484"/>
      <c r="J698" s="502"/>
      <c r="K698" s="502"/>
    </row>
    <row r="699" spans="1:11" ht="14.25">
      <c r="A699" s="485"/>
      <c r="B699" s="485"/>
      <c r="C699" s="484"/>
      <c r="D699" s="1299" t="s">
        <v>894</v>
      </c>
      <c r="E699" s="1299"/>
      <c r="F699" s="1299"/>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2730</v>
      </c>
      <c r="C702" s="484"/>
      <c r="D702" s="1298" t="s">
        <v>2247</v>
      </c>
      <c r="E702" s="1298"/>
      <c r="F702" s="1298"/>
      <c r="H702" s="502"/>
      <c r="I702" s="484"/>
      <c r="J702" s="502"/>
      <c r="K702" s="502"/>
    </row>
    <row r="703" spans="1:11">
      <c r="A703" s="484"/>
      <c r="B703" s="484"/>
      <c r="C703" s="484"/>
      <c r="D703" s="1298"/>
      <c r="E703" s="1298"/>
      <c r="F703" s="1298"/>
      <c r="H703" s="502"/>
      <c r="I703" s="484"/>
      <c r="J703" s="502"/>
      <c r="K703" s="502"/>
    </row>
    <row r="704" spans="1:11">
      <c r="A704" s="484"/>
      <c r="B704" s="484"/>
      <c r="C704" s="484"/>
      <c r="D704" s="1298"/>
      <c r="E704" s="1298"/>
      <c r="F704" s="1298"/>
      <c r="H704" s="502"/>
      <c r="I704" s="484"/>
      <c r="J704" s="502"/>
      <c r="K704" s="502"/>
    </row>
    <row r="705" spans="1:11">
      <c r="A705" s="484"/>
      <c r="B705" s="484"/>
      <c r="C705" s="484"/>
      <c r="D705" s="1298"/>
      <c r="E705" s="1298"/>
      <c r="F705" s="1298"/>
      <c r="H705" s="502"/>
      <c r="I705" s="484"/>
      <c r="J705" s="502"/>
      <c r="K705" s="502"/>
    </row>
    <row r="706" spans="1:11">
      <c r="A706" s="484"/>
      <c r="B706" s="484"/>
      <c r="C706" s="484"/>
      <c r="D706" s="1298"/>
      <c r="E706" s="1298"/>
      <c r="F706" s="1298"/>
      <c r="H706" s="502"/>
      <c r="I706" s="484"/>
      <c r="J706" s="502"/>
      <c r="K706" s="502"/>
    </row>
    <row r="707" spans="1:11">
      <c r="A707" s="484"/>
      <c r="B707" s="484"/>
      <c r="C707" s="484"/>
      <c r="D707" s="1298"/>
      <c r="E707" s="1298"/>
      <c r="F707" s="1298"/>
      <c r="H707" s="502"/>
      <c r="I707" s="484"/>
      <c r="J707" s="502"/>
      <c r="K707" s="502"/>
    </row>
    <row r="708" spans="1:11">
      <c r="A708" s="484"/>
      <c r="B708" s="484"/>
      <c r="C708" s="484"/>
      <c r="D708" s="446"/>
      <c r="E708" s="446"/>
      <c r="F708" s="446"/>
      <c r="H708" s="502"/>
      <c r="I708" s="484"/>
      <c r="J708" s="502"/>
      <c r="K708" s="502"/>
    </row>
    <row r="709" spans="1:11">
      <c r="A709" s="484"/>
      <c r="B709" s="486" t="s">
        <v>2730</v>
      </c>
      <c r="C709" s="484"/>
      <c r="D709" s="1298" t="s">
        <v>1201</v>
      </c>
      <c r="E709" s="1298"/>
      <c r="F709" s="1298"/>
      <c r="H709" s="502"/>
      <c r="I709" s="484"/>
      <c r="J709" s="502"/>
      <c r="K709" s="502"/>
    </row>
    <row r="710" spans="1:11">
      <c r="A710" s="484"/>
      <c r="B710" s="484"/>
      <c r="C710" s="484"/>
      <c r="D710" s="1298"/>
      <c r="E710" s="1298"/>
      <c r="F710" s="1298"/>
      <c r="H710" s="502"/>
      <c r="I710" s="484"/>
      <c r="J710" s="502"/>
      <c r="K710" s="502"/>
    </row>
    <row r="711" spans="1:11">
      <c r="A711" s="484"/>
      <c r="B711" s="484"/>
      <c r="C711" s="484"/>
      <c r="D711" s="446"/>
      <c r="E711" s="446"/>
      <c r="F711" s="446"/>
      <c r="H711" s="502"/>
      <c r="I711" s="484"/>
      <c r="J711" s="502"/>
      <c r="K711" s="502"/>
    </row>
    <row r="712" spans="1:11" ht="14.25">
      <c r="A712" s="485"/>
      <c r="B712" s="486" t="s">
        <v>2731</v>
      </c>
      <c r="C712" s="484"/>
      <c r="D712" s="1298" t="s">
        <v>1077</v>
      </c>
      <c r="E712" s="1298"/>
      <c r="F712" s="1298"/>
      <c r="H712" s="502"/>
      <c r="I712" s="484"/>
      <c r="J712" s="502"/>
      <c r="K712" s="502"/>
    </row>
    <row r="713" spans="1:11">
      <c r="A713" s="484"/>
      <c r="B713" s="484"/>
      <c r="C713" s="484"/>
      <c r="D713" s="1298"/>
      <c r="E713" s="1298"/>
      <c r="F713" s="1298"/>
      <c r="H713" s="502"/>
      <c r="I713" s="484"/>
      <c r="J713" s="502"/>
      <c r="K713" s="502"/>
    </row>
    <row r="714" spans="1:11">
      <c r="A714" s="484"/>
      <c r="B714" s="484"/>
      <c r="C714" s="484"/>
      <c r="D714" s="1298"/>
      <c r="E714" s="1298"/>
      <c r="F714" s="1298"/>
      <c r="H714" s="502"/>
      <c r="I714" s="484"/>
      <c r="J714" s="502"/>
      <c r="K714" s="502"/>
    </row>
    <row r="715" spans="1:11" ht="15" customHeight="1">
      <c r="A715" s="484"/>
      <c r="B715" s="484"/>
      <c r="C715" s="484"/>
      <c r="D715" s="1298"/>
      <c r="E715" s="1298"/>
      <c r="F715" s="1298"/>
      <c r="H715" s="502"/>
      <c r="I715" s="484"/>
      <c r="J715" s="502"/>
      <c r="K715" s="502"/>
    </row>
    <row r="716" spans="1:11" ht="15" customHeight="1">
      <c r="A716" s="484"/>
      <c r="B716" s="484"/>
      <c r="C716" s="484"/>
      <c r="D716" s="1298"/>
      <c r="E716" s="1298"/>
      <c r="F716" s="1298"/>
      <c r="H716" s="502"/>
      <c r="I716" s="484"/>
      <c r="J716" s="502"/>
      <c r="K716" s="502"/>
    </row>
    <row r="717" spans="1:11">
      <c r="A717" s="484"/>
      <c r="B717" s="484"/>
      <c r="C717" s="484"/>
      <c r="D717" s="1298"/>
      <c r="E717" s="1298"/>
      <c r="F717" s="1298"/>
      <c r="H717" s="502"/>
      <c r="I717" s="484"/>
      <c r="J717" s="502"/>
      <c r="K717" s="502"/>
    </row>
    <row r="718" spans="1:11">
      <c r="A718" s="484"/>
      <c r="B718" s="484"/>
      <c r="C718" s="484"/>
      <c r="D718" s="1298"/>
      <c r="E718" s="1298"/>
      <c r="F718" s="1298"/>
      <c r="H718" s="502"/>
      <c r="I718" s="484"/>
      <c r="J718" s="502"/>
      <c r="K718" s="502"/>
    </row>
    <row r="719" spans="1:11">
      <c r="A719" s="484"/>
      <c r="B719" s="484"/>
      <c r="C719" s="484"/>
      <c r="D719" s="1298"/>
      <c r="E719" s="1298"/>
      <c r="F719" s="1298"/>
      <c r="H719" s="502"/>
      <c r="I719" s="484"/>
      <c r="J719" s="502"/>
      <c r="K719" s="502"/>
    </row>
    <row r="720" spans="1:11" ht="15" customHeight="1">
      <c r="A720" s="484"/>
      <c r="B720" s="484"/>
      <c r="C720" s="484"/>
      <c r="D720" s="1298"/>
      <c r="E720" s="1298"/>
      <c r="F720" s="1298"/>
      <c r="H720" s="502"/>
      <c r="I720" s="484"/>
      <c r="J720" s="502"/>
      <c r="K720" s="502"/>
    </row>
    <row r="721" spans="1:11">
      <c r="A721" s="484"/>
      <c r="B721" s="484"/>
      <c r="C721" s="484"/>
      <c r="D721" s="1298"/>
      <c r="E721" s="1298"/>
      <c r="F721" s="1298"/>
      <c r="H721" s="502"/>
      <c r="I721" s="484"/>
      <c r="J721" s="502"/>
      <c r="K721" s="502"/>
    </row>
    <row r="722" spans="1:11">
      <c r="A722" s="484"/>
      <c r="B722" s="484"/>
      <c r="C722" s="484"/>
      <c r="D722" s="1298"/>
      <c r="E722" s="1298"/>
      <c r="F722" s="1298"/>
      <c r="H722" s="502"/>
      <c r="I722" s="484"/>
      <c r="J722" s="502"/>
      <c r="K722" s="502"/>
    </row>
    <row r="723" spans="1:11">
      <c r="A723" s="484"/>
      <c r="B723" s="484"/>
      <c r="C723" s="484"/>
      <c r="D723" s="1298"/>
      <c r="E723" s="1298"/>
      <c r="F723" s="1298"/>
      <c r="H723" s="502"/>
      <c r="I723" s="484"/>
      <c r="J723" s="502"/>
      <c r="K723" s="502"/>
    </row>
    <row r="724" spans="1:11">
      <c r="A724" s="484"/>
      <c r="B724" s="484"/>
      <c r="C724" s="484"/>
      <c r="D724" s="1298"/>
      <c r="E724" s="1298"/>
      <c r="F724" s="1298"/>
      <c r="H724" s="502"/>
      <c r="I724" s="484"/>
      <c r="J724" s="502"/>
      <c r="K724" s="502"/>
    </row>
    <row r="725" spans="1:11">
      <c r="A725" s="484"/>
      <c r="B725" s="486" t="s">
        <v>2731</v>
      </c>
      <c r="C725" s="484"/>
      <c r="D725" s="1298" t="s">
        <v>2465</v>
      </c>
      <c r="E725" s="1298"/>
      <c r="F725" s="1298"/>
      <c r="H725" s="502"/>
      <c r="I725" s="484"/>
      <c r="J725" s="502"/>
      <c r="K725" s="502"/>
    </row>
    <row r="726" spans="1:11">
      <c r="A726" s="484"/>
      <c r="B726" s="484"/>
      <c r="C726" s="484"/>
      <c r="D726" s="1298"/>
      <c r="E726" s="1298"/>
      <c r="F726" s="1298"/>
      <c r="H726" s="502"/>
      <c r="I726" s="484"/>
      <c r="J726" s="502"/>
      <c r="K726" s="502"/>
    </row>
    <row r="727" spans="1:11">
      <c r="A727" s="484"/>
      <c r="B727" s="484"/>
      <c r="C727" s="484"/>
      <c r="D727" s="1298"/>
      <c r="E727" s="1298"/>
      <c r="F727" s="1298"/>
      <c r="H727" s="502"/>
      <c r="I727" s="484"/>
      <c r="J727" s="502"/>
      <c r="K727" s="502"/>
    </row>
    <row r="728" spans="1:11">
      <c r="A728" s="484"/>
      <c r="B728" s="484"/>
      <c r="C728" s="484"/>
      <c r="D728" s="446"/>
      <c r="E728" s="446"/>
      <c r="F728" s="446"/>
      <c r="H728" s="502"/>
      <c r="I728" s="484"/>
      <c r="J728" s="502"/>
      <c r="K728" s="502"/>
    </row>
    <row r="729" spans="1:11">
      <c r="A729" s="484"/>
      <c r="B729" s="486" t="s">
        <v>2731</v>
      </c>
      <c r="C729" s="484"/>
      <c r="D729" s="1298" t="s">
        <v>2464</v>
      </c>
      <c r="E729" s="1298"/>
      <c r="F729" s="1298"/>
      <c r="H729" s="502"/>
      <c r="I729" s="484"/>
      <c r="J729" s="502"/>
      <c r="K729" s="502"/>
    </row>
    <row r="730" spans="1:11">
      <c r="A730" s="484"/>
      <c r="B730" s="484"/>
      <c r="C730" s="484"/>
      <c r="D730" s="1298"/>
      <c r="E730" s="1298"/>
      <c r="F730" s="1298"/>
      <c r="H730" s="502"/>
      <c r="I730" s="484"/>
      <c r="J730" s="502"/>
      <c r="K730" s="502"/>
    </row>
    <row r="731" spans="1:11">
      <c r="A731" s="484"/>
      <c r="B731" s="484"/>
      <c r="C731" s="484"/>
      <c r="D731" s="1298"/>
      <c r="E731" s="1298"/>
      <c r="F731" s="1298"/>
      <c r="H731" s="502"/>
      <c r="I731" s="484"/>
      <c r="J731" s="502"/>
      <c r="K731" s="502"/>
    </row>
    <row r="732" spans="1:11">
      <c r="A732" s="484"/>
      <c r="B732" s="484"/>
      <c r="C732" s="484"/>
      <c r="H732" s="502"/>
      <c r="I732" s="484"/>
      <c r="J732" s="502"/>
      <c r="K732" s="502"/>
    </row>
    <row r="733" spans="1:11">
      <c r="A733" s="484"/>
      <c r="B733" s="486" t="s">
        <v>2731</v>
      </c>
      <c r="C733" s="484"/>
      <c r="D733" s="1298" t="s">
        <v>2463</v>
      </c>
      <c r="E733" s="1298"/>
      <c r="F733" s="1298"/>
      <c r="H733" s="502"/>
      <c r="I733" s="484"/>
      <c r="J733" s="502"/>
      <c r="K733" s="502"/>
    </row>
    <row r="734" spans="1:11">
      <c r="A734" s="484"/>
      <c r="B734" s="484"/>
      <c r="C734" s="484"/>
      <c r="D734" s="1298"/>
      <c r="E734" s="1298"/>
      <c r="F734" s="1298"/>
      <c r="H734" s="502"/>
      <c r="I734" s="484"/>
      <c r="J734" s="502"/>
      <c r="K734" s="502"/>
    </row>
    <row r="735" spans="1:11">
      <c r="A735" s="484"/>
      <c r="B735" s="484"/>
      <c r="C735" s="484"/>
      <c r="D735" s="1298"/>
      <c r="E735" s="1298"/>
      <c r="F735" s="1298"/>
      <c r="H735" s="502"/>
      <c r="I735" s="484"/>
      <c r="J735" s="502"/>
      <c r="K735" s="502"/>
    </row>
    <row r="736" spans="1:11">
      <c r="A736" s="484"/>
      <c r="B736" s="484"/>
      <c r="C736" s="484"/>
      <c r="D736" s="1298"/>
      <c r="E736" s="1298"/>
      <c r="F736" s="1298"/>
      <c r="H736" s="502"/>
      <c r="I736" s="484"/>
      <c r="J736" s="502"/>
      <c r="K736" s="502"/>
    </row>
    <row r="737" spans="1:11">
      <c r="A737" s="484"/>
      <c r="B737" s="484"/>
      <c r="C737" s="484"/>
      <c r="H737" s="502"/>
      <c r="I737" s="484"/>
      <c r="J737" s="502"/>
      <c r="K737" s="502"/>
    </row>
    <row r="738" spans="1:11" ht="14.25">
      <c r="A738" s="485"/>
      <c r="B738" s="486" t="s">
        <v>2731</v>
      </c>
      <c r="C738" s="484"/>
      <c r="D738" s="1298" t="s">
        <v>1078</v>
      </c>
      <c r="E738" s="1298"/>
      <c r="F738" s="1298"/>
      <c r="H738" s="502"/>
      <c r="I738" s="484"/>
      <c r="J738" s="502"/>
      <c r="K738" s="502"/>
    </row>
    <row r="739" spans="1:11">
      <c r="A739" s="484"/>
      <c r="B739" s="484"/>
      <c r="C739" s="484"/>
      <c r="D739" s="1298"/>
      <c r="E739" s="1298"/>
      <c r="F739" s="1298"/>
      <c r="H739" s="502"/>
      <c r="I739" s="484"/>
      <c r="J739" s="502"/>
      <c r="K739" s="502"/>
    </row>
    <row r="740" spans="1:11">
      <c r="A740" s="484"/>
      <c r="B740" s="484"/>
      <c r="C740" s="484"/>
      <c r="D740" s="1298"/>
      <c r="E740" s="1298"/>
      <c r="F740" s="1298"/>
      <c r="H740" s="502"/>
      <c r="I740" s="484"/>
      <c r="J740" s="502"/>
      <c r="K740" s="502"/>
    </row>
    <row r="741" spans="1:11">
      <c r="A741" s="484"/>
      <c r="B741" s="484"/>
      <c r="C741" s="484"/>
      <c r="D741" s="1298"/>
      <c r="E741" s="1298"/>
      <c r="F741" s="1298"/>
      <c r="H741" s="502"/>
      <c r="I741" s="484"/>
      <c r="J741" s="502"/>
      <c r="K741" s="502"/>
    </row>
    <row r="742" spans="1:11">
      <c r="A742" s="484"/>
      <c r="B742" s="484"/>
      <c r="C742" s="484"/>
      <c r="D742" s="1298"/>
      <c r="E742" s="1298"/>
      <c r="F742" s="1298"/>
      <c r="H742" s="502"/>
      <c r="I742" s="484"/>
      <c r="J742" s="502"/>
      <c r="K742" s="502"/>
    </row>
    <row r="743" spans="1:11">
      <c r="A743" s="484"/>
      <c r="B743" s="484"/>
      <c r="C743" s="484"/>
      <c r="D743" s="493"/>
      <c r="H743" s="502"/>
      <c r="I743" s="484"/>
      <c r="J743" s="502"/>
      <c r="K743" s="502"/>
    </row>
    <row r="744" spans="1:11" ht="14.25">
      <c r="A744" s="485"/>
      <c r="B744" s="486" t="s">
        <v>2731</v>
      </c>
      <c r="C744" s="484"/>
      <c r="D744" s="1298" t="s">
        <v>2147</v>
      </c>
      <c r="E744" s="1298"/>
      <c r="F744" s="1298"/>
      <c r="H744" s="502"/>
      <c r="I744" s="484"/>
      <c r="J744" s="502"/>
      <c r="K744" s="502"/>
    </row>
    <row r="745" spans="1:11">
      <c r="A745" s="484"/>
      <c r="B745" s="484"/>
      <c r="C745" s="484"/>
      <c r="D745" s="1298"/>
      <c r="E745" s="1298"/>
      <c r="F745" s="1298"/>
      <c r="H745" s="502"/>
      <c r="I745" s="484"/>
      <c r="J745" s="502"/>
      <c r="K745" s="502"/>
    </row>
    <row r="746" spans="1:11">
      <c r="A746" s="484"/>
      <c r="B746" s="484"/>
      <c r="C746" s="484"/>
      <c r="D746" s="1298"/>
      <c r="E746" s="1298"/>
      <c r="F746" s="1298"/>
      <c r="H746" s="502"/>
      <c r="I746" s="484"/>
      <c r="J746" s="502"/>
      <c r="K746" s="502"/>
    </row>
    <row r="747" spans="1:11">
      <c r="A747" s="484"/>
      <c r="B747" s="484"/>
      <c r="C747" s="484"/>
      <c r="D747" s="1298"/>
      <c r="E747" s="1298"/>
      <c r="F747" s="1298"/>
      <c r="H747" s="502"/>
      <c r="I747" s="484"/>
      <c r="J747" s="502"/>
      <c r="K747" s="502"/>
    </row>
    <row r="748" spans="1:11">
      <c r="A748" s="484"/>
      <c r="B748" s="484"/>
      <c r="C748" s="484"/>
      <c r="D748" s="1298"/>
      <c r="E748" s="1298"/>
      <c r="F748" s="1298"/>
      <c r="H748" s="502"/>
      <c r="I748" s="484"/>
      <c r="J748" s="502"/>
      <c r="K748" s="502"/>
    </row>
    <row r="749" spans="1:11">
      <c r="A749" s="484"/>
      <c r="B749" s="484"/>
      <c r="C749" s="484"/>
      <c r="D749" s="1298"/>
      <c r="E749" s="1298"/>
      <c r="F749" s="1298"/>
      <c r="H749" s="502"/>
      <c r="I749" s="484"/>
      <c r="J749" s="502"/>
      <c r="K749" s="502"/>
    </row>
    <row r="750" spans="1:11">
      <c r="A750" s="484"/>
      <c r="B750" s="484"/>
      <c r="C750" s="484"/>
      <c r="D750" s="1298"/>
      <c r="E750" s="1298"/>
      <c r="F750" s="1298"/>
      <c r="H750" s="502"/>
      <c r="I750" s="484"/>
      <c r="J750" s="502"/>
      <c r="K750" s="502"/>
    </row>
    <row r="751" spans="1:11">
      <c r="A751" s="484"/>
      <c r="B751" s="484"/>
      <c r="C751" s="484"/>
      <c r="D751" s="1336" t="s">
        <v>2076</v>
      </c>
      <c r="E751" s="1336"/>
      <c r="F751" s="1336"/>
      <c r="H751" s="502"/>
      <c r="I751" s="484"/>
      <c r="J751" s="502"/>
      <c r="K751" s="502"/>
    </row>
    <row r="752" spans="1:11">
      <c r="A752" s="484"/>
      <c r="B752" s="484"/>
      <c r="C752" s="484"/>
      <c r="D752" s="342"/>
      <c r="H752" s="502"/>
      <c r="I752" s="484"/>
      <c r="J752" s="502"/>
      <c r="K752" s="502"/>
    </row>
    <row r="753" spans="1:11">
      <c r="A753" s="1305" t="s">
        <v>1060</v>
      </c>
      <c r="B753" s="1305"/>
      <c r="C753" s="1305"/>
      <c r="D753" s="1305"/>
      <c r="E753" s="1305"/>
      <c r="F753" s="1305"/>
      <c r="G753" s="1305"/>
      <c r="H753" s="1031"/>
      <c r="I753" s="1159"/>
      <c r="J753" s="502"/>
      <c r="K753" s="502"/>
    </row>
    <row r="754" spans="1:11">
      <c r="A754" s="484"/>
      <c r="B754" s="484"/>
      <c r="C754" s="484"/>
      <c r="D754" s="493"/>
      <c r="G754" s="502"/>
      <c r="H754" s="502"/>
      <c r="I754" s="484"/>
      <c r="J754" s="502"/>
      <c r="K754" s="502"/>
    </row>
    <row r="755" spans="1:11" ht="13.7" customHeight="1">
      <c r="C755" s="484"/>
      <c r="D755" s="1300" t="s">
        <v>1070</v>
      </c>
      <c r="E755" s="1300"/>
      <c r="F755" s="1300"/>
      <c r="G755" s="502"/>
      <c r="H755" s="502"/>
      <c r="I755" s="484"/>
      <c r="J755" s="502"/>
      <c r="K755" s="502"/>
    </row>
    <row r="756" spans="1:11">
      <c r="A756" s="484"/>
      <c r="B756" s="484"/>
      <c r="C756" s="484"/>
      <c r="D756" s="1304" t="s">
        <v>1071</v>
      </c>
      <c r="E756" s="1304"/>
      <c r="F756" s="1304"/>
      <c r="G756" s="502"/>
      <c r="H756" s="502"/>
      <c r="I756" s="484"/>
      <c r="J756" s="502"/>
      <c r="K756" s="502"/>
    </row>
    <row r="757" spans="1:11">
      <c r="A757" s="484"/>
      <c r="B757" s="484"/>
      <c r="C757" s="484"/>
      <c r="G757" s="502"/>
      <c r="H757" s="502"/>
      <c r="I757" s="484"/>
      <c r="J757" s="502"/>
      <c r="K757" s="502"/>
    </row>
    <row r="758" spans="1:11" ht="14.25">
      <c r="A758" s="485"/>
      <c r="B758" s="486" t="s">
        <v>2730</v>
      </c>
      <c r="D758" s="1298" t="s">
        <v>1072</v>
      </c>
      <c r="E758" s="1298"/>
      <c r="F758" s="1298"/>
      <c r="G758" s="502"/>
      <c r="H758" s="502"/>
      <c r="I758" s="484"/>
      <c r="J758" s="502"/>
      <c r="K758" s="502"/>
    </row>
    <row r="759" spans="1:11" ht="10.5" customHeight="1">
      <c r="D759" s="1298"/>
      <c r="E759" s="1298"/>
      <c r="F759" s="1298"/>
      <c r="G759" s="502"/>
      <c r="H759" s="502"/>
      <c r="I759" s="484"/>
      <c r="J759" s="502"/>
      <c r="K759" s="502"/>
    </row>
    <row r="760" spans="1:11">
      <c r="D760" s="1298"/>
      <c r="E760" s="1298"/>
      <c r="F760" s="1298"/>
      <c r="G760" s="502"/>
      <c r="H760" s="502"/>
      <c r="I760" s="484"/>
      <c r="J760" s="502"/>
      <c r="K760" s="502"/>
    </row>
    <row r="761" spans="1:11">
      <c r="D761" s="1298"/>
      <c r="E761" s="1298"/>
      <c r="F761" s="1298"/>
      <c r="G761" s="502"/>
      <c r="H761" s="502"/>
      <c r="I761" s="484"/>
      <c r="J761" s="502"/>
      <c r="K761" s="502"/>
    </row>
    <row r="762" spans="1:11">
      <c r="D762" s="1298"/>
      <c r="E762" s="1298"/>
      <c r="F762" s="1298"/>
      <c r="G762" s="502"/>
      <c r="H762" s="502"/>
      <c r="I762" s="484"/>
      <c r="J762" s="502"/>
      <c r="K762" s="502"/>
    </row>
    <row r="763" spans="1:11" ht="15.75" customHeight="1">
      <c r="D763" s="1298"/>
      <c r="E763" s="1298"/>
      <c r="F763" s="1298"/>
      <c r="G763" s="502"/>
      <c r="H763" s="502"/>
      <c r="I763" s="484"/>
      <c r="J763" s="502"/>
      <c r="K763" s="502"/>
    </row>
    <row r="764" spans="1:11">
      <c r="D764" s="500"/>
      <c r="E764" s="447"/>
      <c r="F764" s="447"/>
      <c r="G764" s="502"/>
      <c r="H764" s="502"/>
      <c r="I764" s="484"/>
      <c r="J764" s="502"/>
      <c r="K764" s="502"/>
    </row>
    <row r="765" spans="1:11" s="506" customFormat="1" ht="14.25">
      <c r="A765" s="504"/>
      <c r="B765" s="486" t="s">
        <v>2730</v>
      </c>
      <c r="C765" s="505"/>
      <c r="D765" s="1298" t="s">
        <v>1241</v>
      </c>
      <c r="E765" s="1298"/>
      <c r="F765" s="1298"/>
      <c r="I765" s="1160"/>
    </row>
    <row r="766" spans="1:11" s="506" customFormat="1">
      <c r="A766" s="505"/>
      <c r="B766" s="505"/>
      <c r="C766" s="505"/>
      <c r="D766" s="1298"/>
      <c r="E766" s="1298"/>
      <c r="F766" s="1298"/>
      <c r="I766" s="1160"/>
    </row>
    <row r="767" spans="1:11" s="506" customFormat="1">
      <c r="A767" s="505"/>
      <c r="B767" s="505"/>
      <c r="C767" s="505"/>
      <c r="D767" s="1298"/>
      <c r="E767" s="1298"/>
      <c r="F767" s="1298"/>
      <c r="I767" s="1160"/>
    </row>
    <row r="768" spans="1:11" s="506" customFormat="1">
      <c r="A768" s="505"/>
      <c r="B768" s="505"/>
      <c r="C768" s="505"/>
      <c r="D768" s="1298"/>
      <c r="E768" s="1298"/>
      <c r="F768" s="1298"/>
      <c r="I768" s="1160"/>
    </row>
    <row r="769" spans="1:11" s="506" customFormat="1">
      <c r="A769" s="505"/>
      <c r="B769" s="505"/>
      <c r="C769" s="505"/>
      <c r="D769" s="500"/>
      <c r="I769" s="1160"/>
    </row>
    <row r="770" spans="1:11" s="506" customFormat="1" ht="14.25">
      <c r="A770" s="485"/>
      <c r="B770" s="486" t="s">
        <v>2731</v>
      </c>
      <c r="C770" s="505"/>
      <c r="D770" s="1323" t="s">
        <v>1242</v>
      </c>
      <c r="E770" s="1323"/>
      <c r="F770" s="1323"/>
      <c r="I770" s="1160"/>
    </row>
    <row r="771" spans="1:11" s="506" customFormat="1">
      <c r="A771" s="505"/>
      <c r="B771" s="505"/>
      <c r="C771" s="505"/>
      <c r="D771" s="1323"/>
      <c r="E771" s="1323"/>
      <c r="F771" s="1323"/>
      <c r="I771" s="1160"/>
    </row>
    <row r="772" spans="1:11" s="506" customFormat="1">
      <c r="A772" s="505"/>
      <c r="B772" s="505"/>
      <c r="C772" s="505"/>
      <c r="D772" s="1323"/>
      <c r="E772" s="1323"/>
      <c r="F772" s="1323"/>
      <c r="I772" s="1160"/>
    </row>
    <row r="773" spans="1:11">
      <c r="D773" s="500"/>
      <c r="E773" s="447"/>
      <c r="F773" s="447"/>
      <c r="G773" s="502"/>
      <c r="H773" s="502"/>
      <c r="I773" s="484"/>
      <c r="J773" s="502"/>
      <c r="K773" s="502"/>
    </row>
    <row r="774" spans="1:11" ht="14.25">
      <c r="A774" s="485"/>
      <c r="B774" s="486" t="s">
        <v>2731</v>
      </c>
      <c r="D774" s="1298" t="s">
        <v>1198</v>
      </c>
      <c r="E774" s="1298"/>
      <c r="F774" s="1298"/>
      <c r="G774" s="502"/>
      <c r="H774" s="502"/>
      <c r="I774" s="484"/>
      <c r="J774" s="502"/>
      <c r="K774" s="502"/>
    </row>
    <row r="775" spans="1:11">
      <c r="D775" s="1298"/>
      <c r="E775" s="1298"/>
      <c r="F775" s="1298"/>
      <c r="G775" s="502"/>
      <c r="H775" s="502"/>
      <c r="I775" s="484"/>
      <c r="J775" s="502"/>
      <c r="K775" s="502"/>
    </row>
    <row r="776" spans="1:11">
      <c r="D776" s="446"/>
      <c r="E776" s="446"/>
      <c r="F776" s="446"/>
      <c r="G776" s="502"/>
      <c r="H776" s="502"/>
      <c r="I776" s="484"/>
      <c r="J776" s="502"/>
      <c r="K776" s="502"/>
    </row>
    <row r="777" spans="1:11">
      <c r="B777" s="486" t="s">
        <v>2731</v>
      </c>
      <c r="D777" s="1298" t="s">
        <v>1215</v>
      </c>
      <c r="E777" s="1298"/>
      <c r="F777" s="1298"/>
      <c r="G777" s="502"/>
      <c r="H777" s="502"/>
      <c r="I777" s="484"/>
      <c r="J777" s="502"/>
      <c r="K777" s="502"/>
    </row>
    <row r="778" spans="1:11">
      <c r="D778" s="1298"/>
      <c r="E778" s="1298"/>
      <c r="F778" s="1298"/>
      <c r="G778" s="502"/>
      <c r="H778" s="502"/>
      <c r="I778" s="484"/>
      <c r="J778" s="502"/>
      <c r="K778" s="502"/>
    </row>
    <row r="779" spans="1:11">
      <c r="D779" s="1298"/>
      <c r="E779" s="1298"/>
      <c r="F779" s="1298"/>
      <c r="G779" s="502"/>
      <c r="H779" s="502"/>
      <c r="I779" s="484"/>
      <c r="J779" s="502"/>
      <c r="K779" s="502"/>
    </row>
    <row r="780" spans="1:11">
      <c r="D780" s="446"/>
      <c r="E780" s="446"/>
      <c r="F780" s="446"/>
      <c r="G780" s="502"/>
      <c r="H780" s="502"/>
      <c r="I780" s="484"/>
      <c r="J780" s="502"/>
      <c r="K780" s="502"/>
    </row>
    <row r="781" spans="1:11">
      <c r="A781" s="1330" t="s">
        <v>1801</v>
      </c>
      <c r="B781" s="1330"/>
      <c r="C781" s="1330"/>
      <c r="D781" s="1330"/>
      <c r="E781" s="1330"/>
      <c r="F781" s="1330"/>
      <c r="G781" s="1330"/>
      <c r="H781" s="1029"/>
      <c r="I781" s="1155"/>
    </row>
    <row r="782" spans="1:11">
      <c r="A782" s="57"/>
      <c r="B782" s="57"/>
      <c r="C782" s="355"/>
      <c r="D782" s="3"/>
      <c r="E782" s="3"/>
      <c r="F782" s="3"/>
      <c r="G782" s="3"/>
      <c r="I782" s="491"/>
    </row>
    <row r="783" spans="1:11">
      <c r="A783" s="57"/>
      <c r="B783" s="57"/>
      <c r="C783" s="355"/>
      <c r="D783" s="1329" t="s">
        <v>1855</v>
      </c>
      <c r="E783" s="1329"/>
      <c r="F783" s="1329"/>
      <c r="G783" s="3"/>
      <c r="I783" s="491"/>
    </row>
    <row r="784" spans="1:11">
      <c r="A784" s="57"/>
      <c r="B784" s="57"/>
      <c r="C784" s="355"/>
      <c r="D784" s="1310" t="s">
        <v>1755</v>
      </c>
      <c r="E784" s="1310"/>
      <c r="F784" s="1310"/>
      <c r="G784" s="3"/>
      <c r="I784" s="491"/>
    </row>
    <row r="785" spans="1:9">
      <c r="A785" s="57"/>
      <c r="B785" s="57"/>
      <c r="C785" s="355"/>
      <c r="D785" s="448"/>
      <c r="E785" s="448"/>
      <c r="F785" s="448"/>
      <c r="G785" s="3"/>
      <c r="I785" s="491"/>
    </row>
    <row r="786" spans="1:9">
      <c r="A786" s="57"/>
      <c r="B786" s="486" t="s">
        <v>2730</v>
      </c>
      <c r="C786" s="355"/>
      <c r="D786" s="1331" t="s">
        <v>1756</v>
      </c>
      <c r="E786" s="1331"/>
      <c r="F786" s="1331"/>
      <c r="G786" s="3"/>
      <c r="I786" s="484"/>
    </row>
    <row r="787" spans="1:9">
      <c r="A787" s="57"/>
      <c r="B787" s="57"/>
      <c r="C787" s="355"/>
      <c r="D787" s="1331"/>
      <c r="E787" s="1331"/>
      <c r="F787" s="1331"/>
      <c r="G787" s="3"/>
      <c r="I787" s="491"/>
    </row>
    <row r="788" spans="1:9">
      <c r="A788" s="174"/>
      <c r="B788" s="174"/>
      <c r="C788" s="174"/>
      <c r="D788" s="1331"/>
      <c r="E788" s="1331"/>
      <c r="F788" s="1331"/>
      <c r="G788" s="118"/>
      <c r="I788" s="491"/>
    </row>
    <row r="789" spans="1:9">
      <c r="A789" s="355"/>
      <c r="B789" s="355"/>
      <c r="C789" s="355"/>
      <c r="D789" s="173"/>
      <c r="E789" s="3"/>
      <c r="F789" s="3"/>
      <c r="G789" s="3"/>
      <c r="I789" s="491"/>
    </row>
    <row r="790" spans="1:9">
      <c r="A790" s="172"/>
      <c r="B790" s="486" t="s">
        <v>2731</v>
      </c>
      <c r="C790" s="172"/>
      <c r="D790" s="1331" t="s">
        <v>1757</v>
      </c>
      <c r="E790" s="1331"/>
      <c r="F790" s="1331"/>
      <c r="G790" s="3"/>
      <c r="I790" s="484"/>
    </row>
    <row r="791" spans="1:9">
      <c r="A791" s="172"/>
      <c r="B791" s="172"/>
      <c r="C791" s="172"/>
      <c r="D791" s="1331"/>
      <c r="E791" s="1331"/>
      <c r="F791" s="1331"/>
      <c r="G791" s="3"/>
      <c r="I791" s="491"/>
    </row>
    <row r="792" spans="1:9">
      <c r="A792" s="172"/>
      <c r="B792" s="172"/>
      <c r="C792" s="172"/>
      <c r="D792" s="1331"/>
      <c r="E792" s="1331"/>
      <c r="F792" s="1331"/>
      <c r="G792" s="3"/>
      <c r="I792" s="491"/>
    </row>
    <row r="793" spans="1:9">
      <c r="A793" s="174"/>
      <c r="B793" s="174"/>
      <c r="C793" s="174"/>
      <c r="D793" s="3"/>
      <c r="E793" s="989"/>
      <c r="F793" s="989"/>
      <c r="G793" s="989"/>
      <c r="I793" s="491"/>
    </row>
    <row r="794" spans="1:9" ht="14.25">
      <c r="A794" s="175"/>
      <c r="B794" s="486" t="s">
        <v>2731</v>
      </c>
      <c r="C794" s="990"/>
      <c r="D794" s="1331" t="s">
        <v>1758</v>
      </c>
      <c r="E794" s="1331"/>
      <c r="F794" s="1331"/>
      <c r="G794" s="989"/>
      <c r="I794" s="484"/>
    </row>
    <row r="795" spans="1:9" ht="14.25">
      <c r="A795" s="175"/>
      <c r="B795" s="175"/>
      <c r="C795" s="990"/>
      <c r="D795" s="1331"/>
      <c r="E795" s="1331"/>
      <c r="F795" s="1331"/>
      <c r="G795" s="989"/>
      <c r="I795" s="491"/>
    </row>
    <row r="796" spans="1:9" ht="14.25">
      <c r="A796" s="175"/>
      <c r="B796" s="175"/>
      <c r="C796" s="990"/>
      <c r="D796" s="1331"/>
      <c r="E796" s="1331"/>
      <c r="F796" s="1331"/>
      <c r="G796" s="989"/>
      <c r="I796" s="491"/>
    </row>
    <row r="797" spans="1:9" ht="14.25">
      <c r="A797" s="175"/>
      <c r="B797" s="175"/>
      <c r="C797" s="990"/>
      <c r="D797" s="118"/>
      <c r="E797" s="3"/>
      <c r="F797" s="3"/>
      <c r="G797" s="989"/>
      <c r="I797" s="491"/>
    </row>
    <row r="798" spans="1:9" ht="14.25">
      <c r="A798" s="175"/>
      <c r="B798" s="486" t="s">
        <v>2731</v>
      </c>
      <c r="C798" s="990"/>
      <c r="D798" s="1331" t="s">
        <v>1759</v>
      </c>
      <c r="E798" s="1331"/>
      <c r="F798" s="1331"/>
      <c r="G798" s="989"/>
      <c r="I798" s="484"/>
    </row>
    <row r="799" spans="1:9" ht="14.25">
      <c r="A799" s="175"/>
      <c r="B799" s="175"/>
      <c r="C799" s="990"/>
      <c r="D799" s="1331"/>
      <c r="E799" s="1331"/>
      <c r="F799" s="1331"/>
      <c r="G799" s="989"/>
      <c r="I799" s="491"/>
    </row>
    <row r="800" spans="1:9" ht="14.25">
      <c r="A800" s="175"/>
      <c r="B800" s="175"/>
      <c r="C800" s="990"/>
      <c r="D800" s="1331"/>
      <c r="E800" s="1331"/>
      <c r="F800" s="1331"/>
      <c r="G800" s="989"/>
      <c r="I800" s="491"/>
    </row>
    <row r="801" spans="1:9" ht="14.25">
      <c r="A801" s="175"/>
      <c r="B801" s="175"/>
      <c r="C801" s="990"/>
      <c r="D801" s="1331"/>
      <c r="E801" s="1331"/>
      <c r="F801" s="1331"/>
      <c r="G801" s="989"/>
      <c r="I801" s="491"/>
    </row>
    <row r="802" spans="1:9" ht="14.25">
      <c r="A802" s="175"/>
      <c r="B802" s="175"/>
      <c r="C802" s="990"/>
      <c r="D802" s="1331"/>
      <c r="E802" s="1331"/>
      <c r="F802" s="1331"/>
      <c r="G802" s="989"/>
      <c r="I802" s="491"/>
    </row>
    <row r="803" spans="1:9" ht="14.25">
      <c r="A803" s="175"/>
      <c r="B803" s="175"/>
      <c r="C803" s="990"/>
      <c r="D803" s="1331"/>
      <c r="E803" s="1331"/>
      <c r="F803" s="1331"/>
      <c r="G803" s="989"/>
      <c r="I803" s="491"/>
    </row>
    <row r="804" spans="1:9" ht="14.25">
      <c r="A804" s="175"/>
      <c r="B804" s="175"/>
      <c r="C804" s="990"/>
      <c r="D804" s="1331" t="s">
        <v>1802</v>
      </c>
      <c r="E804" s="1331"/>
      <c r="F804" s="1331"/>
      <c r="G804" s="989"/>
      <c r="I804" s="491"/>
    </row>
    <row r="805" spans="1:9" ht="14.25">
      <c r="A805" s="175"/>
      <c r="B805" s="175"/>
      <c r="C805" s="990"/>
      <c r="D805" s="1331"/>
      <c r="E805" s="1331"/>
      <c r="F805" s="1331"/>
      <c r="G805" s="989"/>
      <c r="I805" s="491"/>
    </row>
    <row r="806" spans="1:9" ht="14.25">
      <c r="A806" s="175"/>
      <c r="B806" s="175"/>
      <c r="C806" s="990"/>
      <c r="D806" s="1331"/>
      <c r="E806" s="1331"/>
      <c r="F806" s="1331"/>
      <c r="G806" s="989"/>
      <c r="I806" s="491"/>
    </row>
    <row r="807" spans="1:9" ht="14.25">
      <c r="A807" s="175"/>
      <c r="B807" s="355"/>
      <c r="C807" s="990"/>
      <c r="D807" s="991"/>
      <c r="E807" s="991"/>
      <c r="F807" s="991"/>
      <c r="G807" s="989"/>
      <c r="I807" s="491"/>
    </row>
    <row r="808" spans="1:9" ht="14.25">
      <c r="A808" s="175"/>
      <c r="B808" s="486" t="s">
        <v>2731</v>
      </c>
      <c r="C808" s="990"/>
      <c r="D808" s="1331" t="s">
        <v>1760</v>
      </c>
      <c r="E808" s="1331"/>
      <c r="F808" s="1331"/>
      <c r="G808" s="989"/>
      <c r="I808" s="484"/>
    </row>
    <row r="809" spans="1:9" ht="14.25">
      <c r="A809" s="175"/>
      <c r="B809" s="175"/>
      <c r="C809" s="990"/>
      <c r="D809" s="1331"/>
      <c r="E809" s="1331"/>
      <c r="F809" s="1331"/>
      <c r="G809" s="989"/>
      <c r="I809" s="491"/>
    </row>
    <row r="810" spans="1:9" ht="14.25">
      <c r="A810" s="175"/>
      <c r="B810" s="175"/>
      <c r="C810" s="990"/>
      <c r="D810" s="1331"/>
      <c r="E810" s="1331"/>
      <c r="F810" s="1331"/>
      <c r="G810" s="989"/>
      <c r="I810" s="491"/>
    </row>
    <row r="811" spans="1:9" ht="14.25">
      <c r="A811" s="175"/>
      <c r="B811" s="175"/>
      <c r="C811" s="990"/>
      <c r="D811" s="1331"/>
      <c r="E811" s="1331"/>
      <c r="F811" s="1331"/>
      <c r="G811" s="989"/>
      <c r="I811" s="491"/>
    </row>
    <row r="812" spans="1:9" ht="14.25">
      <c r="A812" s="175"/>
      <c r="B812" s="175"/>
      <c r="C812" s="990"/>
      <c r="D812" s="1331"/>
      <c r="E812" s="1331"/>
      <c r="F812" s="1331"/>
      <c r="G812" s="989"/>
      <c r="I812" s="491"/>
    </row>
    <row r="813" spans="1:9" ht="14.25">
      <c r="A813" s="175"/>
      <c r="B813" s="175"/>
      <c r="C813" s="990"/>
      <c r="D813" s="1331"/>
      <c r="E813" s="1331"/>
      <c r="F813" s="1331"/>
      <c r="G813" s="989"/>
      <c r="I813" s="491"/>
    </row>
    <row r="814" spans="1:9" ht="14.25">
      <c r="A814" s="175"/>
      <c r="B814" s="175"/>
      <c r="C814" s="990"/>
      <c r="D814" s="983"/>
      <c r="E814" s="983"/>
      <c r="F814" s="983"/>
      <c r="G814" s="989"/>
      <c r="I814" s="491"/>
    </row>
    <row r="815" spans="1:9" ht="14.25">
      <c r="A815" s="175"/>
      <c r="B815" s="486" t="s">
        <v>2731</v>
      </c>
      <c r="C815" s="990"/>
      <c r="D815" s="1331" t="s">
        <v>1761</v>
      </c>
      <c r="E815" s="1331"/>
      <c r="F815" s="1331"/>
      <c r="G815" s="989"/>
      <c r="I815" s="484"/>
    </row>
    <row r="816" spans="1:9" ht="14.25">
      <c r="A816" s="175"/>
      <c r="B816" s="175"/>
      <c r="C816" s="990"/>
      <c r="D816" s="1331"/>
      <c r="E816" s="1331"/>
      <c r="F816" s="1331"/>
      <c r="G816" s="989"/>
      <c r="I816" s="491"/>
    </row>
    <row r="817" spans="1:9" ht="14.25">
      <c r="A817" s="175"/>
      <c r="B817" s="175"/>
      <c r="C817" s="990"/>
      <c r="D817" s="1331"/>
      <c r="E817" s="1331"/>
      <c r="F817" s="1331"/>
      <c r="G817" s="989"/>
      <c r="I817" s="491"/>
    </row>
    <row r="818" spans="1:9" ht="14.25">
      <c r="A818" s="175"/>
      <c r="B818" s="175"/>
      <c r="C818" s="990"/>
      <c r="D818" s="1331"/>
      <c r="E818" s="1331"/>
      <c r="F818" s="1331"/>
      <c r="G818" s="989"/>
      <c r="I818" s="491"/>
    </row>
    <row r="819" spans="1:9" ht="14.25">
      <c r="A819" s="175"/>
      <c r="B819" s="175"/>
      <c r="C819" s="990"/>
      <c r="D819" s="1331"/>
      <c r="E819" s="1331"/>
      <c r="F819" s="1331"/>
      <c r="G819" s="989"/>
      <c r="I819" s="491"/>
    </row>
    <row r="820" spans="1:9" ht="14.25">
      <c r="A820" s="175"/>
      <c r="B820" s="175"/>
      <c r="C820" s="990"/>
      <c r="D820" s="1331"/>
      <c r="E820" s="1331"/>
      <c r="F820" s="1331"/>
      <c r="G820" s="989"/>
      <c r="I820" s="491"/>
    </row>
    <row r="821" spans="1:9" ht="14.25">
      <c r="A821" s="175"/>
      <c r="B821" s="175"/>
      <c r="C821" s="990"/>
      <c r="D821" s="983"/>
      <c r="E821" s="983"/>
      <c r="F821" s="983"/>
      <c r="G821" s="989"/>
      <c r="I821" s="491"/>
    </row>
    <row r="822" spans="1:9" ht="14.25">
      <c r="A822" s="175"/>
      <c r="B822" s="486" t="s">
        <v>2731</v>
      </c>
      <c r="C822" s="990"/>
      <c r="D822" s="1303" t="s">
        <v>1762</v>
      </c>
      <c r="E822" s="1303"/>
      <c r="F822" s="1303"/>
      <c r="G822" s="989"/>
      <c r="I822" s="484"/>
    </row>
    <row r="823" spans="1:9" ht="14.25">
      <c r="A823" s="175"/>
      <c r="B823" s="175"/>
      <c r="C823" s="990"/>
      <c r="D823" s="1303"/>
      <c r="E823" s="1303"/>
      <c r="F823" s="1303"/>
      <c r="G823" s="989"/>
      <c r="I823" s="491"/>
    </row>
    <row r="824" spans="1:9">
      <c r="A824" s="13"/>
      <c r="B824" s="13"/>
      <c r="C824" s="990"/>
      <c r="D824" s="1303"/>
      <c r="E824" s="1303"/>
      <c r="F824" s="1303"/>
      <c r="G824" s="989"/>
      <c r="I824" s="491"/>
    </row>
    <row r="825" spans="1:9" ht="14.25">
      <c r="A825" s="175"/>
      <c r="B825" s="13"/>
      <c r="C825" s="990"/>
      <c r="D825" s="1303"/>
      <c r="E825" s="1303"/>
      <c r="F825" s="1303"/>
      <c r="G825" s="989"/>
      <c r="I825" s="491"/>
    </row>
    <row r="826" spans="1:9" ht="12.75" customHeight="1">
      <c r="A826" s="175"/>
      <c r="B826" s="13"/>
      <c r="C826" s="990"/>
      <c r="D826" s="1303"/>
      <c r="E826" s="1303"/>
      <c r="F826" s="1303"/>
      <c r="G826" s="989"/>
      <c r="I826" s="491"/>
    </row>
    <row r="827" spans="1:9" ht="12.75" customHeight="1">
      <c r="A827" s="175"/>
      <c r="B827" s="13"/>
      <c r="C827" s="990"/>
      <c r="D827" s="1303"/>
      <c r="E827" s="1303"/>
      <c r="F827" s="1303"/>
      <c r="G827" s="989"/>
      <c r="I827" s="491"/>
    </row>
    <row r="828" spans="1:9" ht="12.75" customHeight="1">
      <c r="A828" s="13"/>
      <c r="B828" s="13"/>
      <c r="C828" s="990"/>
      <c r="D828" s="989"/>
      <c r="E828" s="3"/>
      <c r="F828" s="3"/>
      <c r="G828" s="989"/>
      <c r="I828" s="491"/>
    </row>
    <row r="829" spans="1:9" ht="12.75" customHeight="1">
      <c r="A829" s="1324" t="s">
        <v>1763</v>
      </c>
      <c r="B829" s="1324"/>
      <c r="C829" s="1324"/>
      <c r="D829" s="1324"/>
      <c r="E829" s="1324"/>
      <c r="F829" s="1324"/>
      <c r="G829" s="1324"/>
      <c r="H829" s="1029"/>
      <c r="I829" s="1155"/>
    </row>
    <row r="830" spans="1:9" ht="12.75" customHeight="1">
      <c r="A830" s="172"/>
      <c r="B830" s="172"/>
      <c r="C830" s="990"/>
      <c r="D830" s="989"/>
      <c r="E830" s="989"/>
      <c r="F830" s="989"/>
      <c r="G830" s="989"/>
      <c r="I830" s="491"/>
    </row>
    <row r="831" spans="1:9" ht="12.75" customHeight="1">
      <c r="A831" s="175"/>
      <c r="B831" s="175"/>
      <c r="C831" s="355"/>
      <c r="D831" s="1328" t="s">
        <v>1803</v>
      </c>
      <c r="E831" s="1328"/>
      <c r="F831" s="1328"/>
      <c r="G831" s="3"/>
      <c r="I831" s="491"/>
    </row>
    <row r="832" spans="1:9" ht="14.25" customHeight="1">
      <c r="A832" s="175"/>
      <c r="B832" s="175"/>
      <c r="C832" s="355"/>
      <c r="D832" s="1275" t="s">
        <v>1764</v>
      </c>
      <c r="E832" s="1275"/>
      <c r="F832" s="1275"/>
      <c r="G832" s="3"/>
      <c r="I832" s="491"/>
    </row>
    <row r="833" spans="1:9" ht="12.75" customHeight="1">
      <c r="A833" s="175"/>
      <c r="B833" s="175"/>
      <c r="C833" s="355"/>
      <c r="D833" s="442"/>
      <c r="E833" s="442"/>
      <c r="F833" s="442"/>
      <c r="G833" s="3"/>
      <c r="I833" s="491"/>
    </row>
    <row r="834" spans="1:9" ht="12.75" customHeight="1">
      <c r="A834" s="355"/>
      <c r="B834" s="486" t="s">
        <v>2730</v>
      </c>
      <c r="C834" s="990"/>
      <c r="D834" s="1275" t="s">
        <v>1765</v>
      </c>
      <c r="E834" s="1275"/>
      <c r="F834" s="1275"/>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33" t="s">
        <v>2077</v>
      </c>
      <c r="E837" s="1333"/>
      <c r="F837" s="1333"/>
      <c r="G837" s="3"/>
      <c r="I837" s="491"/>
    </row>
    <row r="838" spans="1:9" ht="12.75" hidden="1" customHeight="1">
      <c r="A838" s="13"/>
      <c r="B838" s="13"/>
      <c r="C838" s="990"/>
      <c r="D838" s="1333"/>
      <c r="E838" s="1333"/>
      <c r="F838" s="1333"/>
      <c r="G838" s="3"/>
      <c r="I838" s="491"/>
    </row>
    <row r="839" spans="1:9" ht="12.75" hidden="1" customHeight="1">
      <c r="A839" s="13"/>
      <c r="B839" s="13"/>
      <c r="C839" s="990"/>
      <c r="D839" s="1333"/>
      <c r="E839" s="1333"/>
      <c r="F839" s="1333"/>
      <c r="G839" s="3"/>
      <c r="I839" s="491"/>
    </row>
    <row r="840" spans="1:9" ht="12.75" hidden="1" customHeight="1">
      <c r="A840" s="13"/>
      <c r="B840" s="13"/>
      <c r="C840" s="990"/>
      <c r="D840" s="1333"/>
      <c r="E840" s="1333"/>
      <c r="F840" s="1333"/>
      <c r="G840" s="3"/>
      <c r="I840" s="491"/>
    </row>
    <row r="841" spans="1:9" ht="12.75" hidden="1" customHeight="1">
      <c r="A841" s="13"/>
      <c r="B841" s="13"/>
      <c r="C841" s="990"/>
      <c r="D841" s="1333"/>
      <c r="E841" s="1333"/>
      <c r="F841" s="1333"/>
      <c r="G841" s="3"/>
      <c r="I841" s="491"/>
    </row>
    <row r="842" spans="1:9" ht="12.75" hidden="1" customHeight="1">
      <c r="A842" s="13"/>
      <c r="B842" s="13"/>
      <c r="C842" s="990"/>
      <c r="D842" s="1333"/>
      <c r="E842" s="1333"/>
      <c r="F842" s="1333"/>
      <c r="G842" s="3"/>
      <c r="I842" s="491"/>
    </row>
    <row r="843" spans="1:9" ht="12.75" hidden="1" customHeight="1">
      <c r="A843" s="13"/>
      <c r="B843" s="13"/>
      <c r="C843" s="990"/>
      <c r="D843" s="1333"/>
      <c r="E843" s="1333"/>
      <c r="F843" s="1333"/>
      <c r="G843" s="3"/>
      <c r="I843" s="491"/>
    </row>
    <row r="844" spans="1:9" ht="12.75" hidden="1" customHeight="1">
      <c r="A844" s="13"/>
      <c r="B844" s="13"/>
      <c r="C844" s="990"/>
      <c r="D844" s="1333"/>
      <c r="E844" s="1333"/>
      <c r="F844" s="1333"/>
      <c r="G844" s="3"/>
      <c r="I844" s="491"/>
    </row>
    <row r="845" spans="1:9" ht="12.75" hidden="1" customHeight="1">
      <c r="A845" s="13"/>
      <c r="B845" s="13"/>
      <c r="C845" s="990"/>
      <c r="D845" s="1333"/>
      <c r="E845" s="1333"/>
      <c r="F845" s="1333"/>
      <c r="G845" s="3"/>
      <c r="I845" s="491"/>
    </row>
    <row r="846" spans="1:9" ht="12.75" hidden="1" customHeight="1">
      <c r="A846" s="13"/>
      <c r="B846" s="13"/>
      <c r="C846" s="990"/>
      <c r="D846" s="1333"/>
      <c r="E846" s="1333"/>
      <c r="F846" s="1333"/>
      <c r="G846" s="3"/>
      <c r="I846" s="491"/>
    </row>
    <row r="847" spans="1:9" ht="12.75" hidden="1" customHeight="1">
      <c r="A847" s="13"/>
      <c r="B847" s="13"/>
      <c r="C847" s="990"/>
      <c r="D847" s="992"/>
      <c r="E847" s="3"/>
      <c r="F847" s="3"/>
      <c r="G847" s="3"/>
      <c r="I847" s="491"/>
    </row>
    <row r="848" spans="1:9" ht="12.75" customHeight="1">
      <c r="A848" s="175"/>
      <c r="B848" s="486" t="s">
        <v>2730</v>
      </c>
      <c r="C848" s="990"/>
      <c r="D848" s="1275" t="s">
        <v>1766</v>
      </c>
      <c r="E848" s="1275"/>
      <c r="F848" s="1275"/>
      <c r="G848" s="3"/>
      <c r="I848" s="491" t="s">
        <v>1883</v>
      </c>
    </row>
    <row r="849" spans="1:9" ht="12.75" customHeight="1">
      <c r="A849" s="175"/>
      <c r="B849" s="175"/>
      <c r="C849" s="990"/>
      <c r="D849" s="1275"/>
      <c r="E849" s="1275"/>
      <c r="F849" s="1275"/>
      <c r="G849" s="3"/>
      <c r="I849" s="491"/>
    </row>
    <row r="850" spans="1:9" ht="12.75" customHeight="1">
      <c r="A850" s="175"/>
      <c r="B850" s="175"/>
      <c r="C850" s="990"/>
      <c r="D850" s="1275"/>
      <c r="E850" s="1275"/>
      <c r="F850" s="1275"/>
      <c r="G850" s="3"/>
      <c r="I850" s="491"/>
    </row>
    <row r="851" spans="1:9" ht="12.75" customHeight="1">
      <c r="A851" s="175"/>
      <c r="B851" s="175"/>
      <c r="C851" s="990"/>
      <c r="D851" s="118"/>
      <c r="E851" s="3"/>
      <c r="F851" s="3"/>
      <c r="G851" s="3"/>
      <c r="I851" s="491"/>
    </row>
    <row r="852" spans="1:9" ht="12.75" customHeight="1">
      <c r="A852" s="993"/>
      <c r="B852" s="486" t="s">
        <v>2731</v>
      </c>
      <c r="C852" s="990"/>
      <c r="D852" s="1328" t="s">
        <v>1767</v>
      </c>
      <c r="E852" s="1328"/>
      <c r="F852" s="1328"/>
      <c r="G852" s="3"/>
      <c r="I852" s="491"/>
    </row>
    <row r="853" spans="1:9" ht="12.75" customHeight="1">
      <c r="A853" s="355"/>
      <c r="B853" s="993"/>
      <c r="C853" s="990"/>
      <c r="D853" s="1328"/>
      <c r="E853" s="1328"/>
      <c r="F853" s="1328"/>
      <c r="G853" s="3"/>
      <c r="I853" s="491"/>
    </row>
    <row r="854" spans="1:9" ht="12.75" customHeight="1">
      <c r="A854" s="175"/>
      <c r="B854" s="355"/>
      <c r="C854" s="990"/>
      <c r="D854" s="1275" t="s">
        <v>2070</v>
      </c>
      <c r="E854" s="1275"/>
      <c r="F854" s="1275"/>
      <c r="G854" s="3"/>
      <c r="I854" s="491"/>
    </row>
    <row r="855" spans="1:9" ht="12.75" customHeight="1">
      <c r="A855" s="175"/>
      <c r="B855" s="175"/>
      <c r="C855" s="990"/>
      <c r="D855" s="1275"/>
      <c r="E855" s="1275"/>
      <c r="F855" s="1275"/>
      <c r="G855" s="3"/>
      <c r="I855" s="491"/>
    </row>
    <row r="856" spans="1:9" ht="12.75" customHeight="1">
      <c r="A856" s="175"/>
      <c r="B856" s="175"/>
      <c r="C856" s="990"/>
      <c r="D856" s="1275"/>
      <c r="E856" s="1275"/>
      <c r="F856" s="1275"/>
      <c r="G856" s="3"/>
      <c r="I856" s="491"/>
    </row>
    <row r="857" spans="1:9" ht="12.75" customHeight="1">
      <c r="A857" s="175"/>
      <c r="B857" s="175"/>
      <c r="C857" s="990"/>
      <c r="D857" s="1275"/>
      <c r="E857" s="1275"/>
      <c r="F857" s="1275"/>
      <c r="G857" s="3"/>
      <c r="I857" s="491"/>
    </row>
    <row r="858" spans="1:9" ht="12.75" customHeight="1">
      <c r="A858" s="175"/>
      <c r="B858" s="175"/>
      <c r="C858" s="990"/>
      <c r="D858" s="1275"/>
      <c r="E858" s="1275"/>
      <c r="F858" s="1275"/>
      <c r="G858" s="3"/>
      <c r="I858" s="491"/>
    </row>
    <row r="859" spans="1:9" ht="12.75" customHeight="1">
      <c r="A859" s="175"/>
      <c r="B859" s="175"/>
      <c r="C859" s="990"/>
      <c r="D859" s="1275"/>
      <c r="E859" s="1275"/>
      <c r="F859" s="1275"/>
      <c r="G859" s="3"/>
      <c r="I859" s="491"/>
    </row>
    <row r="860" spans="1:9" ht="12.75" customHeight="1">
      <c r="A860" s="175"/>
      <c r="B860" s="175"/>
      <c r="C860" s="990"/>
      <c r="D860" s="118"/>
      <c r="E860" s="3"/>
      <c r="F860" s="3"/>
      <c r="G860" s="3"/>
      <c r="I860" s="491"/>
    </row>
    <row r="861" spans="1:9" ht="12.75" customHeight="1">
      <c r="A861" s="175"/>
      <c r="B861" s="486" t="s">
        <v>2731</v>
      </c>
      <c r="C861" s="990"/>
      <c r="D861" s="1275" t="s">
        <v>1768</v>
      </c>
      <c r="E861" s="1275"/>
      <c r="F861" s="1275"/>
      <c r="G861" s="3"/>
      <c r="I861" s="491" t="s">
        <v>1881</v>
      </c>
    </row>
    <row r="862" spans="1:9" ht="12.75" customHeight="1">
      <c r="A862" s="175"/>
      <c r="B862" s="175"/>
      <c r="C862" s="990"/>
      <c r="D862" s="1275" t="s">
        <v>1769</v>
      </c>
      <c r="E862" s="1275"/>
      <c r="F862" s="1275"/>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2731</v>
      </c>
      <c r="C865" s="990"/>
      <c r="D865" s="1275" t="s">
        <v>1770</v>
      </c>
      <c r="E865" s="1275"/>
      <c r="F865" s="1275"/>
      <c r="G865" s="3"/>
      <c r="I865" s="491" t="s">
        <v>1884</v>
      </c>
    </row>
    <row r="866" spans="1:9" ht="12.75" customHeight="1">
      <c r="A866" s="175"/>
      <c r="B866" s="175"/>
      <c r="C866" s="990"/>
      <c r="D866" s="1275"/>
      <c r="E866" s="1275"/>
      <c r="F866" s="1275"/>
      <c r="G866" s="3"/>
      <c r="I866" s="491"/>
    </row>
    <row r="867" spans="1:9" ht="12.75" customHeight="1">
      <c r="A867" s="175"/>
      <c r="B867" s="175"/>
      <c r="C867" s="990"/>
      <c r="D867" s="1275"/>
      <c r="E867" s="1275"/>
      <c r="F867" s="1275"/>
      <c r="G867" s="3"/>
      <c r="I867" s="491"/>
    </row>
    <row r="868" spans="1:9" ht="12.75" customHeight="1">
      <c r="A868" s="175"/>
      <c r="B868" s="175"/>
      <c r="C868" s="990"/>
      <c r="D868" s="1275"/>
      <c r="E868" s="1275"/>
      <c r="F868" s="1275"/>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37" t="s">
        <v>1804</v>
      </c>
      <c r="E872" s="1337"/>
      <c r="F872" s="1337"/>
      <c r="G872" s="989"/>
      <c r="I872" s="491"/>
    </row>
    <row r="873" spans="1:9" ht="12.75" customHeight="1">
      <c r="A873" s="355"/>
      <c r="B873" s="355"/>
      <c r="C873" s="174"/>
      <c r="D873" s="1332" t="s">
        <v>1772</v>
      </c>
      <c r="E873" s="1332"/>
      <c r="F873" s="1332"/>
      <c r="G873" s="989"/>
      <c r="I873" s="491"/>
    </row>
    <row r="874" spans="1:9" ht="12.75" customHeight="1">
      <c r="A874" s="355"/>
      <c r="B874" s="355"/>
      <c r="C874" s="174"/>
      <c r="D874" s="996"/>
      <c r="E874" s="996"/>
      <c r="F874" s="996"/>
      <c r="G874" s="989"/>
      <c r="I874" s="491"/>
    </row>
    <row r="875" spans="1:9" ht="12.75" customHeight="1">
      <c r="A875" s="175"/>
      <c r="B875" s="486" t="s">
        <v>2730</v>
      </c>
      <c r="C875" s="355"/>
      <c r="D875" s="1315" t="s">
        <v>1773</v>
      </c>
      <c r="E875" s="1315"/>
      <c r="F875" s="1315"/>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2730</v>
      </c>
      <c r="C878" s="355"/>
      <c r="D878" s="1275" t="s">
        <v>1774</v>
      </c>
      <c r="E878" s="1325"/>
      <c r="F878" s="1325"/>
      <c r="G878" s="3"/>
      <c r="I878" s="491" t="s">
        <v>1884</v>
      </c>
    </row>
    <row r="879" spans="1:9" ht="12.75" customHeight="1">
      <c r="A879" s="355"/>
      <c r="B879" s="355"/>
      <c r="C879" s="355"/>
      <c r="D879" s="1325"/>
      <c r="E879" s="1325"/>
      <c r="F879" s="1325"/>
      <c r="G879" s="3"/>
      <c r="I879" s="491"/>
    </row>
    <row r="880" spans="1:9" ht="12.75" customHeight="1">
      <c r="A880" s="355"/>
      <c r="B880" s="355"/>
      <c r="C880" s="355"/>
      <c r="D880" s="118"/>
      <c r="E880" s="3"/>
      <c r="F880" s="3"/>
      <c r="G880" s="3"/>
      <c r="I880" s="491"/>
    </row>
    <row r="881" spans="1:9" ht="12.75" customHeight="1">
      <c r="A881" s="355"/>
      <c r="B881" s="486" t="s">
        <v>2731</v>
      </c>
      <c r="C881" s="355"/>
      <c r="D881" s="1326" t="s">
        <v>1775</v>
      </c>
      <c r="E881" s="1326"/>
      <c r="F881" s="1326"/>
      <c r="G881" s="989"/>
      <c r="I881" s="491"/>
    </row>
    <row r="882" spans="1:9" ht="12.75" customHeight="1">
      <c r="A882" s="355"/>
      <c r="B882" s="997"/>
      <c r="C882" s="355"/>
      <c r="D882" s="1326"/>
      <c r="E882" s="1326"/>
      <c r="F882" s="1326"/>
      <c r="G882" s="989"/>
      <c r="I882" s="491"/>
    </row>
    <row r="883" spans="1:9" ht="12.75" customHeight="1">
      <c r="A883" s="175"/>
      <c r="B883"/>
      <c r="C883" s="355"/>
      <c r="D883" s="1275" t="s">
        <v>2070</v>
      </c>
      <c r="E883" s="1275"/>
      <c r="F883" s="1275"/>
      <c r="G883" s="989"/>
      <c r="I883" s="491"/>
    </row>
    <row r="884" spans="1:9" ht="12.75" customHeight="1">
      <c r="A884" s="175"/>
      <c r="B884" s="175"/>
      <c r="C884" s="355"/>
      <c r="D884" s="1275"/>
      <c r="E884" s="1275"/>
      <c r="F884" s="1275"/>
      <c r="G884" s="989"/>
      <c r="I884" s="491"/>
    </row>
    <row r="885" spans="1:9" ht="12.75" customHeight="1">
      <c r="A885" s="175"/>
      <c r="B885" s="175"/>
      <c r="C885" s="355"/>
      <c r="D885" s="1275"/>
      <c r="E885" s="1275"/>
      <c r="F885" s="1275"/>
      <c r="G885" s="989"/>
      <c r="I885" s="491"/>
    </row>
    <row r="886" spans="1:9" ht="12.75" customHeight="1">
      <c r="A886" s="175"/>
      <c r="B886" s="175"/>
      <c r="C886" s="355"/>
      <c r="D886" s="1275"/>
      <c r="E886" s="1275"/>
      <c r="F886" s="1275"/>
      <c r="G886" s="989"/>
      <c r="I886" s="491"/>
    </row>
    <row r="887" spans="1:9" ht="12.75" customHeight="1">
      <c r="A887" s="175"/>
      <c r="B887" s="175"/>
      <c r="C887" s="355"/>
      <c r="D887" s="1275"/>
      <c r="E887" s="1275"/>
      <c r="F887" s="1275"/>
      <c r="G887" s="989"/>
      <c r="I887" s="491"/>
    </row>
    <row r="888" spans="1:9" ht="12.75" customHeight="1">
      <c r="A888" s="175"/>
      <c r="B888" s="175"/>
      <c r="C888" s="355"/>
      <c r="D888" s="1275"/>
      <c r="E888" s="1275"/>
      <c r="F888" s="1275"/>
      <c r="G888" s="989"/>
      <c r="I888" s="491"/>
    </row>
    <row r="889" spans="1:9" ht="12.75" customHeight="1">
      <c r="A889" s="175"/>
      <c r="B889" s="175"/>
      <c r="C889" s="355"/>
      <c r="D889" s="118"/>
      <c r="E889" s="989"/>
      <c r="F889" s="989"/>
      <c r="G889" s="989"/>
      <c r="I889" s="491"/>
    </row>
    <row r="890" spans="1:9" ht="12.75" customHeight="1">
      <c r="A890" s="175"/>
      <c r="B890" s="486" t="s">
        <v>2731</v>
      </c>
      <c r="C890" s="355"/>
      <c r="D890" s="1316" t="s">
        <v>1768</v>
      </c>
      <c r="E890" s="1316"/>
      <c r="F890" s="1316"/>
      <c r="G890" s="989"/>
      <c r="I890" s="491"/>
    </row>
    <row r="891" spans="1:9" ht="12.75" customHeight="1">
      <c r="A891" s="175"/>
      <c r="B891" s="175"/>
      <c r="C891" s="355"/>
      <c r="D891" s="1316" t="s">
        <v>1769</v>
      </c>
      <c r="E891" s="1316"/>
      <c r="F891" s="131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2731</v>
      </c>
      <c r="C894" s="355"/>
      <c r="D894" s="1275" t="s">
        <v>1770</v>
      </c>
      <c r="E894" s="1275"/>
      <c r="F894" s="1275"/>
      <c r="G894" s="989"/>
      <c r="I894" s="491"/>
    </row>
    <row r="895" spans="1:9" ht="12.75" customHeight="1">
      <c r="A895" s="175"/>
      <c r="B895" s="175"/>
      <c r="C895" s="355"/>
      <c r="D895" s="1275"/>
      <c r="E895" s="1275"/>
      <c r="F895" s="1275"/>
      <c r="G895" s="989"/>
      <c r="I895" s="491"/>
    </row>
    <row r="896" spans="1:9" ht="12.75" customHeight="1">
      <c r="A896" s="175"/>
      <c r="B896" s="175"/>
      <c r="C896" s="355"/>
      <c r="D896" s="1275"/>
      <c r="E896" s="1275"/>
      <c r="F896" s="1275"/>
      <c r="G896" s="989"/>
      <c r="I896" s="491"/>
    </row>
    <row r="897" spans="1:9" ht="12.75" customHeight="1">
      <c r="A897" s="175"/>
      <c r="B897" s="175"/>
      <c r="C897" s="355"/>
      <c r="D897" s="1275"/>
      <c r="E897" s="1275"/>
      <c r="F897" s="1275"/>
      <c r="G897" s="989"/>
      <c r="I897" s="491"/>
    </row>
    <row r="898" spans="1:9" ht="12.75" customHeight="1">
      <c r="A898" s="118"/>
      <c r="B898" s="118"/>
      <c r="C898" s="990"/>
      <c r="D898" s="989"/>
      <c r="E898" s="989"/>
      <c r="F898" s="989"/>
      <c r="G898" s="989"/>
      <c r="I898" s="491"/>
    </row>
    <row r="899" spans="1:9" ht="12.75" customHeight="1">
      <c r="A899" s="1324" t="s">
        <v>1805</v>
      </c>
      <c r="B899" s="1324"/>
      <c r="C899" s="1324"/>
      <c r="D899" s="1324"/>
      <c r="E899" s="1324"/>
      <c r="F899" s="1324"/>
      <c r="G899" s="1324"/>
      <c r="H899" s="1029"/>
      <c r="I899" s="1155"/>
    </row>
    <row r="900" spans="1:9" ht="12.75" customHeight="1">
      <c r="A900" s="57"/>
      <c r="B900" s="57"/>
      <c r="C900" s="57"/>
      <c r="D900" s="57"/>
      <c r="E900" s="57"/>
      <c r="F900" s="57"/>
      <c r="G900" s="57"/>
      <c r="I900" s="491"/>
    </row>
    <row r="901" spans="1:9" ht="12.75" customHeight="1">
      <c r="A901" s="57"/>
      <c r="B901" s="57"/>
      <c r="C901" s="57"/>
      <c r="D901" s="1340" t="s">
        <v>1811</v>
      </c>
      <c r="E901" s="1340"/>
      <c r="F901" s="1340"/>
      <c r="G901" s="57"/>
      <c r="I901" s="491"/>
    </row>
    <row r="902" spans="1:9" ht="12.75" customHeight="1">
      <c r="A902" s="57"/>
      <c r="B902" s="57"/>
      <c r="C902" s="57"/>
      <c r="D902" s="982"/>
      <c r="E902" s="982"/>
      <c r="F902" s="982"/>
      <c r="G902" s="57"/>
      <c r="I902" s="491"/>
    </row>
    <row r="903" spans="1:9" ht="12.75" customHeight="1">
      <c r="A903" s="57"/>
      <c r="B903" s="486" t="s">
        <v>2730</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40" t="s">
        <v>1806</v>
      </c>
      <c r="E905" s="1340"/>
      <c r="F905" s="1340"/>
      <c r="G905" s="989"/>
      <c r="I905" s="491"/>
    </row>
    <row r="906" spans="1:9" ht="12.75" customHeight="1">
      <c r="A906" s="172"/>
      <c r="B906" s="172"/>
      <c r="C906" s="172"/>
      <c r="D906" s="1315" t="s">
        <v>1776</v>
      </c>
      <c r="E906" s="1315"/>
      <c r="F906" s="1315"/>
      <c r="G906" s="989"/>
      <c r="I906" s="491"/>
    </row>
    <row r="907" spans="1:9" ht="12.75" customHeight="1">
      <c r="A907" s="990"/>
      <c r="B907" s="990"/>
      <c r="C907" s="990"/>
      <c r="D907" s="2"/>
      <c r="E907" s="989"/>
      <c r="F907" s="989"/>
      <c r="G907" s="989"/>
      <c r="I907" s="491"/>
    </row>
    <row r="908" spans="1:9" ht="12.75" customHeight="1">
      <c r="A908" s="175"/>
      <c r="B908" s="486" t="s">
        <v>2730</v>
      </c>
      <c r="C908" s="355"/>
      <c r="D908" s="1275" t="s">
        <v>1780</v>
      </c>
      <c r="E908" s="1275"/>
      <c r="F908" s="1275"/>
      <c r="G908" s="3"/>
      <c r="I908" s="491"/>
    </row>
    <row r="909" spans="1:9" ht="12.75" customHeight="1">
      <c r="A909" s="355"/>
      <c r="B909" s="355"/>
      <c r="C909" s="355"/>
      <c r="D909" s="1275"/>
      <c r="E909" s="1275"/>
      <c r="F909" s="1275"/>
      <c r="G909" s="3"/>
      <c r="I909" s="491"/>
    </row>
    <row r="910" spans="1:9" ht="12.75" customHeight="1">
      <c r="A910" s="172"/>
      <c r="B910" s="172"/>
      <c r="C910" s="172"/>
      <c r="D910" s="1275" t="s">
        <v>1779</v>
      </c>
      <c r="E910" s="1275"/>
      <c r="F910" s="1275"/>
      <c r="G910" s="989"/>
      <c r="I910" s="491"/>
    </row>
    <row r="911" spans="1:9" ht="12.75" customHeight="1">
      <c r="A911" s="172"/>
      <c r="B911" s="172"/>
      <c r="C911" s="172"/>
      <c r="D911" s="1275"/>
      <c r="E911" s="1275"/>
      <c r="F911" s="1275"/>
      <c r="G911" s="989"/>
      <c r="I911" s="491"/>
    </row>
    <row r="912" spans="1:9" ht="12.75" customHeight="1">
      <c r="A912" s="172"/>
      <c r="B912" s="172"/>
      <c r="C912" s="172"/>
      <c r="D912" s="3"/>
      <c r="E912" s="3"/>
      <c r="F912" s="989"/>
      <c r="G912" s="989"/>
      <c r="I912" s="491"/>
    </row>
    <row r="913" spans="1:9" ht="12.75" customHeight="1">
      <c r="A913" s="175"/>
      <c r="B913" s="486" t="s">
        <v>2730</v>
      </c>
      <c r="C913" s="174"/>
      <c r="D913" s="1279" t="s">
        <v>1777</v>
      </c>
      <c r="E913" s="1279"/>
      <c r="F913" s="1279"/>
      <c r="G913" s="989"/>
      <c r="I913" s="491"/>
    </row>
    <row r="914" spans="1:9" ht="12.75" customHeight="1">
      <c r="A914" s="175"/>
      <c r="B914" s="175"/>
      <c r="C914" s="174"/>
      <c r="D914" s="1279"/>
      <c r="E914" s="1279"/>
      <c r="F914" s="1279"/>
      <c r="G914" s="989"/>
      <c r="I914" s="491"/>
    </row>
    <row r="915" spans="1:9" ht="12.75" customHeight="1">
      <c r="A915" s="175"/>
      <c r="B915" s="175"/>
      <c r="C915" s="174"/>
      <c r="D915" s="1279"/>
      <c r="E915" s="1279"/>
      <c r="F915" s="1279"/>
      <c r="G915" s="989"/>
      <c r="I915" s="491"/>
    </row>
    <row r="916" spans="1:9" ht="12.75" customHeight="1">
      <c r="A916" s="175"/>
      <c r="B916" s="175"/>
      <c r="C916" s="174"/>
      <c r="D916" s="1279"/>
      <c r="E916" s="1279"/>
      <c r="F916" s="1279"/>
      <c r="G916" s="989"/>
      <c r="I916" s="491"/>
    </row>
    <row r="917" spans="1:9" ht="12.75" customHeight="1">
      <c r="A917" s="175"/>
      <c r="B917" s="175"/>
      <c r="C917" s="174"/>
      <c r="D917" s="1279"/>
      <c r="E917" s="1279"/>
      <c r="F917" s="1279"/>
      <c r="G917" s="989"/>
      <c r="I917" s="491"/>
    </row>
    <row r="918" spans="1:9" ht="12.75" customHeight="1">
      <c r="A918" s="174"/>
      <c r="B918" s="174"/>
      <c r="C918" s="174"/>
      <c r="D918" s="1279"/>
      <c r="E918" s="1279"/>
      <c r="F918" s="1279"/>
      <c r="G918" s="989"/>
      <c r="I918" s="491"/>
    </row>
    <row r="919" spans="1:9" ht="12.75" customHeight="1">
      <c r="A919" s="174"/>
      <c r="B919" s="174"/>
      <c r="C919" s="174"/>
      <c r="D919" s="1279"/>
      <c r="E919" s="1279"/>
      <c r="F919" s="1279"/>
      <c r="G919" s="989"/>
      <c r="I919" s="491"/>
    </row>
    <row r="920" spans="1:9" ht="12.75" customHeight="1">
      <c r="A920" s="174"/>
      <c r="B920" s="174"/>
      <c r="C920" s="174"/>
      <c r="D920" s="1279"/>
      <c r="E920" s="1279"/>
      <c r="F920" s="1279"/>
      <c r="G920" s="989"/>
      <c r="I920" s="491"/>
    </row>
    <row r="921" spans="1:9" ht="12.75" customHeight="1">
      <c r="A921" s="174"/>
      <c r="B921" s="174"/>
      <c r="C921" s="174"/>
      <c r="D921" s="336"/>
      <c r="E921" s="336"/>
      <c r="F921" s="336"/>
      <c r="G921" s="989"/>
      <c r="I921" s="491"/>
    </row>
    <row r="922" spans="1:9" ht="12.75" customHeight="1">
      <c r="A922" s="990"/>
      <c r="B922" s="486" t="s">
        <v>2731</v>
      </c>
      <c r="C922" s="990"/>
      <c r="D922" s="1275" t="s">
        <v>1781</v>
      </c>
      <c r="E922" s="1275"/>
      <c r="F922" s="1275"/>
      <c r="G922" s="989"/>
      <c r="I922" s="491"/>
    </row>
    <row r="923" spans="1:9" ht="12.75" customHeight="1">
      <c r="A923" s="990"/>
      <c r="B923" s="990"/>
      <c r="C923" s="990"/>
      <c r="D923" s="1275"/>
      <c r="E923" s="1275"/>
      <c r="F923" s="1275"/>
      <c r="G923" s="989"/>
      <c r="I923" s="491"/>
    </row>
    <row r="924" spans="1:9" ht="12.75" customHeight="1">
      <c r="A924" s="990"/>
      <c r="B924" s="990"/>
      <c r="C924" s="990"/>
      <c r="D924" s="989"/>
      <c r="E924" s="989"/>
      <c r="F924" s="989"/>
      <c r="G924" s="989"/>
      <c r="I924" s="491"/>
    </row>
    <row r="925" spans="1:9" ht="12.75" customHeight="1">
      <c r="A925" s="990"/>
      <c r="B925" s="486" t="s">
        <v>2731</v>
      </c>
      <c r="C925" s="990"/>
      <c r="D925" s="1303" t="s">
        <v>1782</v>
      </c>
      <c r="E925" s="1303"/>
      <c r="F925" s="1303"/>
      <c r="G925" s="989"/>
      <c r="I925" s="491"/>
    </row>
    <row r="926" spans="1:9" ht="12.75" customHeight="1">
      <c r="A926" s="990"/>
      <c r="B926" s="990"/>
      <c r="C926" s="990"/>
      <c r="D926" s="1303"/>
      <c r="E926" s="1303"/>
      <c r="F926" s="1303"/>
      <c r="G926" s="989"/>
      <c r="I926" s="491"/>
    </row>
    <row r="927" spans="1:9" ht="12.75" customHeight="1">
      <c r="A927" s="990"/>
      <c r="B927" s="990"/>
      <c r="C927" s="990"/>
      <c r="D927" s="1303"/>
      <c r="E927" s="1303"/>
      <c r="F927" s="1303"/>
      <c r="G927" s="989"/>
      <c r="I927" s="491"/>
    </row>
    <row r="928" spans="1:9" ht="12.75" customHeight="1">
      <c r="A928" s="990"/>
      <c r="B928" s="990"/>
      <c r="C928" s="990"/>
      <c r="D928" s="1303"/>
      <c r="E928" s="1303"/>
      <c r="F928" s="1303"/>
      <c r="G928" s="989"/>
      <c r="I928" s="491"/>
    </row>
    <row r="929" spans="1:9" ht="12.75" customHeight="1">
      <c r="A929" s="990"/>
      <c r="B929" s="990"/>
      <c r="C929" s="990"/>
      <c r="D929" s="118"/>
      <c r="E929" s="989"/>
      <c r="F929" s="989"/>
      <c r="G929" s="989"/>
      <c r="I929" s="491"/>
    </row>
    <row r="930" spans="1:9" ht="12.75" customHeight="1">
      <c r="A930" s="990"/>
      <c r="B930" s="486" t="s">
        <v>2731</v>
      </c>
      <c r="C930" s="990"/>
      <c r="D930" s="1315" t="s">
        <v>2071</v>
      </c>
      <c r="E930" s="1315"/>
      <c r="F930" s="1315"/>
      <c r="G930" s="989"/>
      <c r="I930" s="491"/>
    </row>
    <row r="931" spans="1:9" ht="12.75" customHeight="1">
      <c r="A931" s="990"/>
      <c r="B931" s="990"/>
      <c r="C931" s="990"/>
      <c r="D931" s="118"/>
      <c r="E931" s="989"/>
      <c r="F931" s="989"/>
      <c r="G931" s="989"/>
      <c r="I931" s="491"/>
    </row>
    <row r="932" spans="1:9" ht="12.75" customHeight="1">
      <c r="A932" s="990"/>
      <c r="B932" s="486" t="s">
        <v>2731</v>
      </c>
      <c r="C932" s="990"/>
      <c r="D932" s="1315" t="s">
        <v>2072</v>
      </c>
      <c r="E932" s="1315"/>
      <c r="F932" s="1315"/>
      <c r="G932" s="989"/>
      <c r="I932" s="491"/>
    </row>
    <row r="933" spans="1:9" ht="12.75" customHeight="1">
      <c r="A933" s="174"/>
      <c r="B933" s="174"/>
      <c r="C933" s="174"/>
      <c r="D933" s="2"/>
      <c r="E933" s="3"/>
      <c r="F933" s="989"/>
      <c r="G933" s="989"/>
      <c r="I933" s="491"/>
    </row>
    <row r="934" spans="1:9" ht="12.75" customHeight="1">
      <c r="A934" s="998"/>
      <c r="B934" s="486" t="s">
        <v>2730</v>
      </c>
      <c r="C934" s="999"/>
      <c r="D934" s="1279" t="s">
        <v>1778</v>
      </c>
      <c r="E934" s="1279"/>
      <c r="F934" s="1279"/>
      <c r="G934" s="1000"/>
      <c r="I934" s="491"/>
    </row>
    <row r="935" spans="1:9" ht="12.75" customHeight="1">
      <c r="A935" s="998"/>
      <c r="B935" s="998"/>
      <c r="C935" s="999"/>
      <c r="D935" s="1279"/>
      <c r="E935" s="1279"/>
      <c r="F935" s="1279"/>
      <c r="G935" s="1000"/>
      <c r="I935" s="491"/>
    </row>
    <row r="936" spans="1:9" ht="12.75" customHeight="1">
      <c r="A936" s="998"/>
      <c r="B936" s="998"/>
      <c r="C936" s="999"/>
      <c r="D936" s="1279"/>
      <c r="E936" s="1279"/>
      <c r="F936" s="1279"/>
      <c r="G936" s="1000"/>
      <c r="I936" s="491"/>
    </row>
    <row r="937" spans="1:9" ht="12.75" customHeight="1">
      <c r="A937" s="998"/>
      <c r="B937" s="998"/>
      <c r="C937" s="999"/>
      <c r="D937" s="1279"/>
      <c r="E937" s="1279"/>
      <c r="F937" s="1279"/>
      <c r="G937" s="1000"/>
      <c r="I937" s="491"/>
    </row>
    <row r="938" spans="1:9" ht="12.75" customHeight="1">
      <c r="A938" s="998"/>
      <c r="B938" s="998"/>
      <c r="C938" s="999"/>
      <c r="D938" s="1279"/>
      <c r="E938" s="1279"/>
      <c r="F938" s="1279"/>
      <c r="G938" s="1000"/>
      <c r="I938" s="491"/>
    </row>
    <row r="939" spans="1:9" ht="12.75" customHeight="1">
      <c r="A939" s="998"/>
      <c r="B939" s="998"/>
      <c r="C939" s="999"/>
      <c r="D939" s="1279"/>
      <c r="E939" s="1279"/>
      <c r="F939" s="1279"/>
      <c r="G939" s="1000"/>
      <c r="I939" s="491"/>
    </row>
    <row r="940" spans="1:9" ht="12.75" customHeight="1">
      <c r="A940" s="998"/>
      <c r="B940" s="998"/>
      <c r="C940" s="999"/>
      <c r="D940" s="1279"/>
      <c r="E940" s="1279"/>
      <c r="F940" s="1279"/>
      <c r="G940" s="1000"/>
      <c r="I940" s="491"/>
    </row>
    <row r="941" spans="1:9" ht="12.75" customHeight="1">
      <c r="A941" s="998"/>
      <c r="B941" s="998"/>
      <c r="C941" s="999"/>
      <c r="D941" s="1279"/>
      <c r="E941" s="1279"/>
      <c r="F941" s="1279"/>
      <c r="G941" s="1000"/>
      <c r="I941" s="491"/>
    </row>
    <row r="942" spans="1:9" ht="12.75" customHeight="1">
      <c r="A942" s="998"/>
      <c r="B942" s="998"/>
      <c r="C942" s="999"/>
      <c r="D942" s="1279"/>
      <c r="E942" s="1279"/>
      <c r="F942" s="1279"/>
      <c r="G942" s="1000"/>
      <c r="I942" s="491"/>
    </row>
    <row r="943" spans="1:9" ht="12.75" customHeight="1">
      <c r="A943" s="174"/>
      <c r="B943" s="174"/>
      <c r="C943" s="174"/>
      <c r="D943" s="2"/>
      <c r="E943" s="3"/>
      <c r="F943" s="989"/>
      <c r="G943" s="989"/>
      <c r="I943" s="491"/>
    </row>
    <row r="944" spans="1:9" ht="12.75" customHeight="1">
      <c r="A944" s="175"/>
      <c r="B944" s="486" t="s">
        <v>2730</v>
      </c>
      <c r="C944" s="174"/>
      <c r="D944" s="1334" t="s">
        <v>1887</v>
      </c>
      <c r="E944" s="1334"/>
      <c r="F944" s="1334"/>
      <c r="G944" s="989"/>
      <c r="I944" s="491"/>
    </row>
    <row r="945" spans="1:9" ht="12.75" customHeight="1">
      <c r="A945" s="175"/>
      <c r="B945" s="175"/>
      <c r="C945" s="174"/>
      <c r="D945" s="1334"/>
      <c r="E945" s="1334"/>
      <c r="F945" s="1334"/>
      <c r="G945" s="989"/>
      <c r="I945" s="491"/>
    </row>
    <row r="946" spans="1:9" ht="12.75" customHeight="1">
      <c r="A946" s="175"/>
      <c r="B946" s="175"/>
      <c r="C946" s="174"/>
      <c r="D946" s="1334"/>
      <c r="E946" s="1334"/>
      <c r="F946" s="1334"/>
      <c r="G946" s="989"/>
      <c r="I946" s="491"/>
    </row>
    <row r="947" spans="1:9" ht="12.75" customHeight="1">
      <c r="A947" s="175"/>
      <c r="B947" s="175"/>
      <c r="C947" s="174"/>
      <c r="D947" s="1334"/>
      <c r="E947" s="1334"/>
      <c r="F947" s="1334"/>
      <c r="G947" s="989"/>
      <c r="I947" s="491"/>
    </row>
    <row r="948" spans="1:9" ht="12.75" customHeight="1">
      <c r="A948" s="175"/>
      <c r="B948" s="175"/>
      <c r="C948" s="174"/>
      <c r="D948" s="1334"/>
      <c r="E948" s="1334"/>
      <c r="F948" s="1334"/>
      <c r="G948" s="989"/>
      <c r="I948" s="491"/>
    </row>
    <row r="949" spans="1:9" ht="12.75" customHeight="1">
      <c r="A949" s="175"/>
      <c r="B949" s="175"/>
      <c r="C949" s="174"/>
      <c r="D949" s="1334"/>
      <c r="E949" s="1334"/>
      <c r="F949" s="1334"/>
      <c r="G949" s="989"/>
      <c r="I949" s="491"/>
    </row>
    <row r="950" spans="1:9" ht="12.75" customHeight="1">
      <c r="A950" s="175"/>
      <c r="B950" s="175"/>
      <c r="C950" s="174"/>
      <c r="D950" s="1334"/>
      <c r="E950" s="1334"/>
      <c r="F950" s="1334"/>
      <c r="G950" s="989"/>
      <c r="I950" s="491"/>
    </row>
    <row r="951" spans="1:9" ht="12.75" customHeight="1">
      <c r="A951" s="175"/>
      <c r="B951" s="175"/>
      <c r="C951" s="174"/>
      <c r="D951" s="1027"/>
      <c r="E951" s="1027"/>
      <c r="F951" s="1027"/>
      <c r="G951" s="989"/>
      <c r="I951" s="491"/>
    </row>
    <row r="952" spans="1:9" ht="12.75" customHeight="1">
      <c r="A952" s="175"/>
      <c r="B952" s="486" t="s">
        <v>2730</v>
      </c>
      <c r="C952" s="174"/>
      <c r="D952" s="1278" t="s">
        <v>2139</v>
      </c>
      <c r="E952" s="1278"/>
      <c r="F952" s="1278"/>
      <c r="G952" s="989"/>
      <c r="I952" s="491"/>
    </row>
    <row r="953" spans="1:9" ht="12.75" customHeight="1">
      <c r="A953" s="175"/>
      <c r="B953" s="175"/>
      <c r="C953" s="174"/>
      <c r="D953" s="1278"/>
      <c r="E953" s="1278"/>
      <c r="F953" s="1278"/>
      <c r="G953" s="989"/>
      <c r="I953" s="491"/>
    </row>
    <row r="954" spans="1:9" ht="12.75" customHeight="1">
      <c r="A954" s="175"/>
      <c r="B954" s="175"/>
      <c r="C954" s="174"/>
      <c r="D954" s="1278"/>
      <c r="E954" s="1278"/>
      <c r="F954" s="1278"/>
      <c r="G954" s="989"/>
      <c r="I954" s="491"/>
    </row>
    <row r="955" spans="1:9" ht="12.75" customHeight="1">
      <c r="A955" s="175"/>
      <c r="B955" s="175"/>
      <c r="C955" s="174"/>
      <c r="D955" s="1278"/>
      <c r="E955" s="1278"/>
      <c r="F955" s="1278"/>
      <c r="G955" s="989"/>
      <c r="I955" s="491"/>
    </row>
    <row r="956" spans="1:9" ht="12.75" customHeight="1">
      <c r="A956" s="175"/>
      <c r="B956" s="175"/>
      <c r="C956" s="174"/>
      <c r="D956" s="1278"/>
      <c r="E956" s="1278"/>
      <c r="F956" s="1278"/>
      <c r="G956" s="989"/>
      <c r="I956" s="491"/>
    </row>
    <row r="957" spans="1:9" ht="12.75" customHeight="1">
      <c r="A957" s="175"/>
      <c r="B957" s="175"/>
      <c r="C957" s="174"/>
      <c r="D957" s="1278"/>
      <c r="E957" s="1278"/>
      <c r="F957" s="1278"/>
      <c r="G957" s="989"/>
      <c r="I957" s="491"/>
    </row>
    <row r="958" spans="1:9" ht="12.75" customHeight="1">
      <c r="A958" s="175"/>
      <c r="B958" s="175"/>
      <c r="C958" s="174"/>
      <c r="D958" s="1027"/>
      <c r="E958" s="1027"/>
      <c r="F958" s="1027"/>
      <c r="G958" s="989"/>
      <c r="I958" s="491"/>
    </row>
    <row r="959" spans="1:9" ht="12.75" customHeight="1">
      <c r="A959" s="990"/>
      <c r="B959" s="486" t="s">
        <v>2731</v>
      </c>
      <c r="C959" s="990"/>
      <c r="D959" s="1303" t="s">
        <v>1783</v>
      </c>
      <c r="E959" s="1303"/>
      <c r="F959" s="1303"/>
      <c r="G959" s="989"/>
      <c r="I959" s="491"/>
    </row>
    <row r="960" spans="1:9" ht="12.75" customHeight="1">
      <c r="A960" s="990"/>
      <c r="B960" s="990"/>
      <c r="C960" s="990"/>
      <c r="D960" s="1303"/>
      <c r="E960" s="1303"/>
      <c r="F960" s="1303"/>
      <c r="G960" s="989"/>
      <c r="I960" s="491"/>
    </row>
    <row r="961" spans="1:9" ht="12.75" customHeight="1">
      <c r="A961" s="990"/>
      <c r="B961" s="990"/>
      <c r="C961" s="990"/>
      <c r="D961" s="1303"/>
      <c r="E961" s="1303"/>
      <c r="F961" s="1303"/>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2730</v>
      </c>
      <c r="C964" s="174"/>
      <c r="D964" s="1279" t="s">
        <v>1886</v>
      </c>
      <c r="E964" s="1279"/>
      <c r="F964" s="1279"/>
      <c r="G964" s="989"/>
      <c r="I964" s="491"/>
    </row>
    <row r="965" spans="1:9" ht="12.75" customHeight="1">
      <c r="A965" s="175"/>
      <c r="B965" s="175"/>
      <c r="C965" s="174"/>
      <c r="D965" s="1279"/>
      <c r="E965" s="1279"/>
      <c r="F965" s="1279"/>
      <c r="G965" s="989"/>
      <c r="I965" s="491"/>
    </row>
    <row r="966" spans="1:9" ht="12.75" customHeight="1">
      <c r="A966" s="175"/>
      <c r="B966" s="175"/>
      <c r="C966" s="174"/>
      <c r="D966" s="1279"/>
      <c r="E966" s="1279"/>
      <c r="F966" s="1279"/>
      <c r="G966" s="989"/>
      <c r="I966" s="491"/>
    </row>
    <row r="967" spans="1:9" ht="12.75" customHeight="1">
      <c r="A967" s="175"/>
      <c r="B967" s="175"/>
      <c r="C967" s="174"/>
      <c r="D967" s="1279"/>
      <c r="E967" s="1279"/>
      <c r="F967" s="1279"/>
      <c r="G967" s="989"/>
      <c r="I967" s="491"/>
    </row>
    <row r="968" spans="1:9" ht="12.75" customHeight="1">
      <c r="A968" s="990"/>
      <c r="B968" s="990"/>
      <c r="C968" s="990"/>
      <c r="D968" s="981"/>
      <c r="E968" s="981"/>
      <c r="F968" s="981"/>
      <c r="G968" s="981"/>
      <c r="I968" s="491"/>
    </row>
    <row r="969" spans="1:9" ht="12.75" customHeight="1">
      <c r="A969" s="355"/>
      <c r="B969" s="355"/>
      <c r="C969" s="355"/>
      <c r="D969" s="1337" t="s">
        <v>1784</v>
      </c>
      <c r="E969" s="1337"/>
      <c r="F969" s="1337"/>
      <c r="G969" s="3"/>
      <c r="I969" s="491"/>
    </row>
    <row r="970" spans="1:9" ht="12.75" customHeight="1">
      <c r="A970" s="175"/>
      <c r="B970" s="486" t="s">
        <v>2731</v>
      </c>
      <c r="C970" s="355"/>
      <c r="D970" s="1315" t="s">
        <v>1807</v>
      </c>
      <c r="E970" s="1315"/>
      <c r="F970" s="1315"/>
      <c r="G970" s="3"/>
      <c r="I970" s="491"/>
    </row>
    <row r="971" spans="1:9" ht="12.75" customHeight="1">
      <c r="A971" s="355"/>
      <c r="B971" s="355"/>
      <c r="C971" s="355"/>
      <c r="D971" s="3"/>
      <c r="E971" s="3"/>
      <c r="F971" s="3"/>
      <c r="G971" s="3"/>
      <c r="I971" s="491"/>
    </row>
    <row r="972" spans="1:9" ht="12.75" customHeight="1">
      <c r="A972" s="355"/>
      <c r="B972" s="355"/>
      <c r="C972" s="355"/>
      <c r="D972" s="1337" t="s">
        <v>1785</v>
      </c>
      <c r="E972" s="1337"/>
      <c r="F972" s="1337"/>
      <c r="G972"/>
      <c r="I972" s="491"/>
    </row>
    <row r="973" spans="1:9" ht="12.75" customHeight="1">
      <c r="A973" s="175"/>
      <c r="B973" s="486" t="s">
        <v>2731</v>
      </c>
      <c r="C973" s="355"/>
      <c r="D973" s="1275" t="s">
        <v>2073</v>
      </c>
      <c r="E973" s="1275"/>
      <c r="F973" s="1275"/>
      <c r="G973"/>
      <c r="I973" s="491"/>
    </row>
    <row r="974" spans="1:9" ht="12.75" customHeight="1">
      <c r="A974" s="175"/>
      <c r="B974" s="175"/>
      <c r="C974" s="355"/>
      <c r="D974" s="1275"/>
      <c r="E974" s="1275"/>
      <c r="F974" s="1275"/>
      <c r="G974"/>
      <c r="I974" s="491"/>
    </row>
    <row r="975" spans="1:9" ht="12.75" customHeight="1">
      <c r="A975" s="175"/>
      <c r="B975" s="175"/>
      <c r="C975" s="355"/>
      <c r="D975" s="1275"/>
      <c r="E975" s="1275"/>
      <c r="F975" s="1275"/>
      <c r="G975"/>
      <c r="I975" s="491"/>
    </row>
    <row r="976" spans="1:9" ht="12.75" customHeight="1">
      <c r="A976" s="175"/>
      <c r="B976" s="175"/>
      <c r="C976" s="355"/>
      <c r="D976" s="1275"/>
      <c r="E976" s="1275"/>
      <c r="F976" s="1275"/>
      <c r="G976"/>
      <c r="I976" s="491"/>
    </row>
    <row r="977" spans="1:9" ht="12.75" customHeight="1">
      <c r="A977" s="175"/>
      <c r="B977" s="175"/>
      <c r="C977" s="355"/>
      <c r="D977" s="1275"/>
      <c r="E977" s="1275"/>
      <c r="F977" s="1275"/>
      <c r="G977"/>
      <c r="I977" s="491"/>
    </row>
    <row r="978" spans="1:9" ht="12.75" customHeight="1">
      <c r="A978" s="175"/>
      <c r="B978" s="175"/>
      <c r="C978" s="355"/>
      <c r="D978" s="1275"/>
      <c r="E978" s="1275"/>
      <c r="F978" s="1275"/>
      <c r="G978"/>
      <c r="I978" s="491"/>
    </row>
    <row r="979" spans="1:9" ht="12.75" customHeight="1">
      <c r="A979" s="175"/>
      <c r="B979" s="175"/>
      <c r="C979" s="355"/>
      <c r="D979" s="1275"/>
      <c r="E979" s="1275"/>
      <c r="F979" s="1275"/>
      <c r="G979"/>
      <c r="I979" s="491"/>
    </row>
    <row r="980" spans="1:9" ht="12.75" customHeight="1">
      <c r="A980" s="175"/>
      <c r="B980" s="175"/>
      <c r="C980" s="355"/>
      <c r="D980" s="1275"/>
      <c r="E980" s="1275"/>
      <c r="F980" s="1275"/>
      <c r="G980"/>
      <c r="I980" s="491"/>
    </row>
    <row r="981" spans="1:9" ht="12.75" customHeight="1">
      <c r="A981" s="175"/>
      <c r="B981" s="175"/>
      <c r="C981" s="355"/>
      <c r="D981" s="1275"/>
      <c r="E981" s="1275"/>
      <c r="F981" s="1275"/>
      <c r="G981"/>
      <c r="I981" s="491"/>
    </row>
    <row r="982" spans="1:9" ht="12.75" customHeight="1">
      <c r="A982" s="175"/>
      <c r="B982" s="175"/>
      <c r="C982" s="355"/>
      <c r="D982" s="1275"/>
      <c r="E982" s="1275"/>
      <c r="F982" s="1275"/>
      <c r="G982"/>
      <c r="I982" s="491"/>
    </row>
    <row r="983" spans="1:9" ht="12.75" customHeight="1">
      <c r="A983" s="175"/>
      <c r="B983" s="175"/>
      <c r="C983" s="355"/>
      <c r="D983" s="1275"/>
      <c r="E983" s="1275"/>
      <c r="F983" s="1275"/>
      <c r="G983"/>
      <c r="I983" s="491"/>
    </row>
    <row r="984" spans="1:9" ht="12.75" customHeight="1">
      <c r="A984" s="175"/>
      <c r="B984" s="175"/>
      <c r="C984" s="355"/>
      <c r="D984" s="1275"/>
      <c r="E984" s="1275"/>
      <c r="F984" s="1275"/>
      <c r="G984"/>
      <c r="I984" s="491"/>
    </row>
    <row r="985" spans="1:9" ht="12.75" customHeight="1">
      <c r="A985" s="175"/>
      <c r="B985" s="175"/>
      <c r="C985" s="355"/>
      <c r="D985" s="1275"/>
      <c r="E985" s="1275"/>
      <c r="F985" s="1275"/>
      <c r="G985"/>
      <c r="I985" s="491"/>
    </row>
    <row r="986" spans="1:9" ht="12.75" customHeight="1">
      <c r="A986" s="175"/>
      <c r="B986" s="175"/>
      <c r="C986" s="355"/>
      <c r="D986" s="1275"/>
      <c r="E986" s="1275"/>
      <c r="F986" s="1275"/>
      <c r="G986"/>
      <c r="I986" s="491"/>
    </row>
    <row r="987" spans="1:9" ht="12.75" customHeight="1">
      <c r="A987" s="175"/>
      <c r="B987" s="175"/>
      <c r="C987" s="355"/>
      <c r="D987" s="1275"/>
      <c r="E987" s="1275"/>
      <c r="F987" s="1275"/>
      <c r="G987" s="3"/>
      <c r="I987" s="491"/>
    </row>
    <row r="988" spans="1:9" ht="12.75" customHeight="1">
      <c r="A988" s="355"/>
      <c r="B988" s="355"/>
      <c r="C988" s="355"/>
      <c r="D988" s="3"/>
      <c r="E988" s="3"/>
      <c r="F988" s="3"/>
      <c r="G988" s="3"/>
      <c r="I988" s="491"/>
    </row>
    <row r="989" spans="1:9" ht="12.75" customHeight="1">
      <c r="A989" s="1324" t="s">
        <v>1786</v>
      </c>
      <c r="B989" s="1324"/>
      <c r="C989" s="1324"/>
      <c r="D989" s="1324"/>
      <c r="E989" s="1324"/>
      <c r="F989" s="1324"/>
      <c r="G989" s="1324"/>
      <c r="H989" s="1029"/>
      <c r="I989" s="1155"/>
    </row>
    <row r="990" spans="1:9" ht="12.75" customHeight="1">
      <c r="A990" s="118"/>
      <c r="B990" s="118"/>
      <c r="C990" s="355"/>
      <c r="D990" s="3"/>
      <c r="E990" s="3"/>
      <c r="F990" s="3"/>
      <c r="G990" s="3"/>
      <c r="I990" s="491"/>
    </row>
    <row r="991" spans="1:9" ht="12.75" customHeight="1">
      <c r="A991" s="355"/>
      <c r="B991" s="355"/>
      <c r="C991" s="990"/>
      <c r="D991" s="1337" t="s">
        <v>1808</v>
      </c>
      <c r="E991" s="1337"/>
      <c r="F991" s="1337"/>
      <c r="G991" s="3"/>
      <c r="I991" s="491"/>
    </row>
    <row r="992" spans="1:9" ht="12.75" customHeight="1">
      <c r="A992" s="172"/>
      <c r="B992" s="172"/>
      <c r="C992" s="172"/>
      <c r="D992" s="1315" t="s">
        <v>1787</v>
      </c>
      <c r="E992" s="1315"/>
      <c r="F992" s="1315"/>
      <c r="G992" s="3"/>
      <c r="I992" s="491"/>
    </row>
    <row r="993" spans="1:9" ht="12.75" customHeight="1">
      <c r="A993" s="172"/>
      <c r="B993" s="172"/>
      <c r="C993" s="172"/>
      <c r="D993" s="3"/>
      <c r="E993" s="3"/>
      <c r="F993" s="989"/>
      <c r="G993"/>
      <c r="I993" s="491"/>
    </row>
    <row r="994" spans="1:9" ht="12.75" customHeight="1">
      <c r="A994" s="355"/>
      <c r="B994" s="486" t="s">
        <v>2730</v>
      </c>
      <c r="C994" s="355"/>
      <c r="D994" s="1339" t="s">
        <v>1916</v>
      </c>
      <c r="E994" s="1339"/>
      <c r="F994" s="1339"/>
      <c r="G994"/>
      <c r="I994" s="491"/>
    </row>
    <row r="995" spans="1:9" ht="12.75" customHeight="1">
      <c r="A995" s="355"/>
      <c r="B995" s="355"/>
      <c r="C995" s="355"/>
      <c r="D995" s="1339"/>
      <c r="E995" s="1339"/>
      <c r="F995" s="1339"/>
      <c r="G995"/>
      <c r="I995" s="491"/>
    </row>
    <row r="996" spans="1:9" ht="12.75" customHeight="1">
      <c r="A996" s="355"/>
      <c r="B996" s="355"/>
      <c r="C996" s="355"/>
      <c r="D996" s="1039"/>
      <c r="E996" s="1037" t="s">
        <v>1917</v>
      </c>
      <c r="F996" s="1039"/>
      <c r="G996"/>
      <c r="I996" s="491"/>
    </row>
    <row r="997" spans="1:9" ht="12.75" customHeight="1">
      <c r="A997" s="355"/>
      <c r="B997" s="355"/>
      <c r="C997" s="355"/>
      <c r="D997" s="1281" t="s">
        <v>1915</v>
      </c>
      <c r="E997" s="1281"/>
      <c r="F997" s="1281"/>
      <c r="G997"/>
      <c r="I997" s="491"/>
    </row>
    <row r="998" spans="1:9" ht="12.75" customHeight="1">
      <c r="A998" s="355"/>
      <c r="B998" s="355"/>
      <c r="C998" s="355"/>
      <c r="D998" s="1281"/>
      <c r="E998" s="1281"/>
      <c r="F998" s="1281"/>
      <c r="G998"/>
      <c r="I998" s="491"/>
    </row>
    <row r="999" spans="1:9" ht="12.75" customHeight="1">
      <c r="A999" s="174"/>
      <c r="B999" s="174"/>
      <c r="C999" s="174"/>
      <c r="D999" s="1281"/>
      <c r="E999" s="1281"/>
      <c r="F999" s="1281"/>
      <c r="G999"/>
      <c r="I999" s="491"/>
    </row>
    <row r="1000" spans="1:9" ht="12.75" customHeight="1">
      <c r="A1000" s="174"/>
      <c r="B1000" s="174"/>
      <c r="C1000" s="174"/>
      <c r="D1000" s="1281"/>
      <c r="E1000" s="1281"/>
      <c r="F1000" s="1281"/>
      <c r="G1000"/>
      <c r="I1000" s="491"/>
    </row>
    <row r="1001" spans="1:9" ht="12.75" customHeight="1">
      <c r="A1001" s="174"/>
      <c r="B1001" s="174"/>
      <c r="C1001" s="174"/>
      <c r="D1001" s="336"/>
      <c r="E1001" s="336"/>
      <c r="F1001" s="336"/>
      <c r="G1001"/>
      <c r="I1001" s="491"/>
    </row>
    <row r="1002" spans="1:9" ht="12.75" customHeight="1">
      <c r="A1002" s="174"/>
      <c r="B1002" s="486" t="s">
        <v>2731</v>
      </c>
      <c r="C1002" s="174"/>
      <c r="D1002" s="1275" t="s">
        <v>1788</v>
      </c>
      <c r="E1002" s="1275"/>
      <c r="F1002" s="1275"/>
      <c r="G1002"/>
      <c r="I1002" s="491"/>
    </row>
    <row r="1003" spans="1:9" ht="12.75" customHeight="1">
      <c r="A1003" s="174"/>
      <c r="B1003" s="174"/>
      <c r="C1003" s="174"/>
      <c r="D1003" s="1275"/>
      <c r="E1003" s="1275"/>
      <c r="F1003" s="1275"/>
      <c r="G1003"/>
      <c r="I1003" s="491"/>
    </row>
    <row r="1004" spans="1:9" ht="12.75" customHeight="1">
      <c r="A1004" s="174"/>
      <c r="B1004" s="174"/>
      <c r="C1004" s="174"/>
      <c r="D1004" s="1275"/>
      <c r="E1004" s="1275"/>
      <c r="F1004" s="1275"/>
      <c r="G1004"/>
      <c r="I1004" s="491"/>
    </row>
    <row r="1005" spans="1:9" ht="12.75" customHeight="1">
      <c r="A1005" s="174"/>
      <c r="B1005" s="174"/>
      <c r="C1005" s="174"/>
      <c r="D1005" s="1275"/>
      <c r="E1005" s="1275"/>
      <c r="F1005" s="1275"/>
      <c r="G1005"/>
      <c r="I1005" s="491"/>
    </row>
    <row r="1006" spans="1:9" ht="12.75" customHeight="1">
      <c r="A1006" s="174"/>
      <c r="B1006" s="174"/>
      <c r="C1006" s="174"/>
      <c r="D1006" s="442"/>
      <c r="E1006" s="442"/>
      <c r="F1006" s="442"/>
      <c r="G1006"/>
      <c r="I1006" s="491"/>
    </row>
    <row r="1007" spans="1:9" ht="12.75" customHeight="1">
      <c r="A1007" s="174"/>
      <c r="B1007" s="486" t="s">
        <v>2731</v>
      </c>
      <c r="C1007" s="174"/>
      <c r="D1007" s="1275" t="s">
        <v>2233</v>
      </c>
      <c r="E1007" s="1275"/>
      <c r="F1007" s="1275"/>
      <c r="G1007"/>
      <c r="I1007" s="491"/>
    </row>
    <row r="1008" spans="1:9" ht="12.75" customHeight="1">
      <c r="A1008" s="174"/>
      <c r="B1008" s="174"/>
      <c r="C1008" s="174"/>
      <c r="D1008" s="1275"/>
      <c r="E1008" s="1275"/>
      <c r="F1008" s="1275"/>
      <c r="G1008"/>
      <c r="I1008" s="491"/>
    </row>
    <row r="1009" spans="1:9" ht="12.75" customHeight="1">
      <c r="A1009" s="174"/>
      <c r="B1009" s="174"/>
      <c r="C1009" s="174"/>
      <c r="D1009" s="442"/>
      <c r="E1009" s="442"/>
      <c r="F1009" s="442"/>
      <c r="G1009"/>
      <c r="I1009" s="491"/>
    </row>
    <row r="1010" spans="1:9" ht="12.75" customHeight="1">
      <c r="A1010" s="175"/>
      <c r="B1010" s="486" t="s">
        <v>2730</v>
      </c>
      <c r="C1010" s="355"/>
      <c r="D1010" s="1315" t="s">
        <v>1789</v>
      </c>
      <c r="E1010" s="1315"/>
      <c r="F1010" s="1315"/>
      <c r="G1010"/>
      <c r="I1010" s="491"/>
    </row>
    <row r="1011" spans="1:9" ht="12.75" customHeight="1">
      <c r="A1011" s="355"/>
      <c r="B1011" s="355"/>
      <c r="C1011" s="355"/>
      <c r="D1011" s="3"/>
      <c r="E1011" s="3"/>
      <c r="F1011" s="3"/>
      <c r="G1011"/>
      <c r="I1011" s="491"/>
    </row>
    <row r="1012" spans="1:9" ht="12.75" customHeight="1">
      <c r="A1012" s="175"/>
      <c r="B1012" s="486" t="s">
        <v>2731</v>
      </c>
      <c r="C1012" s="355"/>
      <c r="D1012" s="1315" t="s">
        <v>1790</v>
      </c>
      <c r="E1012" s="1315"/>
      <c r="F1012" s="1315"/>
      <c r="G1012"/>
      <c r="I1012" s="491"/>
    </row>
    <row r="1013" spans="1:9" ht="12.75" customHeight="1">
      <c r="A1013" s="355"/>
      <c r="B1013" s="355"/>
      <c r="C1013" s="355"/>
      <c r="D1013" s="118"/>
      <c r="E1013" s="3"/>
      <c r="F1013" s="3"/>
      <c r="G1013"/>
      <c r="I1013" s="491"/>
    </row>
    <row r="1014" spans="1:9" ht="12.75" customHeight="1">
      <c r="A1014" s="175"/>
      <c r="B1014" s="486" t="s">
        <v>2730</v>
      </c>
      <c r="C1014" s="355"/>
      <c r="D1014" s="1315" t="s">
        <v>1791</v>
      </c>
      <c r="E1014" s="1315"/>
      <c r="F1014" s="1315"/>
      <c r="G1014"/>
      <c r="I1014" s="491"/>
    </row>
    <row r="1015" spans="1:9" ht="12.75" customHeight="1">
      <c r="A1015" s="355"/>
      <c r="B1015" s="355"/>
      <c r="C1015" s="355"/>
      <c r="D1015" s="118"/>
      <c r="E1015" s="3"/>
      <c r="F1015" s="3"/>
      <c r="G1015"/>
      <c r="I1015" s="491"/>
    </row>
    <row r="1016" spans="1:9" ht="12.75" customHeight="1">
      <c r="A1016" s="175"/>
      <c r="B1016" s="486" t="s">
        <v>2730</v>
      </c>
      <c r="C1016" s="355"/>
      <c r="D1016" s="1275" t="s">
        <v>1792</v>
      </c>
      <c r="E1016" s="1275"/>
      <c r="F1016" s="1275"/>
      <c r="G1016"/>
      <c r="I1016" s="491"/>
    </row>
    <row r="1017" spans="1:9" ht="12.75" customHeight="1">
      <c r="A1017" s="175"/>
      <c r="B1017" s="175"/>
      <c r="C1017" s="355"/>
      <c r="D1017" s="1275"/>
      <c r="E1017" s="1275"/>
      <c r="F1017" s="1275"/>
      <c r="G1017"/>
      <c r="I1017" s="491"/>
    </row>
    <row r="1018" spans="1:9" ht="12.75" customHeight="1">
      <c r="A1018" s="175"/>
      <c r="B1018" s="175"/>
      <c r="C1018" s="355"/>
      <c r="D1018" s="118"/>
      <c r="E1018" s="3"/>
      <c r="F1018" s="3"/>
      <c r="G1018" s="3"/>
      <c r="I1018" s="491"/>
    </row>
    <row r="1019" spans="1:9" ht="12.75" customHeight="1">
      <c r="A1019" s="255"/>
      <c r="B1019" s="486" t="s">
        <v>2731</v>
      </c>
      <c r="C1019" s="1001"/>
      <c r="D1019" s="1331" t="s">
        <v>1793</v>
      </c>
      <c r="E1019" s="1331"/>
      <c r="F1019" s="1331"/>
      <c r="G1019" s="1002"/>
      <c r="I1019" s="491"/>
    </row>
    <row r="1020" spans="1:9" ht="12.75" customHeight="1">
      <c r="A1020" s="1001"/>
      <c r="B1020" s="1001"/>
      <c r="C1020" s="1001"/>
      <c r="D1020" s="1331"/>
      <c r="E1020" s="1331"/>
      <c r="F1020" s="1331"/>
      <c r="G1020" s="1002"/>
      <c r="I1020" s="491"/>
    </row>
    <row r="1021" spans="1:9" ht="12.75" customHeight="1">
      <c r="A1021" s="1001"/>
      <c r="B1021" s="1001"/>
      <c r="C1021" s="1001"/>
      <c r="D1021" s="985"/>
      <c r="E1021" s="1002"/>
      <c r="F1021" s="1002"/>
      <c r="G1021" s="1002"/>
      <c r="I1021" s="491"/>
    </row>
    <row r="1022" spans="1:9" ht="12.75" customHeight="1">
      <c r="A1022" s="255"/>
      <c r="B1022" s="486" t="s">
        <v>2731</v>
      </c>
      <c r="C1022" s="1001"/>
      <c r="D1022" s="1338" t="s">
        <v>1794</v>
      </c>
      <c r="E1022" s="1338"/>
      <c r="F1022" s="1338"/>
      <c r="G1022" s="1002"/>
      <c r="I1022" s="491"/>
    </row>
    <row r="1023" spans="1:9" ht="12.75" customHeight="1">
      <c r="A1023" s="1001"/>
      <c r="B1023" s="1001"/>
      <c r="C1023" s="1001"/>
      <c r="D1023" s="985"/>
      <c r="E1023" s="1002"/>
      <c r="F1023" s="1002"/>
      <c r="G1023" s="1002"/>
      <c r="I1023" s="491"/>
    </row>
    <row r="1024" spans="1:9" ht="12.75" customHeight="1">
      <c r="A1024" s="175"/>
      <c r="B1024" s="486" t="s">
        <v>2731</v>
      </c>
      <c r="C1024" s="355"/>
      <c r="D1024" s="1315" t="s">
        <v>1795</v>
      </c>
      <c r="E1024" s="1315"/>
      <c r="F1024" s="1315"/>
      <c r="G1024" s="3"/>
      <c r="I1024" s="491"/>
    </row>
    <row r="1025" spans="1:9" ht="12.75" customHeight="1">
      <c r="A1025" s="175"/>
      <c r="B1025" s="175"/>
      <c r="C1025" s="355"/>
      <c r="D1025" s="118"/>
      <c r="E1025" s="3"/>
      <c r="F1025" s="3"/>
      <c r="G1025" s="3"/>
      <c r="I1025" s="491"/>
    </row>
    <row r="1026" spans="1:9" ht="12.75" customHeight="1">
      <c r="A1026" s="175"/>
      <c r="B1026" s="486" t="s">
        <v>2731</v>
      </c>
      <c r="C1026" s="355"/>
      <c r="D1026" s="1275" t="s">
        <v>1796</v>
      </c>
      <c r="E1026" s="1275"/>
      <c r="F1026" s="1275"/>
      <c r="G1026" s="3"/>
      <c r="I1026" s="491"/>
    </row>
    <row r="1027" spans="1:9" ht="12.75" customHeight="1">
      <c r="A1027" s="175"/>
      <c r="B1027" s="175"/>
      <c r="C1027" s="355"/>
      <c r="D1027" s="1275"/>
      <c r="E1027" s="1275"/>
      <c r="F1027" s="1275"/>
      <c r="G1027" s="3"/>
      <c r="I1027" s="491"/>
    </row>
    <row r="1028" spans="1:9" ht="12.75" customHeight="1">
      <c r="A1028" s="355"/>
      <c r="B1028" s="355"/>
      <c r="C1028" s="355"/>
      <c r="D1028" s="3"/>
      <c r="E1028" s="3"/>
      <c r="F1028" s="3"/>
      <c r="G1028" s="3"/>
      <c r="I1028" s="491"/>
    </row>
    <row r="1029" spans="1:9" ht="12.75" customHeight="1">
      <c r="A1029" s="1324" t="s">
        <v>1797</v>
      </c>
      <c r="B1029" s="1324"/>
      <c r="C1029" s="1324"/>
      <c r="D1029" s="1324"/>
      <c r="E1029" s="1324"/>
      <c r="F1029" s="1324"/>
      <c r="G1029" s="1324"/>
      <c r="H1029" s="1029"/>
      <c r="I1029" s="1155"/>
    </row>
    <row r="1030" spans="1:9" ht="12.75" customHeight="1">
      <c r="A1030" s="355"/>
      <c r="B1030" s="355"/>
      <c r="C1030" s="355"/>
      <c r="D1030" s="3"/>
      <c r="E1030" s="3"/>
      <c r="F1030" s="3"/>
      <c r="G1030" s="3"/>
      <c r="I1030" s="491"/>
    </row>
    <row r="1031" spans="1:9" ht="12.75" customHeight="1">
      <c r="A1031" s="355"/>
      <c r="B1031" s="355"/>
      <c r="C1031" s="355"/>
      <c r="D1031" s="1340" t="s">
        <v>1798</v>
      </c>
      <c r="E1031" s="1340"/>
      <c r="F1031" s="1340"/>
      <c r="G1031" s="3"/>
      <c r="I1031" s="491"/>
    </row>
    <row r="1032" spans="1:9" ht="12.75" customHeight="1">
      <c r="A1032" s="355"/>
      <c r="B1032" s="355"/>
      <c r="C1032" s="355"/>
      <c r="D1032" s="1338" t="s">
        <v>1799</v>
      </c>
      <c r="E1032" s="1338"/>
      <c r="F1032" s="1338"/>
      <c r="G1032" s="3"/>
      <c r="I1032" s="491"/>
    </row>
    <row r="1033" spans="1:9" ht="12.75" customHeight="1">
      <c r="A1033" s="172"/>
      <c r="B1033" s="172"/>
      <c r="C1033" s="172"/>
      <c r="D1033" s="3"/>
      <c r="E1033" s="3"/>
      <c r="F1033" s="3"/>
      <c r="G1033" s="3"/>
      <c r="I1033" s="491"/>
    </row>
    <row r="1034" spans="1:9" ht="12.75" customHeight="1">
      <c r="A1034" s="175"/>
      <c r="B1034" s="175"/>
      <c r="C1034" s="174"/>
      <c r="D1034" s="1340" t="s">
        <v>1813</v>
      </c>
      <c r="E1034" s="1340"/>
      <c r="F1034" s="1340"/>
      <c r="G1034" s="3"/>
      <c r="I1034" s="491"/>
    </row>
    <row r="1035" spans="1:9" ht="12.75" customHeight="1">
      <c r="A1035" s="355"/>
      <c r="B1035" s="486" t="s">
        <v>2730</v>
      </c>
      <c r="C1035" s="355"/>
      <c r="D1035" s="1338" t="s">
        <v>1271</v>
      </c>
      <c r="E1035" s="1338"/>
      <c r="F1035" s="1338"/>
      <c r="G1035" s="3"/>
      <c r="I1035" s="491"/>
    </row>
    <row r="1036" spans="1:9" ht="12.75" customHeight="1">
      <c r="A1036" s="355"/>
      <c r="B1036" s="175"/>
      <c r="C1036" s="355"/>
      <c r="D1036" s="1338" t="s">
        <v>1800</v>
      </c>
      <c r="E1036" s="1338"/>
      <c r="F1036" s="1338"/>
      <c r="G1036" s="3"/>
      <c r="I1036" s="491"/>
    </row>
    <row r="1037" spans="1:9" ht="12.75" customHeight="1">
      <c r="A1037" s="355"/>
      <c r="B1037" s="355"/>
      <c r="C1037" s="355"/>
      <c r="D1037" s="1338"/>
      <c r="E1037" s="1338"/>
      <c r="F1037" s="1338"/>
      <c r="G1037" s="3"/>
      <c r="I1037" s="491"/>
    </row>
    <row r="1038" spans="1:9" ht="12.75" customHeight="1">
      <c r="A1038" s="1324" t="s">
        <v>1809</v>
      </c>
      <c r="B1038" s="1324"/>
      <c r="C1038" s="1324"/>
      <c r="D1038" s="1324"/>
      <c r="E1038" s="1324"/>
      <c r="F1038" s="1324"/>
      <c r="G1038" s="1324"/>
      <c r="H1038" s="1029"/>
      <c r="I1038" s="1155"/>
    </row>
    <row r="1039" spans="1:9" ht="12.75" customHeight="1">
      <c r="A1039" s="118"/>
      <c r="B1039" s="118"/>
      <c r="C1039" s="355"/>
      <c r="D1039" s="3"/>
      <c r="E1039" s="3"/>
      <c r="F1039" s="3"/>
      <c r="G1039" s="3"/>
      <c r="I1039" s="491"/>
    </row>
    <row r="1040" spans="1:9" ht="12.75" hidden="1" customHeight="1">
      <c r="A1040" s="118"/>
      <c r="B1040" s="403"/>
      <c r="D1040" s="1345" t="s">
        <v>1272</v>
      </c>
      <c r="E1040" s="1345"/>
      <c r="F1040" s="1345"/>
      <c r="G1040" s="3"/>
      <c r="I1040" s="491"/>
    </row>
    <row r="1041" spans="1:9" ht="12.75" hidden="1" customHeight="1">
      <c r="A1041" s="118"/>
      <c r="B1041" s="486" t="s">
        <v>306</v>
      </c>
      <c r="D1041" s="1307" t="s">
        <v>1271</v>
      </c>
      <c r="E1041" s="1307"/>
      <c r="F1041" s="1307"/>
      <c r="G1041" s="3"/>
      <c r="I1041" s="491"/>
    </row>
    <row r="1042" spans="1:9" ht="12.75" hidden="1" customHeight="1">
      <c r="A1042" s="118"/>
      <c r="B1042" s="403"/>
      <c r="D1042" s="1307" t="s">
        <v>1810</v>
      </c>
      <c r="E1042" s="1307"/>
      <c r="F1042" s="1307"/>
      <c r="G1042" s="3"/>
      <c r="I1042" s="491"/>
    </row>
    <row r="1043" spans="1:9" ht="12.75" hidden="1" customHeight="1">
      <c r="A1043" s="118"/>
      <c r="B1043" s="403"/>
      <c r="D1043" s="445"/>
      <c r="E1043" s="445"/>
      <c r="F1043" s="445"/>
      <c r="G1043" s="3"/>
      <c r="I1043" s="491"/>
    </row>
    <row r="1044" spans="1:9" ht="12.75" customHeight="1">
      <c r="A1044" s="118"/>
      <c r="B1044" s="118"/>
      <c r="C1044" s="355"/>
      <c r="D1044" s="1346" t="s">
        <v>1066</v>
      </c>
      <c r="E1044" s="1346"/>
      <c r="F1044" s="1346"/>
      <c r="G1044" s="3"/>
      <c r="I1044" s="491"/>
    </row>
    <row r="1045" spans="1:9" ht="12.75" customHeight="1">
      <c r="A1045" s="320"/>
      <c r="B1045" s="320"/>
      <c r="C1045" s="320"/>
      <c r="D1045" s="1316" t="s">
        <v>2251</v>
      </c>
      <c r="E1045" s="1316"/>
      <c r="F1045" s="1316"/>
      <c r="G1045" s="98"/>
      <c r="I1045" s="491"/>
    </row>
    <row r="1046" spans="1:9" ht="12.75" customHeight="1">
      <c r="A1046" s="175"/>
      <c r="B1046" s="486" t="s">
        <v>2731</v>
      </c>
      <c r="C1046" s="355"/>
      <c r="D1046" s="1316" t="s">
        <v>985</v>
      </c>
      <c r="E1046" s="1316"/>
      <c r="F1046" s="131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24" t="s">
        <v>1830</v>
      </c>
      <c r="B1049" s="1324"/>
      <c r="C1049" s="1324"/>
      <c r="D1049" s="1324"/>
      <c r="E1049" s="1324"/>
      <c r="F1049" s="1324"/>
      <c r="G1049" s="132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2731</v>
      </c>
      <c r="C1054" s="403"/>
      <c r="D1054" s="1342" t="s">
        <v>1814</v>
      </c>
      <c r="E1054" s="1342"/>
      <c r="F1054" s="1342"/>
      <c r="I1054" s="491"/>
    </row>
    <row r="1055" spans="1:9">
      <c r="A1055" s="403"/>
      <c r="B1055" s="403"/>
      <c r="C1055" s="403"/>
      <c r="D1055" s="1342"/>
      <c r="E1055" s="1342"/>
      <c r="F1055" s="1342"/>
      <c r="I1055" s="491"/>
    </row>
    <row r="1056" spans="1:9">
      <c r="A1056" s="403"/>
      <c r="B1056" s="403"/>
      <c r="C1056" s="403"/>
      <c r="D1056" s="1342"/>
      <c r="E1056" s="1342"/>
      <c r="F1056" s="1342"/>
      <c r="I1056" s="491"/>
    </row>
    <row r="1057" spans="1:9">
      <c r="A1057" s="403"/>
      <c r="B1057" s="403"/>
      <c r="C1057" s="403"/>
      <c r="D1057" s="1342"/>
      <c r="E1057" s="1342"/>
      <c r="F1057" s="1342"/>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2730</v>
      </c>
      <c r="C1062" s="403"/>
      <c r="D1062" s="403" t="s">
        <v>1812</v>
      </c>
      <c r="I1062" s="491"/>
    </row>
    <row r="1063" spans="1:9">
      <c r="A1063" s="403"/>
      <c r="B1063" s="403"/>
      <c r="C1063" s="403"/>
      <c r="I1063" s="491"/>
    </row>
    <row r="1064" spans="1:9">
      <c r="A1064" s="403"/>
      <c r="B1064" s="486" t="s">
        <v>2731</v>
      </c>
      <c r="C1064" s="403"/>
      <c r="D1064" s="1342" t="s">
        <v>1818</v>
      </c>
      <c r="E1064" s="1342"/>
      <c r="F1064" s="1342"/>
      <c r="I1064" s="491"/>
    </row>
    <row r="1065" spans="1:9">
      <c r="A1065" s="403"/>
      <c r="B1065" s="403"/>
      <c r="C1065" s="403"/>
      <c r="D1065" s="1342"/>
      <c r="E1065" s="1342"/>
      <c r="F1065" s="1342"/>
      <c r="I1065" s="491"/>
    </row>
    <row r="1066" spans="1:9">
      <c r="A1066" s="403"/>
      <c r="B1066" s="403"/>
      <c r="C1066" s="403"/>
      <c r="D1066" s="1342"/>
      <c r="E1066" s="1342"/>
      <c r="F1066" s="1342"/>
      <c r="I1066" s="491"/>
    </row>
    <row r="1067" spans="1:9">
      <c r="A1067" s="403"/>
      <c r="B1067" s="403"/>
      <c r="C1067" s="403"/>
      <c r="D1067" s="1342"/>
      <c r="E1067" s="1342"/>
      <c r="F1067" s="1342"/>
      <c r="I1067" s="491"/>
    </row>
    <row r="1068" spans="1:9">
      <c r="A1068" s="403"/>
      <c r="B1068" s="403"/>
      <c r="C1068" s="403"/>
      <c r="D1068" s="1342"/>
      <c r="E1068" s="1342"/>
      <c r="F1068" s="1342"/>
      <c r="I1068" s="491"/>
    </row>
    <row r="1069" spans="1:9">
      <c r="A1069" s="403"/>
      <c r="B1069" s="403"/>
      <c r="C1069" s="403"/>
      <c r="I1069" s="491"/>
    </row>
    <row r="1070" spans="1:9">
      <c r="A1070" s="1324" t="s">
        <v>1819</v>
      </c>
      <c r="B1070" s="1324"/>
      <c r="C1070" s="1324"/>
      <c r="D1070" s="1324"/>
      <c r="E1070" s="1324"/>
      <c r="F1070" s="1324"/>
      <c r="G1070" s="1324"/>
      <c r="H1070" s="1029"/>
      <c r="I1070" s="1155"/>
    </row>
    <row r="1071" spans="1:9">
      <c r="A1071" s="403"/>
      <c r="B1071" s="403"/>
      <c r="C1071" s="403"/>
      <c r="I1071" s="491"/>
    </row>
    <row r="1072" spans="1:9">
      <c r="A1072" s="403"/>
      <c r="B1072" s="403"/>
      <c r="C1072" s="403"/>
      <c r="I1072" s="491"/>
    </row>
    <row r="1073" spans="1:9">
      <c r="A1073" s="403"/>
      <c r="B1073" s="486" t="s">
        <v>2730</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2731</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2731</v>
      </c>
      <c r="C1079" s="403"/>
      <c r="D1079" s="119" t="s">
        <v>1828</v>
      </c>
      <c r="I1079" s="491"/>
    </row>
    <row r="1080" spans="1:9">
      <c r="A1080" s="403"/>
      <c r="B1080" s="403"/>
      <c r="C1080" s="403"/>
      <c r="D1080" s="1275" t="s">
        <v>1829</v>
      </c>
      <c r="E1080" s="1275"/>
      <c r="F1080" s="1275"/>
      <c r="I1080" s="491"/>
    </row>
    <row r="1081" spans="1:9">
      <c r="A1081" s="403"/>
      <c r="B1081" s="403"/>
      <c r="C1081" s="403"/>
      <c r="D1081" s="1275"/>
      <c r="E1081" s="1275"/>
      <c r="F1081" s="1275"/>
      <c r="I1081" s="491"/>
    </row>
    <row r="1082" spans="1:9">
      <c r="A1082" s="403"/>
      <c r="B1082" s="403"/>
      <c r="C1082" s="403"/>
      <c r="D1082" s="1275"/>
      <c r="E1082" s="1275"/>
      <c r="F1082" s="1275"/>
      <c r="I1082" s="491"/>
    </row>
    <row r="1083" spans="1:9">
      <c r="A1083" s="403"/>
      <c r="B1083" s="403"/>
      <c r="C1083" s="403"/>
      <c r="D1083" s="1275"/>
      <c r="E1083" s="1275"/>
      <c r="F1083" s="1275"/>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2731</v>
      </c>
      <c r="C1087" s="403"/>
      <c r="D1087" s="1341" t="s">
        <v>1821</v>
      </c>
      <c r="E1087" s="1341"/>
      <c r="F1087" s="1341"/>
      <c r="I1087" s="491"/>
    </row>
    <row r="1088" spans="1:9">
      <c r="A1088" s="403"/>
      <c r="B1088" s="403"/>
      <c r="C1088" s="403"/>
      <c r="D1088" s="1341"/>
      <c r="E1088" s="1341"/>
      <c r="F1088" s="1341"/>
      <c r="I1088" s="491"/>
    </row>
    <row r="1089" spans="1:9">
      <c r="A1089" s="403"/>
      <c r="B1089" s="403"/>
      <c r="C1089" s="403"/>
      <c r="D1089" s="1341"/>
      <c r="E1089" s="1341"/>
      <c r="F1089" s="1341"/>
      <c r="I1089" s="491"/>
    </row>
    <row r="1090" spans="1:9">
      <c r="A1090" s="403"/>
      <c r="B1090" s="403"/>
      <c r="C1090" s="403"/>
      <c r="D1090" s="1341"/>
      <c r="E1090" s="1341"/>
      <c r="F1090" s="1341"/>
      <c r="I1090" s="491"/>
    </row>
    <row r="1091" spans="1:9">
      <c r="A1091" s="403"/>
      <c r="B1091" s="403"/>
      <c r="C1091" s="403"/>
      <c r="D1091" s="1341"/>
      <c r="E1091" s="1341"/>
      <c r="F1091" s="1341"/>
      <c r="I1091" s="491"/>
    </row>
    <row r="1092" spans="1:9">
      <c r="A1092" s="403"/>
      <c r="B1092" s="403"/>
      <c r="C1092" s="403"/>
      <c r="D1092" s="528" t="s">
        <v>1826</v>
      </c>
      <c r="I1092" s="491"/>
    </row>
    <row r="1093" spans="1:9">
      <c r="A1093" s="403"/>
      <c r="B1093" s="403"/>
      <c r="C1093" s="403"/>
      <c r="I1093" s="491"/>
    </row>
    <row r="1094" spans="1:9">
      <c r="A1094" s="403"/>
      <c r="B1094" s="486" t="s">
        <v>2731</v>
      </c>
      <c r="C1094" s="403"/>
      <c r="D1094" s="1291" t="s">
        <v>2284</v>
      </c>
      <c r="E1094" s="1291"/>
      <c r="F1094" s="1291"/>
      <c r="I1094" s="491"/>
    </row>
    <row r="1095" spans="1:9">
      <c r="A1095" s="403"/>
      <c r="B1095" s="403"/>
      <c r="C1095" s="403"/>
      <c r="D1095" s="1291"/>
      <c r="E1095" s="1291"/>
      <c r="F1095" s="1291"/>
      <c r="I1095" s="491"/>
    </row>
    <row r="1096" spans="1:9">
      <c r="A1096" s="403"/>
      <c r="B1096" s="403"/>
      <c r="C1096" s="403"/>
      <c r="D1096" s="1291"/>
      <c r="E1096" s="1291"/>
      <c r="F1096" s="1291"/>
      <c r="I1096" s="491"/>
    </row>
    <row r="1097" spans="1:9">
      <c r="A1097" s="403"/>
      <c r="B1097" s="403"/>
      <c r="C1097" s="403"/>
      <c r="I1097" s="491"/>
    </row>
    <row r="1098" spans="1:9">
      <c r="A1098" s="1324" t="s">
        <v>1831</v>
      </c>
      <c r="B1098" s="1324"/>
      <c r="C1098" s="1324"/>
      <c r="D1098" s="1324"/>
      <c r="E1098" s="1324"/>
      <c r="F1098" s="1324"/>
      <c r="G1098" s="1324"/>
      <c r="H1098" s="1029"/>
      <c r="I1098" s="1155"/>
    </row>
    <row r="1099" spans="1:9">
      <c r="A1099" s="403"/>
      <c r="B1099" s="403"/>
      <c r="C1099" s="403"/>
      <c r="I1099" s="491"/>
    </row>
    <row r="1100" spans="1:9">
      <c r="A1100" s="403"/>
      <c r="B1100" s="403"/>
      <c r="C1100" s="403"/>
      <c r="I1100" s="491"/>
    </row>
    <row r="1101" spans="1:9" ht="12.75" customHeight="1">
      <c r="A1101" s="403"/>
      <c r="B1101" s="486" t="s">
        <v>2731</v>
      </c>
      <c r="C1101" s="403"/>
      <c r="D1101" s="1343" t="s">
        <v>1930</v>
      </c>
      <c r="E1101" s="1343"/>
      <c r="F1101" s="1343"/>
      <c r="I1101" s="491"/>
    </row>
    <row r="1102" spans="1:9">
      <c r="A1102" s="403"/>
      <c r="B1102" s="403"/>
      <c r="C1102" s="403"/>
      <c r="D1102" s="1343"/>
      <c r="E1102" s="1343"/>
      <c r="F1102" s="1343"/>
      <c r="I1102" s="491"/>
    </row>
    <row r="1103" spans="1:9">
      <c r="A1103" s="403"/>
      <c r="B1103" s="403"/>
      <c r="C1103" s="403"/>
      <c r="D1103" s="1344" t="s">
        <v>2145</v>
      </c>
      <c r="E1103" s="1275"/>
      <c r="F1103" s="1275"/>
      <c r="I1103" s="491"/>
    </row>
    <row r="1104" spans="1:9">
      <c r="A1104" s="403"/>
      <c r="B1104" s="403"/>
      <c r="C1104" s="403"/>
      <c r="D1104" s="528"/>
      <c r="I1104" s="491"/>
    </row>
    <row r="1105" spans="1:9">
      <c r="A1105" s="403"/>
      <c r="B1105" s="486" t="s">
        <v>2731</v>
      </c>
      <c r="C1105" s="403"/>
      <c r="D1105" s="1341" t="s">
        <v>1832</v>
      </c>
      <c r="E1105" s="1341"/>
      <c r="F1105" s="1341"/>
      <c r="I1105" s="491"/>
    </row>
    <row r="1106" spans="1:9">
      <c r="A1106" s="403"/>
      <c r="B1106" s="403"/>
      <c r="C1106" s="403"/>
      <c r="D1106" s="1341"/>
      <c r="E1106" s="1341"/>
      <c r="F1106" s="1341"/>
      <c r="I1106" s="491"/>
    </row>
    <row r="1107" spans="1:9">
      <c r="A1107" s="403"/>
      <c r="B1107" s="403"/>
      <c r="C1107" s="403"/>
      <c r="D1107" s="528"/>
      <c r="I1107" s="491"/>
    </row>
    <row r="1108" spans="1:9">
      <c r="A1108" s="403"/>
      <c r="B1108" s="486" t="s">
        <v>2731</v>
      </c>
      <c r="C1108" s="403"/>
      <c r="D1108" s="1341" t="s">
        <v>1888</v>
      </c>
      <c r="E1108" s="1341"/>
      <c r="F1108" s="1341"/>
      <c r="I1108" s="491"/>
    </row>
    <row r="1109" spans="1:9">
      <c r="A1109" s="403"/>
      <c r="B1109" s="403"/>
      <c r="C1109" s="403"/>
      <c r="D1109" s="1341"/>
      <c r="E1109" s="1341"/>
      <c r="F1109" s="1341"/>
      <c r="I1109" s="491"/>
    </row>
    <row r="1110" spans="1:9">
      <c r="A1110" s="403"/>
      <c r="B1110" s="403"/>
      <c r="C1110" s="403"/>
      <c r="D1110" s="1341"/>
      <c r="E1110" s="1341"/>
      <c r="F1110" s="1341"/>
      <c r="I1110" s="491"/>
    </row>
    <row r="1111" spans="1:9">
      <c r="A1111" s="403"/>
      <c r="B1111" s="403"/>
      <c r="C1111" s="403"/>
      <c r="D1111" s="1341"/>
      <c r="E1111" s="1341"/>
      <c r="F1111" s="1341"/>
      <c r="I1111" s="491"/>
    </row>
    <row r="1112" spans="1:9">
      <c r="A1112" s="403"/>
      <c r="B1112" s="403"/>
      <c r="C1112" s="403"/>
      <c r="D1112" s="1341"/>
      <c r="E1112" s="1341"/>
      <c r="F1112" s="1341"/>
      <c r="I1112" s="491"/>
    </row>
    <row r="1113" spans="1:9">
      <c r="A1113" s="403"/>
      <c r="B1113" s="403"/>
      <c r="C1113" s="403"/>
      <c r="D1113" s="1341"/>
      <c r="E1113" s="1341"/>
      <c r="F1113" s="1341"/>
      <c r="I1113" s="491"/>
    </row>
    <row r="1114" spans="1:9">
      <c r="A1114" s="403"/>
      <c r="B1114" s="403"/>
      <c r="C1114" s="403"/>
      <c r="D1114" s="528"/>
      <c r="I1114" s="481"/>
    </row>
    <row r="1115" spans="1:9">
      <c r="A1115" s="403"/>
      <c r="B1115" s="486" t="s">
        <v>2731</v>
      </c>
      <c r="C1115" s="403"/>
      <c r="D1115" s="1341" t="s">
        <v>1833</v>
      </c>
      <c r="E1115" s="1341"/>
      <c r="F1115" s="1341"/>
      <c r="I1115" s="491"/>
    </row>
    <row r="1116" spans="1:9">
      <c r="A1116" s="403"/>
      <c r="B1116" s="403"/>
      <c r="C1116" s="403"/>
      <c r="D1116" s="1341"/>
      <c r="E1116" s="1341"/>
      <c r="F1116" s="1341"/>
      <c r="I1116" s="491"/>
    </row>
    <row r="1117" spans="1:9">
      <c r="A1117" s="403"/>
      <c r="B1117" s="403"/>
      <c r="C1117" s="403"/>
      <c r="D1117" s="1341"/>
      <c r="E1117" s="1341"/>
      <c r="F1117" s="1341"/>
      <c r="I1117" s="491"/>
    </row>
    <row r="1118" spans="1:9">
      <c r="A1118" s="403"/>
      <c r="B1118" s="403"/>
      <c r="C1118" s="403"/>
      <c r="D1118" s="528"/>
      <c r="I1118" s="491"/>
    </row>
    <row r="1119" spans="1:9">
      <c r="A1119" s="403"/>
      <c r="B1119" s="486" t="s">
        <v>2730</v>
      </c>
      <c r="C1119" s="403"/>
      <c r="D1119" s="1281" t="s">
        <v>1889</v>
      </c>
      <c r="E1119" s="1281"/>
      <c r="F1119" s="1281"/>
      <c r="I1119" s="491"/>
    </row>
    <row r="1120" spans="1:9">
      <c r="A1120" s="403"/>
      <c r="B1120" s="403"/>
      <c r="C1120" s="403"/>
      <c r="D1120" s="1281"/>
      <c r="E1120" s="1281"/>
      <c r="F1120" s="1281"/>
      <c r="I1120" s="491"/>
    </row>
    <row r="1121" spans="1:9">
      <c r="A1121" s="403"/>
      <c r="B1121" s="403"/>
      <c r="C1121" s="403"/>
      <c r="D1121" s="1281"/>
      <c r="E1121" s="1281"/>
      <c r="F1121" s="1281"/>
      <c r="I1121" s="491"/>
    </row>
    <row r="1122" spans="1:9">
      <c r="A1122" s="403"/>
      <c r="B1122" s="403"/>
      <c r="C1122" s="403"/>
      <c r="D1122" s="981"/>
      <c r="E1122" s="981"/>
      <c r="F1122" s="981"/>
      <c r="I1122" s="491"/>
    </row>
    <row r="1123" spans="1:9" ht="15.75" customHeight="1">
      <c r="A1123" s="403"/>
      <c r="B1123" s="486" t="s">
        <v>2731</v>
      </c>
      <c r="C1123" s="403"/>
      <c r="D1123" s="1275" t="s">
        <v>1890</v>
      </c>
      <c r="E1123" s="1275"/>
      <c r="F1123" s="1275"/>
      <c r="I1123" s="491"/>
    </row>
    <row r="1124" spans="1:9">
      <c r="A1124" s="403"/>
      <c r="B1124" s="403"/>
      <c r="C1124" s="403"/>
      <c r="D1124" s="1275"/>
      <c r="E1124" s="1275"/>
      <c r="F1124" s="1275"/>
      <c r="I1124" s="491"/>
    </row>
    <row r="1125" spans="1:9">
      <c r="A1125" s="403"/>
      <c r="B1125" s="403"/>
      <c r="C1125" s="403"/>
      <c r="D1125" s="1275"/>
      <c r="E1125" s="1275"/>
      <c r="F1125" s="1275"/>
      <c r="I1125" s="491"/>
    </row>
    <row r="1126" spans="1:9">
      <c r="A1126" s="403"/>
      <c r="B1126" s="403"/>
      <c r="C1126" s="403"/>
      <c r="D1126" s="1275"/>
      <c r="E1126" s="1275"/>
      <c r="F1126" s="1275"/>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6"/>
      <c r="H1541" s="1306"/>
      <c r="I1541" s="130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topLeftCell="E819" workbookViewId="0">
      <selection activeCell="GL740" sqref="GL740"/>
    </sheetView>
  </sheetViews>
  <sheetFormatPr defaultColWidth="3.7109375" defaultRowHeight="0" customHeight="1" zeroHeight="1"/>
  <cols>
    <col min="1" max="47" width="2.7109375" customWidth="1"/>
    <col min="48" max="50" width="3.7109375" customWidth="1"/>
    <col min="51" max="51" width="4.7109375"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85" width="3.7109375" hidden="1" customWidth="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2599</v>
      </c>
      <c r="BE3" t="str">
        <f>AC220</f>
        <v>Bay Area ((Alameda, Contra Costa, Marin, San Francisco, San Mateo, Santa Clara, and Santa Cruz Counties)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39</v>
      </c>
    </row>
    <row r="8" spans="1:58"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899"/>
      <c r="AV8" s="899"/>
      <c r="AW8" s="899"/>
      <c r="AX8" s="899"/>
      <c r="AY8" s="899"/>
      <c r="BD8" s="3" t="s">
        <v>2513</v>
      </c>
      <c r="BE8" s="1253">
        <f>SUMIF($AC$718:$AC$752,"&lt;=35%",$G$718:G$752)-SUM($BE$5:BE7)</f>
        <v>0</v>
      </c>
    </row>
    <row r="9" spans="1:58" ht="12.95" customHeight="1">
      <c r="A9" s="1843" t="s">
        <v>2078</v>
      </c>
      <c r="B9" s="1843"/>
      <c r="C9" s="1843"/>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3"/>
      <c r="AV9" s="13"/>
      <c r="AW9" s="13"/>
      <c r="AX9" s="13"/>
      <c r="AY9" s="13"/>
      <c r="BD9" s="1252" t="s">
        <v>2505</v>
      </c>
      <c r="BE9" s="1253">
        <f>SUMIF($AC$718:$AC$752,"&lt;=40%",$G$718:G$752)-SUM($BE$5:BE8)</f>
        <v>0</v>
      </c>
    </row>
    <row r="10" spans="1:58" ht="12.95" customHeight="1">
      <c r="A10" s="1843" t="s">
        <v>2462</v>
      </c>
      <c r="B10" s="1843"/>
      <c r="C10" s="1843"/>
      <c r="D10" s="1843"/>
      <c r="E10" s="1843"/>
      <c r="F10" s="1843"/>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c r="AT10" s="1843"/>
      <c r="AU10" s="13"/>
      <c r="AV10" s="13"/>
      <c r="AW10" s="13"/>
      <c r="AX10" s="13"/>
      <c r="AY10" s="13"/>
      <c r="BD10" s="3" t="s">
        <v>2514</v>
      </c>
      <c r="BE10" s="1253">
        <f>SUMIF($AC$718:$AC$752,"&lt;=45%",$G$718:G$752)-SUM($BE$5:BE9)</f>
        <v>0</v>
      </c>
    </row>
    <row r="11" spans="1:58" ht="12.95" customHeight="1">
      <c r="A11" s="1843" t="s">
        <v>2609</v>
      </c>
      <c r="B11" s="1843"/>
      <c r="C11" s="1843"/>
      <c r="D11" s="1843"/>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c r="AT11" s="1843"/>
      <c r="AU11" s="13"/>
      <c r="AV11" s="13"/>
      <c r="AW11" s="13"/>
      <c r="AX11" s="13"/>
      <c r="AY11" s="13"/>
      <c r="BD11" s="1251" t="s">
        <v>2506</v>
      </c>
      <c r="BE11" s="1253">
        <f>SUMIF($AC$718:$AC$752,"&lt;=50%",$G$718:G$752)-SUM($BE$5:BE10)</f>
        <v>57</v>
      </c>
    </row>
    <row r="12" spans="1:58" ht="12.95" customHeight="1">
      <c r="A12" s="1844" t="s">
        <v>2598</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c r="BD12" s="3" t="s">
        <v>2515</v>
      </c>
      <c r="BE12" s="1253">
        <f>SUMIF($AC$718:$AC$752,"&lt;=55%",$G$718:G$752)-SUM($BE$5:BE11)</f>
        <v>0</v>
      </c>
    </row>
    <row r="13" spans="1:58" ht="12.95" customHeight="1">
      <c r="A13" s="1285" t="s">
        <v>2079</v>
      </c>
      <c r="B13" s="1285"/>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1285"/>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900"/>
      <c r="AV13" s="900"/>
      <c r="AW13" s="900"/>
      <c r="AX13" s="900"/>
      <c r="AY13" s="900"/>
      <c r="BD13" s="1252" t="s">
        <v>2507</v>
      </c>
      <c r="BE13" s="1253">
        <f>SUMIF($AC$718:$AC$752,"&lt;=60%",$G$718:G$752)-SUM($BE$5:BE12)</f>
        <v>0</v>
      </c>
    </row>
    <row r="14" spans="1:58" ht="12.95" customHeight="1">
      <c r="A14" s="1285"/>
      <c r="B14" s="1285"/>
      <c r="C14" s="1285"/>
      <c r="D14" s="1285"/>
      <c r="E14" s="1285"/>
      <c r="F14" s="1285"/>
      <c r="G14" s="1285"/>
      <c r="H14" s="1285"/>
      <c r="I14" s="1285"/>
      <c r="J14" s="1285"/>
      <c r="K14" s="1285"/>
      <c r="L14" s="1285"/>
      <c r="M14" s="1285"/>
      <c r="N14" s="1285"/>
      <c r="O14" s="1285"/>
      <c r="P14" s="1285"/>
      <c r="Q14" s="1285"/>
      <c r="R14" s="1285"/>
      <c r="S14" s="1285"/>
      <c r="T14" s="1285"/>
      <c r="U14" s="1285"/>
      <c r="V14" s="1285"/>
      <c r="W14" s="1285"/>
      <c r="X14" s="1285"/>
      <c r="Y14" s="1285"/>
      <c r="Z14" s="1285"/>
      <c r="AA14" s="1285"/>
      <c r="AB14" s="1285"/>
      <c r="AC14" s="1285"/>
      <c r="AD14" s="1285"/>
      <c r="AE14" s="1285"/>
      <c r="AF14" s="1285"/>
      <c r="AG14" s="1285"/>
      <c r="AH14" s="1285"/>
      <c r="AI14" s="1285"/>
      <c r="AJ14" s="1285"/>
      <c r="AK14" s="1285"/>
      <c r="AL14" s="1285"/>
      <c r="AM14" s="1285"/>
      <c r="AN14" s="1285"/>
      <c r="AO14" s="1285"/>
      <c r="AP14" s="1285"/>
      <c r="AQ14" s="1285"/>
      <c r="AR14" s="1285"/>
      <c r="AS14" s="1285"/>
      <c r="AT14" s="1285"/>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583" t="s">
        <v>2706</v>
      </c>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BD16" s="1252" t="s">
        <v>656</v>
      </c>
      <c r="BE16" s="1253" t="str">
        <f>Application!H18</f>
        <v>The Eliza</v>
      </c>
    </row>
    <row r="17" spans="1:58" ht="12.95" customHeight="1">
      <c r="BD17" s="1251" t="s">
        <v>2522</v>
      </c>
      <c r="BE17" s="1253">
        <f>Application!AA934</f>
        <v>0</v>
      </c>
    </row>
    <row r="18" spans="1:58" ht="12.95" customHeight="1">
      <c r="A18" s="57" t="s">
        <v>101</v>
      </c>
      <c r="C18" s="4"/>
      <c r="D18" s="4"/>
      <c r="E18" s="4"/>
      <c r="F18" s="4"/>
      <c r="G18" s="4"/>
      <c r="H18" s="1476" t="s">
        <v>2610</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BD18" s="1252" t="s">
        <v>2523</v>
      </c>
      <c r="BE18" s="1253">
        <f>'CalHFA Addendum'!N11</f>
        <v>0</v>
      </c>
    </row>
    <row r="19" spans="1:58" ht="12.95" customHeight="1">
      <c r="BD19" s="1251" t="s">
        <v>2524</v>
      </c>
      <c r="BE19" s="1253">
        <f>Application!M26</f>
        <v>4013946</v>
      </c>
    </row>
    <row r="20" spans="1:58" ht="12.95" customHeight="1">
      <c r="A20" s="1845" t="s">
        <v>873</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01"/>
      <c r="AV20" s="901"/>
      <c r="AW20" s="901"/>
      <c r="AX20" s="901"/>
      <c r="AY20" s="901"/>
      <c r="BD20" s="1252" t="s">
        <v>2525</v>
      </c>
      <c r="BE20" s="1253">
        <f>Application!M27</f>
        <v>0</v>
      </c>
    </row>
    <row r="21" spans="1:58" ht="12.95" customHeight="1">
      <c r="A21" s="1848" t="s">
        <v>1009</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02"/>
      <c r="AN21" s="902"/>
      <c r="AO21" s="902"/>
      <c r="AP21" s="902"/>
      <c r="AQ21" s="902"/>
      <c r="AR21" s="902"/>
      <c r="AS21" s="902"/>
      <c r="AT21" s="902"/>
      <c r="AU21" s="902"/>
      <c r="AV21" s="902"/>
      <c r="AW21" s="902"/>
      <c r="AX21" s="902"/>
      <c r="AY21" s="902"/>
      <c r="BD21" s="1251" t="s">
        <v>2526</v>
      </c>
      <c r="BE21" s="1253">
        <f>Application!AM554</f>
        <v>43010702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86046463</v>
      </c>
      <c r="BF22" s="3" t="s">
        <v>2600</v>
      </c>
    </row>
    <row r="23" spans="1:58" ht="12.95" customHeight="1">
      <c r="A23" s="1343" t="s">
        <v>2148</v>
      </c>
      <c r="B23" s="1343"/>
      <c r="C23" s="1343"/>
      <c r="D23" s="1343"/>
      <c r="E23" s="1343"/>
      <c r="F23" s="1343"/>
      <c r="G23" s="1343"/>
      <c r="H23" s="1343"/>
      <c r="I23" s="1343"/>
      <c r="J23" s="1343"/>
      <c r="K23" s="1343"/>
      <c r="L23" s="1343"/>
      <c r="M23" s="1343"/>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c r="AT23" s="1343"/>
      <c r="AU23" s="18"/>
      <c r="AV23" s="18"/>
      <c r="AW23" s="18"/>
      <c r="AX23" s="18"/>
      <c r="AY23" s="18"/>
      <c r="AZ23" s="18"/>
      <c r="BD23" s="1251" t="s">
        <v>2527</v>
      </c>
      <c r="BE23" s="1253">
        <f>'Sources and Uses Budget'!B4</f>
        <v>2000000</v>
      </c>
    </row>
    <row r="24" spans="1:58" ht="12.95" customHeight="1">
      <c r="A24" s="1343"/>
      <c r="B24" s="1343"/>
      <c r="C24" s="1343"/>
      <c r="D24" s="1343"/>
      <c r="E24" s="1343"/>
      <c r="F24" s="1343"/>
      <c r="G24" s="1343"/>
      <c r="H24" s="1343"/>
      <c r="I24" s="1343"/>
      <c r="J24" s="1343"/>
      <c r="K24" s="1343"/>
      <c r="L24" s="1343"/>
      <c r="M24" s="1343"/>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c r="AL24" s="1343"/>
      <c r="AM24" s="1343"/>
      <c r="AN24" s="1343"/>
      <c r="AO24" s="1343"/>
      <c r="AP24" s="1343"/>
      <c r="AQ24" s="1343"/>
      <c r="AR24" s="1343"/>
      <c r="AS24" s="1343"/>
      <c r="AT24" s="1343"/>
      <c r="AU24" s="18"/>
      <c r="AV24" s="18"/>
      <c r="AW24" s="18"/>
      <c r="AX24" s="18"/>
      <c r="AY24" s="18"/>
      <c r="AZ24" s="18"/>
      <c r="BD24" s="1252" t="s">
        <v>2528</v>
      </c>
      <c r="BE24" s="1253">
        <f>Application!AG450</f>
        <v>47724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847">
        <f>'Basis &amp; Credits'!AB56</f>
        <v>4013946</v>
      </c>
      <c r="N26" s="1847"/>
      <c r="O26" s="1847"/>
      <c r="P26" s="1847"/>
      <c r="Q26" s="1847"/>
      <c r="R26" s="4" t="s">
        <v>759</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74">
        <f>'Basis &amp; Credits'!AB78</f>
        <v>0</v>
      </c>
      <c r="N27" s="1374"/>
      <c r="O27" s="1374"/>
      <c r="P27" s="1374"/>
      <c r="Q27" s="1374"/>
      <c r="R27" s="3" t="s">
        <v>1267</v>
      </c>
      <c r="S27" s="4"/>
      <c r="T27" s="4"/>
      <c r="U27" s="4"/>
      <c r="V27" s="4"/>
      <c r="W27" s="4"/>
      <c r="X27" s="4"/>
      <c r="Y27" s="4"/>
      <c r="Z27" s="4"/>
      <c r="AF27" s="4"/>
      <c r="AG27" s="4"/>
      <c r="AH27" s="4"/>
      <c r="AI27" s="4"/>
      <c r="AJ27" s="4"/>
      <c r="AK27" s="4"/>
      <c r="BD27" s="1251" t="s">
        <v>2100</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557" t="s">
        <v>2149</v>
      </c>
      <c r="B29" s="1557"/>
      <c r="C29" s="1557"/>
      <c r="D29" s="1557"/>
      <c r="E29" s="1557"/>
      <c r="F29" s="1557"/>
      <c r="G29" s="1557"/>
      <c r="H29" s="1557"/>
      <c r="I29" s="1557"/>
      <c r="J29" s="1557"/>
      <c r="K29" s="1557"/>
      <c r="L29" s="1557"/>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1557"/>
      <c r="AM29" s="1557"/>
      <c r="AN29" s="1557"/>
      <c r="AO29" s="1557"/>
      <c r="AP29" s="1557"/>
      <c r="AQ29" s="1557"/>
      <c r="AR29" s="1557"/>
      <c r="AS29" s="1557"/>
      <c r="AT29" s="1557"/>
      <c r="BD29" s="1251" t="s">
        <v>2531</v>
      </c>
      <c r="BE29" s="1253" t="b">
        <f>Application!M358="Yes"</f>
        <v>0</v>
      </c>
    </row>
    <row r="30" spans="1:58" ht="12.95" customHeight="1">
      <c r="A30" s="1557"/>
      <c r="B30" s="1557"/>
      <c r="C30" s="1557"/>
      <c r="D30" s="1557"/>
      <c r="E30" s="1557"/>
      <c r="F30" s="1557"/>
      <c r="G30" s="1557"/>
      <c r="H30" s="1557"/>
      <c r="I30" s="1557"/>
      <c r="J30" s="1557"/>
      <c r="K30" s="1557"/>
      <c r="L30" s="1557"/>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c r="AN30" s="1557"/>
      <c r="AO30" s="1557"/>
      <c r="AP30" s="1557"/>
      <c r="AQ30" s="1557"/>
      <c r="AR30" s="1557"/>
      <c r="AS30" s="1557"/>
      <c r="AT30" s="1557"/>
      <c r="AZ30" s="20"/>
      <c r="BD30" s="1252" t="s">
        <v>28</v>
      </c>
      <c r="BE30" s="1253" t="b">
        <f>Application!AJ355="Yes"</f>
        <v>0</v>
      </c>
    </row>
    <row r="31" spans="1:58" ht="12.95" customHeight="1">
      <c r="A31" s="1557"/>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1557"/>
      <c r="AO31" s="1557"/>
      <c r="AP31" s="1557"/>
      <c r="AQ31" s="1557"/>
      <c r="AR31" s="1557"/>
      <c r="AS31" s="1557"/>
      <c r="AT31" s="1557"/>
      <c r="AU31" s="20"/>
      <c r="AV31" s="20"/>
      <c r="AW31" s="20"/>
      <c r="AX31" s="20"/>
      <c r="AY31" s="20"/>
      <c r="AZ31" s="20"/>
      <c r="BD31" s="1251" t="s">
        <v>2532</v>
      </c>
      <c r="BE31" s="125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20</v>
      </c>
    </row>
    <row r="33" spans="1:57" ht="12.95" customHeight="1">
      <c r="A33" s="520" t="s">
        <v>1278</v>
      </c>
      <c r="C33" s="520"/>
      <c r="D33" s="520"/>
      <c r="E33" s="520"/>
      <c r="F33" s="520"/>
      <c r="G33" s="520"/>
      <c r="H33" s="520"/>
      <c r="I33" s="520"/>
      <c r="J33" s="520"/>
      <c r="K33" s="520"/>
      <c r="L33" s="520"/>
      <c r="M33" s="520"/>
      <c r="N33" s="520"/>
      <c r="O33" s="1398" t="s">
        <v>669</v>
      </c>
      <c r="P33" s="1398"/>
      <c r="Q33" s="1846" t="s">
        <v>2150</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c r="BD33" s="1251" t="s">
        <v>2601</v>
      </c>
      <c r="BE33" s="1253" t="str">
        <f>Application!D220</f>
        <v>East Bay Region: Alameda and Contra Costa Counties</v>
      </c>
    </row>
    <row r="34" spans="1:57" ht="12.95" customHeight="1">
      <c r="A34" s="1557" t="s">
        <v>2151</v>
      </c>
      <c r="B34" s="1557"/>
      <c r="C34" s="1557"/>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c r="AI34" s="1557"/>
      <c r="AJ34" s="1557"/>
      <c r="AK34" s="1557"/>
      <c r="AL34" s="1557"/>
      <c r="AM34" s="1557"/>
      <c r="AN34" s="1557"/>
      <c r="AO34" s="1557"/>
      <c r="AP34" s="1557"/>
      <c r="AQ34" s="1557"/>
      <c r="AR34" s="1557"/>
      <c r="AS34" s="1557"/>
      <c r="AT34" s="1557"/>
      <c r="AU34" s="20"/>
      <c r="AV34" s="20"/>
      <c r="AW34" s="20"/>
      <c r="AX34" s="20"/>
      <c r="AY34" s="20"/>
      <c r="AZ34" s="20"/>
      <c r="BD34" s="1252" t="s">
        <v>2534</v>
      </c>
      <c r="BE34" s="1253" t="str">
        <f>Application!I185</f>
        <v>2125 Telegraph Avenue</v>
      </c>
    </row>
    <row r="35" spans="1:57" ht="12.95" customHeight="1">
      <c r="A35" s="1557"/>
      <c r="B35" s="1557"/>
      <c r="C35" s="1557"/>
      <c r="D35" s="1557"/>
      <c r="E35" s="1557"/>
      <c r="F35" s="1557"/>
      <c r="G35" s="1557"/>
      <c r="H35" s="1557"/>
      <c r="I35" s="1557"/>
      <c r="J35" s="1557"/>
      <c r="K35" s="1557"/>
      <c r="L35" s="1557"/>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c r="AI35" s="1557"/>
      <c r="AJ35" s="1557"/>
      <c r="AK35" s="1557"/>
      <c r="AL35" s="1557"/>
      <c r="AM35" s="1557"/>
      <c r="AN35" s="1557"/>
      <c r="AO35" s="1557"/>
      <c r="AP35" s="1557"/>
      <c r="AQ35" s="1557"/>
      <c r="AR35" s="1557"/>
      <c r="AS35" s="1557"/>
      <c r="AT35" s="1557"/>
      <c r="AU35" s="20"/>
      <c r="AV35" s="20"/>
      <c r="AW35" s="20"/>
      <c r="AX35" s="20"/>
      <c r="AY35" s="20"/>
      <c r="AZ35" s="20"/>
      <c r="BD35" s="1251" t="s">
        <v>2535</v>
      </c>
      <c r="BE35" s="1253" t="str">
        <f>IF(Application!E187="","",Application!E187)</f>
        <v/>
      </c>
    </row>
    <row r="36" spans="1:57" ht="12.95" customHeight="1">
      <c r="A36" s="1557"/>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557"/>
      <c r="AM36" s="1557"/>
      <c r="AN36" s="1557"/>
      <c r="AO36" s="1557"/>
      <c r="AP36" s="1557"/>
      <c r="AQ36" s="1557"/>
      <c r="AR36" s="1557"/>
      <c r="AS36" s="1557"/>
      <c r="AT36" s="1557"/>
      <c r="AU36" s="20"/>
      <c r="AV36" s="20"/>
      <c r="AW36" s="20"/>
      <c r="AX36" s="20"/>
      <c r="AY36" s="20"/>
      <c r="AZ36" s="20"/>
      <c r="BD36" s="1252" t="s">
        <v>2536</v>
      </c>
      <c r="BE36" s="1253" t="str">
        <f>Application!I189</f>
        <v>Oakland</v>
      </c>
    </row>
    <row r="37" spans="1:57" ht="12.95" customHeight="1">
      <c r="A37" s="1557"/>
      <c r="B37" s="1557"/>
      <c r="C37" s="1557"/>
      <c r="D37" s="1557"/>
      <c r="E37" s="1557"/>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557"/>
      <c r="AM37" s="1557"/>
      <c r="AN37" s="1557"/>
      <c r="AO37" s="1557"/>
      <c r="AP37" s="1557"/>
      <c r="AQ37" s="1557"/>
      <c r="AR37" s="1557"/>
      <c r="AS37" s="1557"/>
      <c r="AT37" s="1557"/>
      <c r="AZ37" s="20"/>
      <c r="BD37" s="1251" t="s">
        <v>2537</v>
      </c>
      <c r="BE37" s="1253" t="str">
        <f>Application!T189</f>
        <v>Alameda</v>
      </c>
    </row>
    <row r="38" spans="1:57" ht="12.95" customHeight="1">
      <c r="A38" s="3"/>
      <c r="AZ38" s="20"/>
      <c r="BD38" s="1252" t="s">
        <v>2538</v>
      </c>
      <c r="BE38" s="1253">
        <f>Application!I190</f>
        <v>94612</v>
      </c>
    </row>
    <row r="39" spans="1:57" ht="12.95" customHeight="1">
      <c r="A39" s="1275" t="s">
        <v>2152</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c r="BD39" s="1251" t="s">
        <v>2539</v>
      </c>
      <c r="BE39" s="1253">
        <f>Application!AG437</f>
        <v>97</v>
      </c>
    </row>
    <row r="40" spans="1:57" ht="12.9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c r="BD40" s="1252" t="s">
        <v>383</v>
      </c>
      <c r="BE40" s="1253">
        <f>Application!AG440</f>
        <v>96</v>
      </c>
    </row>
    <row r="41" spans="1:57" ht="12.95"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c r="BD41" s="1251" t="s">
        <v>286</v>
      </c>
      <c r="BE41" s="1253">
        <f>Application!AG438</f>
        <v>0</v>
      </c>
    </row>
    <row r="42" spans="1:57" ht="12.9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c r="BD42" s="1252" t="s">
        <v>2540</v>
      </c>
      <c r="BE42" s="1255">
        <f>Application!AC753</f>
        <v>0.41875000000000001</v>
      </c>
    </row>
    <row r="43" spans="1:57" ht="12.95"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c r="BD43" s="1251" t="s">
        <v>2541</v>
      </c>
      <c r="BE43" s="1255">
        <f>Application!AH753</f>
        <v>0.13729809104258445</v>
      </c>
    </row>
    <row r="44" spans="1:57" ht="12.95"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c r="BD44" s="1252" t="s">
        <v>2542</v>
      </c>
      <c r="BE44" s="1253">
        <f>Application!AC454</f>
        <v>887076.93814432994</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2.95" customHeight="1">
      <c r="A46" s="1343" t="s">
        <v>2153</v>
      </c>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c r="AD46" s="1343"/>
      <c r="AE46" s="1343"/>
      <c r="AF46" s="1343"/>
      <c r="AG46" s="1343"/>
      <c r="AH46" s="1343"/>
      <c r="AI46" s="1343"/>
      <c r="AJ46" s="1343"/>
      <c r="AK46" s="1343"/>
      <c r="AL46" s="1343"/>
      <c r="AM46" s="1343"/>
      <c r="AN46" s="1343"/>
      <c r="AO46" s="1343"/>
      <c r="AP46" s="1343"/>
      <c r="AQ46" s="1343"/>
      <c r="AR46" s="1343"/>
      <c r="AS46" s="1343"/>
      <c r="AT46" s="1343"/>
      <c r="AU46" s="20"/>
      <c r="AV46" s="20"/>
      <c r="AW46" s="20"/>
      <c r="AX46" s="20"/>
      <c r="AY46" s="20"/>
      <c r="AZ46" s="20"/>
      <c r="BD46" s="1252" t="s">
        <v>2544</v>
      </c>
      <c r="BE46" s="1253" t="b">
        <f>Application!T195="Yes"</f>
        <v>0</v>
      </c>
    </row>
    <row r="47" spans="1:57" ht="12.95" customHeight="1">
      <c r="A47" s="1343"/>
      <c r="B47" s="1343"/>
      <c r="C47" s="1343"/>
      <c r="D47" s="1343"/>
      <c r="E47" s="1343"/>
      <c r="F47" s="1343"/>
      <c r="G47" s="1343"/>
      <c r="H47" s="1343"/>
      <c r="I47" s="1343"/>
      <c r="J47" s="1343"/>
      <c r="K47" s="1343"/>
      <c r="L47" s="1343"/>
      <c r="M47" s="1343"/>
      <c r="N47" s="1343"/>
      <c r="O47" s="1343"/>
      <c r="P47" s="1343"/>
      <c r="Q47" s="1343"/>
      <c r="R47" s="1343"/>
      <c r="S47" s="1343"/>
      <c r="T47" s="1343"/>
      <c r="U47" s="1343"/>
      <c r="V47" s="1343"/>
      <c r="W47" s="1343"/>
      <c r="X47" s="1343"/>
      <c r="Y47" s="1343"/>
      <c r="Z47" s="1343"/>
      <c r="AA47" s="1343"/>
      <c r="AB47" s="1343"/>
      <c r="AC47" s="1343"/>
      <c r="AD47" s="1343"/>
      <c r="AE47" s="1343"/>
      <c r="AF47" s="1343"/>
      <c r="AG47" s="1343"/>
      <c r="AH47" s="1343"/>
      <c r="AI47" s="1343"/>
      <c r="AJ47" s="1343"/>
      <c r="AK47" s="1343"/>
      <c r="AL47" s="1343"/>
      <c r="AM47" s="1343"/>
      <c r="AN47" s="1343"/>
      <c r="AO47" s="1343"/>
      <c r="AP47" s="1343"/>
      <c r="AQ47" s="1343"/>
      <c r="AR47" s="1343"/>
      <c r="AS47" s="1343"/>
      <c r="AT47" s="1343"/>
      <c r="AU47" s="20"/>
      <c r="AV47" s="20"/>
      <c r="AW47" s="20"/>
      <c r="AX47" s="20"/>
      <c r="AY47" s="20"/>
      <c r="AZ47" s="20"/>
      <c r="BD47" s="1251" t="s">
        <v>2545</v>
      </c>
      <c r="BE47" s="1253" t="b">
        <f>Application!T196="Yes"</f>
        <v>1</v>
      </c>
    </row>
    <row r="48" spans="1:57" ht="12.95" customHeight="1">
      <c r="A48" s="1343"/>
      <c r="B48" s="1343"/>
      <c r="C48" s="1343"/>
      <c r="D48" s="1343"/>
      <c r="E48" s="1343"/>
      <c r="F48" s="1343"/>
      <c r="G48" s="1343"/>
      <c r="H48" s="1343"/>
      <c r="I48" s="1343"/>
      <c r="J48" s="1343"/>
      <c r="K48" s="1343"/>
      <c r="L48" s="1343"/>
      <c r="M48" s="1343"/>
      <c r="N48" s="1343"/>
      <c r="O48" s="1343"/>
      <c r="P48" s="1343"/>
      <c r="Q48" s="1343"/>
      <c r="R48" s="1343"/>
      <c r="S48" s="1343"/>
      <c r="T48" s="1343"/>
      <c r="U48" s="1343"/>
      <c r="V48" s="1343"/>
      <c r="W48" s="1343"/>
      <c r="X48" s="1343"/>
      <c r="Y48" s="1343"/>
      <c r="Z48" s="1343"/>
      <c r="AA48" s="1343"/>
      <c r="AB48" s="1343"/>
      <c r="AC48" s="1343"/>
      <c r="AD48" s="1343"/>
      <c r="AE48" s="1343"/>
      <c r="AF48" s="1343"/>
      <c r="AG48" s="1343"/>
      <c r="AH48" s="1343"/>
      <c r="AI48" s="1343"/>
      <c r="AJ48" s="1343"/>
      <c r="AK48" s="1343"/>
      <c r="AL48" s="1343"/>
      <c r="AM48" s="1343"/>
      <c r="AN48" s="1343"/>
      <c r="AO48" s="1343"/>
      <c r="AP48" s="1343"/>
      <c r="AQ48" s="1343"/>
      <c r="AR48" s="1343"/>
      <c r="AS48" s="1343"/>
      <c r="AT48" s="1343"/>
      <c r="AU48" s="20"/>
      <c r="AV48" s="20"/>
      <c r="AW48" s="20"/>
      <c r="AX48" s="20"/>
      <c r="AY48" s="20"/>
      <c r="AZ48" s="20"/>
      <c r="BD48" s="1252" t="s">
        <v>2546</v>
      </c>
      <c r="BE48" s="1253" t="str">
        <f>Application!M243</f>
        <v>Mercy Housing Calwest</v>
      </c>
    </row>
    <row r="49" spans="1:57" ht="12.95" customHeight="1">
      <c r="A49" s="1343"/>
      <c r="B49" s="1343"/>
      <c r="C49" s="1343"/>
      <c r="D49" s="1343"/>
      <c r="E49" s="1343"/>
      <c r="F49" s="1343"/>
      <c r="G49" s="1343"/>
      <c r="H49" s="1343"/>
      <c r="I49" s="1343"/>
      <c r="J49" s="1343"/>
      <c r="K49" s="1343"/>
      <c r="L49" s="1343"/>
      <c r="M49" s="1343"/>
      <c r="N49" s="1343"/>
      <c r="O49" s="1343"/>
      <c r="P49" s="1343"/>
      <c r="Q49" s="1343"/>
      <c r="R49" s="1343"/>
      <c r="S49" s="1343"/>
      <c r="T49" s="1343"/>
      <c r="U49" s="1343"/>
      <c r="V49" s="1343"/>
      <c r="W49" s="1343"/>
      <c r="X49" s="1343"/>
      <c r="Y49" s="1343"/>
      <c r="Z49" s="1343"/>
      <c r="AA49" s="1343"/>
      <c r="AB49" s="1343"/>
      <c r="AC49" s="1343"/>
      <c r="AD49" s="1343"/>
      <c r="AE49" s="1343"/>
      <c r="AF49" s="1343"/>
      <c r="AG49" s="1343"/>
      <c r="AH49" s="1343"/>
      <c r="AI49" s="1343"/>
      <c r="AJ49" s="1343"/>
      <c r="AK49" s="1343"/>
      <c r="AL49" s="1343"/>
      <c r="AM49" s="1343"/>
      <c r="AN49" s="1343"/>
      <c r="AO49" s="1343"/>
      <c r="AP49" s="1343"/>
      <c r="AQ49" s="1343"/>
      <c r="AR49" s="1343"/>
      <c r="AS49" s="1343"/>
      <c r="AT49" s="1343"/>
      <c r="AU49" s="20"/>
      <c r="AV49" s="20"/>
      <c r="AW49" s="20"/>
      <c r="AX49" s="20"/>
      <c r="AY49" s="20"/>
      <c r="AZ49" s="20"/>
      <c r="BD49" s="1251" t="s">
        <v>2547</v>
      </c>
      <c r="BE49" s="1253" t="str">
        <f>Application!M246</f>
        <v>Ramie Dare</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Mercy Housing California</v>
      </c>
    </row>
    <row r="51" spans="1:57" ht="12.95" customHeight="1">
      <c r="A51" s="1275" t="s">
        <v>2154</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c r="BD51" s="1251" t="s">
        <v>2549</v>
      </c>
      <c r="BE51" s="1253">
        <f>Application!M251</f>
        <v>0</v>
      </c>
    </row>
    <row r="52" spans="1:57" ht="12.95"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c r="BD52" s="1252" t="s">
        <v>2550</v>
      </c>
      <c r="BE52" s="1253">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2.95" customHeight="1">
      <c r="A54" s="1275" t="s">
        <v>2155</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c r="BD54" s="1252" t="s">
        <v>2552</v>
      </c>
      <c r="BE54" s="1253">
        <f>Application!M259</f>
        <v>0</v>
      </c>
    </row>
    <row r="55" spans="1:57" ht="12.95"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c r="BD55" s="1251" t="s">
        <v>2553</v>
      </c>
      <c r="BE55" s="1253">
        <f>Application!M262</f>
        <v>0</v>
      </c>
    </row>
    <row r="56" spans="1:57" ht="12.95"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BD56" s="1252" t="s">
        <v>2554</v>
      </c>
      <c r="BE56" s="1253">
        <f>Application!AA265</f>
        <v>0</v>
      </c>
    </row>
    <row r="57" spans="1:57" ht="12.95"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BD57" s="1251" t="s">
        <v>2555</v>
      </c>
      <c r="BE57" s="1253" t="str">
        <f>Application!H287</f>
        <v>Mercy Housing California</v>
      </c>
    </row>
    <row r="58" spans="1:57" ht="12.95"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BD58" s="1252" t="s">
        <v>2556</v>
      </c>
      <c r="BE58" s="1253" t="str">
        <f>Application!H288</f>
        <v xml:space="preserve">1256 Market Street </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Francisco, CA 94102</v>
      </c>
    </row>
    <row r="60" spans="1:57" ht="12.95" customHeight="1">
      <c r="A60" s="1275" t="s">
        <v>2156</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c r="BD60" s="1252" t="s">
        <v>2558</v>
      </c>
      <c r="BE60" s="1253" t="str">
        <f>Application!H290</f>
        <v>Ramie Dare</v>
      </c>
    </row>
    <row r="61" spans="1:57" ht="12.95"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c r="BD61" s="1251" t="s">
        <v>2559</v>
      </c>
      <c r="BE61" s="1253" t="str">
        <f>Application!H293</f>
        <v>rdare@mercyhousing.org</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0.9233612011721134</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5" customHeight="1">
      <c r="A65" s="1480" t="s">
        <v>2158</v>
      </c>
      <c r="B65" s="1480"/>
      <c r="C65" s="1480"/>
      <c r="D65" s="1480"/>
      <c r="E65" s="1480"/>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1480"/>
      <c r="AJ65" s="1480"/>
      <c r="AK65" s="1480"/>
      <c r="AL65" s="1480"/>
      <c r="AM65" s="1480"/>
      <c r="AN65" s="1480"/>
      <c r="AO65" s="1480"/>
      <c r="AP65" s="1480"/>
      <c r="AQ65" s="1480"/>
      <c r="AR65" s="1480"/>
      <c r="AS65" s="1480"/>
      <c r="AT65" s="1480"/>
      <c r="AU65" s="21"/>
      <c r="AV65" s="21"/>
      <c r="AW65" s="21"/>
      <c r="AX65" s="21"/>
      <c r="AY65" s="21"/>
      <c r="AZ65" s="20"/>
      <c r="BD65" s="1251" t="s">
        <v>2597</v>
      </c>
      <c r="BE65" s="1253" t="str">
        <f>Z205</f>
        <v>(select)</v>
      </c>
    </row>
    <row r="66" spans="1:57" ht="12.95" customHeight="1">
      <c r="A66" s="1480"/>
      <c r="B66" s="1480"/>
      <c r="C66" s="1480"/>
      <c r="D66" s="1480"/>
      <c r="E66" s="1480"/>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21"/>
      <c r="AV66" s="21"/>
      <c r="AW66" s="21"/>
      <c r="AX66" s="21"/>
      <c r="AY66" s="21"/>
      <c r="AZ66" s="20"/>
      <c r="BD66" s="1252" t="s">
        <v>2562</v>
      </c>
      <c r="BE66" s="1253" t="b">
        <f>Application!Z205="State Farmworker Credit"</f>
        <v>0</v>
      </c>
    </row>
    <row r="67" spans="1:57" ht="12.95" customHeight="1">
      <c r="A67" s="1480"/>
      <c r="B67" s="1480"/>
      <c r="C67" s="1480"/>
      <c r="D67" s="1480"/>
      <c r="E67" s="1480"/>
      <c r="F67" s="1480"/>
      <c r="G67" s="1480"/>
      <c r="H67" s="1480"/>
      <c r="I67" s="1480"/>
      <c r="J67" s="1480"/>
      <c r="K67" s="1480"/>
      <c r="L67" s="1480"/>
      <c r="M67" s="1480"/>
      <c r="N67" s="1480"/>
      <c r="O67" s="1480"/>
      <c r="P67" s="1480"/>
      <c r="Q67" s="1480"/>
      <c r="R67" s="1480"/>
      <c r="S67" s="1480"/>
      <c r="T67" s="1480"/>
      <c r="U67" s="1480"/>
      <c r="V67" s="1480"/>
      <c r="W67" s="1480"/>
      <c r="X67" s="1480"/>
      <c r="Y67" s="1480"/>
      <c r="Z67" s="1480"/>
      <c r="AA67" s="1480"/>
      <c r="AB67" s="1480"/>
      <c r="AC67" s="1480"/>
      <c r="AD67" s="1480"/>
      <c r="AE67" s="1480"/>
      <c r="AF67" s="1480"/>
      <c r="AG67" s="1480"/>
      <c r="AH67" s="1480"/>
      <c r="AI67" s="1480"/>
      <c r="AJ67" s="1480"/>
      <c r="AK67" s="1480"/>
      <c r="AL67" s="1480"/>
      <c r="AM67" s="1480"/>
      <c r="AN67" s="1480"/>
      <c r="AO67" s="1480"/>
      <c r="AP67" s="1480"/>
      <c r="AQ67" s="1480"/>
      <c r="AR67" s="1480"/>
      <c r="AS67" s="1480"/>
      <c r="AT67" s="1480"/>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480" t="s">
        <v>2159</v>
      </c>
      <c r="B69" s="1480"/>
      <c r="C69" s="1480"/>
      <c r="D69" s="1480"/>
      <c r="E69" s="1480"/>
      <c r="F69" s="1480"/>
      <c r="G69" s="1480"/>
      <c r="H69" s="1480"/>
      <c r="I69" s="1480"/>
      <c r="J69" s="1480"/>
      <c r="K69" s="1480"/>
      <c r="L69" s="1480"/>
      <c r="M69" s="1480"/>
      <c r="N69" s="1480"/>
      <c r="O69" s="1480"/>
      <c r="P69" s="1480"/>
      <c r="Q69" s="1480"/>
      <c r="R69" s="1480"/>
      <c r="S69" s="1480"/>
      <c r="T69" s="1480"/>
      <c r="U69" s="1480"/>
      <c r="V69" s="1480"/>
      <c r="W69" s="1480"/>
      <c r="X69" s="1480"/>
      <c r="Y69" s="1480"/>
      <c r="Z69" s="1480"/>
      <c r="AA69" s="1480"/>
      <c r="AB69" s="1480"/>
      <c r="AC69" s="1480"/>
      <c r="AD69" s="1480"/>
      <c r="AE69" s="1480"/>
      <c r="AF69" s="1480"/>
      <c r="AG69" s="1480"/>
      <c r="AH69" s="1480"/>
      <c r="AI69" s="1480"/>
      <c r="AJ69" s="1480"/>
      <c r="AK69" s="1480"/>
      <c r="AL69" s="1480"/>
      <c r="AM69" s="1480"/>
      <c r="AN69" s="1480"/>
      <c r="AO69" s="1480"/>
      <c r="AP69" s="1480"/>
      <c r="AQ69" s="1480"/>
      <c r="AR69" s="1480"/>
      <c r="AS69" s="1480"/>
      <c r="AT69" s="1480"/>
      <c r="AZ69" s="20"/>
      <c r="BD69" s="1251" t="s">
        <v>2565</v>
      </c>
      <c r="BE69" s="1253" t="str">
        <f>Application!W700</f>
        <v>California Municipal Finance Authority</v>
      </c>
    </row>
    <row r="70" spans="1:57" ht="12.95" customHeight="1">
      <c r="A70" s="1480"/>
      <c r="B70" s="1480"/>
      <c r="C70" s="1480"/>
      <c r="D70" s="1480"/>
      <c r="E70" s="1480"/>
      <c r="F70" s="1480"/>
      <c r="G70" s="1480"/>
      <c r="H70" s="1480"/>
      <c r="I70" s="1480"/>
      <c r="J70" s="1480"/>
      <c r="K70" s="1480"/>
      <c r="L70" s="1480"/>
      <c r="M70" s="1480"/>
      <c r="N70" s="1480"/>
      <c r="O70" s="1480"/>
      <c r="P70" s="1480"/>
      <c r="Q70" s="1480"/>
      <c r="R70" s="1480"/>
      <c r="S70" s="1480"/>
      <c r="T70" s="1480"/>
      <c r="U70" s="1480"/>
      <c r="V70" s="1480"/>
      <c r="W70" s="1480"/>
      <c r="X70" s="1480"/>
      <c r="Y70" s="1480"/>
      <c r="Z70" s="1480"/>
      <c r="AA70" s="1480"/>
      <c r="AB70" s="1480"/>
      <c r="AC70" s="1480"/>
      <c r="AD70" s="1480"/>
      <c r="AE70" s="1480"/>
      <c r="AF70" s="1480"/>
      <c r="AG70" s="1480"/>
      <c r="AH70" s="1480"/>
      <c r="AI70" s="1480"/>
      <c r="AJ70" s="1480"/>
      <c r="AK70" s="1480"/>
      <c r="AL70" s="1480"/>
      <c r="AM70" s="1480"/>
      <c r="AN70" s="1480"/>
      <c r="AO70" s="1480"/>
      <c r="AP70" s="1480"/>
      <c r="AQ70" s="1480"/>
      <c r="AR70" s="1480"/>
      <c r="AS70" s="1480"/>
      <c r="AT70" s="1480"/>
      <c r="AU70" s="20"/>
      <c r="AV70" s="20"/>
      <c r="AW70" s="20"/>
      <c r="AX70" s="20"/>
      <c r="AY70" s="20"/>
      <c r="AZ70" s="20"/>
      <c r="BD70" s="1252" t="s">
        <v>2566</v>
      </c>
      <c r="BE70" s="1253">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557" t="s">
        <v>2160</v>
      </c>
      <c r="B72" s="1557"/>
      <c r="C72" s="1557"/>
      <c r="D72" s="1557"/>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557"/>
      <c r="AA72" s="1557"/>
      <c r="AB72" s="1557"/>
      <c r="AC72" s="1557"/>
      <c r="AD72" s="1557"/>
      <c r="AE72" s="1557"/>
      <c r="AF72" s="1557"/>
      <c r="AG72" s="1557"/>
      <c r="AH72" s="1557"/>
      <c r="AI72" s="1557"/>
      <c r="AJ72" s="1557"/>
      <c r="AK72" s="1557"/>
      <c r="AL72" s="1557"/>
      <c r="AM72" s="1557"/>
      <c r="AN72" s="1557"/>
      <c r="AO72" s="1557"/>
      <c r="AP72" s="1557"/>
      <c r="AQ72" s="1557"/>
      <c r="AR72" s="1557"/>
      <c r="AS72" s="1557"/>
      <c r="AT72" s="1557"/>
      <c r="AU72" s="20"/>
      <c r="AV72" s="20"/>
      <c r="AW72" s="20"/>
      <c r="AX72" s="20"/>
      <c r="AY72" s="20"/>
      <c r="AZ72" s="20"/>
      <c r="BD72" s="1252" t="s">
        <v>2568</v>
      </c>
      <c r="BE72" s="1253">
        <f>'Points System'!AF805</f>
        <v>10</v>
      </c>
    </row>
    <row r="73" spans="1:57" ht="12.95" customHeight="1">
      <c r="A73" s="1557"/>
      <c r="B73" s="1557"/>
      <c r="C73" s="1557"/>
      <c r="D73" s="1557"/>
      <c r="E73" s="1557"/>
      <c r="F73" s="1557"/>
      <c r="G73" s="1557"/>
      <c r="H73" s="1557"/>
      <c r="I73" s="1557"/>
      <c r="J73" s="1557"/>
      <c r="K73" s="1557"/>
      <c r="L73" s="1557"/>
      <c r="M73" s="1557"/>
      <c r="N73" s="1557"/>
      <c r="O73" s="1557"/>
      <c r="P73" s="1557"/>
      <c r="Q73" s="1557"/>
      <c r="R73" s="1557"/>
      <c r="S73" s="1557"/>
      <c r="T73" s="1557"/>
      <c r="U73" s="1557"/>
      <c r="V73" s="1557"/>
      <c r="W73" s="1557"/>
      <c r="X73" s="1557"/>
      <c r="Y73" s="1557"/>
      <c r="Z73" s="1557"/>
      <c r="AA73" s="1557"/>
      <c r="AB73" s="1557"/>
      <c r="AC73" s="1557"/>
      <c r="AD73" s="1557"/>
      <c r="AE73" s="1557"/>
      <c r="AF73" s="1557"/>
      <c r="AG73" s="1557"/>
      <c r="AH73" s="1557"/>
      <c r="AI73" s="1557"/>
      <c r="AJ73" s="1557"/>
      <c r="AK73" s="1557"/>
      <c r="AL73" s="1557"/>
      <c r="AM73" s="1557"/>
      <c r="AN73" s="1557"/>
      <c r="AO73" s="1557"/>
      <c r="AP73" s="1557"/>
      <c r="AQ73" s="1557"/>
      <c r="AR73" s="1557"/>
      <c r="AS73" s="1557"/>
      <c r="AT73" s="1557"/>
      <c r="AU73" s="20"/>
      <c r="AV73" s="20"/>
      <c r="AW73" s="20"/>
      <c r="AX73" s="20"/>
      <c r="AY73" s="20"/>
      <c r="AZ73" s="20"/>
      <c r="BD73" s="1251" t="s">
        <v>2569</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559" t="s">
        <v>2161</v>
      </c>
      <c r="B75" s="1559"/>
      <c r="C75" s="1559"/>
      <c r="D75" s="1559"/>
      <c r="E75" s="1559"/>
      <c r="F75" s="1559"/>
      <c r="G75" s="1559"/>
      <c r="H75" s="1559"/>
      <c r="I75" s="1559"/>
      <c r="J75" s="1559"/>
      <c r="K75" s="1559"/>
      <c r="L75" s="1559"/>
      <c r="M75" s="1559"/>
      <c r="N75" s="1559"/>
      <c r="O75" s="1559"/>
      <c r="P75" s="1559"/>
      <c r="Q75" s="1559"/>
      <c r="R75" s="1559"/>
      <c r="S75" s="1559"/>
      <c r="T75" s="1559"/>
      <c r="U75" s="1559"/>
      <c r="V75" s="1559"/>
      <c r="W75" s="1559"/>
      <c r="X75" s="1559"/>
      <c r="Y75" s="1559"/>
      <c r="Z75" s="1559"/>
      <c r="AA75" s="1559"/>
      <c r="AB75" s="1559"/>
      <c r="AC75" s="1559"/>
      <c r="AD75" s="1559"/>
      <c r="AE75" s="1559"/>
      <c r="AF75" s="1559"/>
      <c r="AG75" s="1559"/>
      <c r="AH75" s="1559"/>
      <c r="AI75" s="1559"/>
      <c r="AJ75" s="1559"/>
      <c r="AK75" s="1559"/>
      <c r="AL75" s="1559"/>
      <c r="AM75" s="1559"/>
      <c r="AN75" s="1559"/>
      <c r="AO75" s="1559"/>
      <c r="AP75" s="1559"/>
      <c r="AQ75" s="1559"/>
      <c r="AR75" s="1559"/>
      <c r="AS75" s="1559"/>
      <c r="AT75" s="1559"/>
      <c r="AU75" s="20"/>
      <c r="AV75" s="20"/>
      <c r="AW75" s="20"/>
      <c r="AX75" s="20"/>
      <c r="AY75" s="20"/>
      <c r="AZ75" s="20"/>
      <c r="BD75" s="1251" t="s">
        <v>2571</v>
      </c>
      <c r="BE75" s="1253">
        <f>'Points System'!AF808</f>
        <v>10</v>
      </c>
    </row>
    <row r="76" spans="1:57" ht="12.95" customHeight="1">
      <c r="A76" s="1559"/>
      <c r="B76" s="1559"/>
      <c r="C76" s="1559"/>
      <c r="D76" s="1559"/>
      <c r="E76" s="1559"/>
      <c r="F76" s="1559"/>
      <c r="G76" s="1559"/>
      <c r="H76" s="1559"/>
      <c r="I76" s="1559"/>
      <c r="J76" s="1559"/>
      <c r="K76" s="1559"/>
      <c r="L76" s="1559"/>
      <c r="M76" s="1559"/>
      <c r="N76" s="1559"/>
      <c r="O76" s="1559"/>
      <c r="P76" s="1559"/>
      <c r="Q76" s="1559"/>
      <c r="R76" s="1559"/>
      <c r="S76" s="1559"/>
      <c r="T76" s="1559"/>
      <c r="U76" s="1559"/>
      <c r="V76" s="1559"/>
      <c r="W76" s="1559"/>
      <c r="X76" s="1559"/>
      <c r="Y76" s="1559"/>
      <c r="Z76" s="1559"/>
      <c r="AA76" s="1559"/>
      <c r="AB76" s="1559"/>
      <c r="AC76" s="1559"/>
      <c r="AD76" s="1559"/>
      <c r="AE76" s="1559"/>
      <c r="AF76" s="1559"/>
      <c r="AG76" s="1559"/>
      <c r="AH76" s="1559"/>
      <c r="AI76" s="1559"/>
      <c r="AJ76" s="1559"/>
      <c r="AK76" s="1559"/>
      <c r="AL76" s="1559"/>
      <c r="AM76" s="1559"/>
      <c r="AN76" s="1559"/>
      <c r="AO76" s="1559"/>
      <c r="AP76" s="1559"/>
      <c r="AQ76" s="1559"/>
      <c r="AR76" s="1559"/>
      <c r="AS76" s="1559"/>
      <c r="AT76" s="1559"/>
      <c r="AU76" s="20"/>
      <c r="AV76" s="20"/>
      <c r="AW76" s="20"/>
      <c r="AX76" s="20"/>
      <c r="AY76" s="20"/>
      <c r="AZ76" s="17"/>
      <c r="BD76" s="1252" t="s">
        <v>2572</v>
      </c>
      <c r="BE76" s="1253">
        <f>'Points System'!AF811</f>
        <v>10</v>
      </c>
    </row>
    <row r="77" spans="1:57" ht="12.95" customHeight="1">
      <c r="A77" s="1559"/>
      <c r="B77" s="1559"/>
      <c r="C77" s="1559"/>
      <c r="D77" s="1559"/>
      <c r="E77" s="1559"/>
      <c r="F77" s="1559"/>
      <c r="G77" s="1559"/>
      <c r="H77" s="1559"/>
      <c r="I77" s="1559"/>
      <c r="J77" s="1559"/>
      <c r="K77" s="1559"/>
      <c r="L77" s="1559"/>
      <c r="M77" s="1559"/>
      <c r="N77" s="1559"/>
      <c r="O77" s="1559"/>
      <c r="P77" s="1559"/>
      <c r="Q77" s="1559"/>
      <c r="R77" s="1559"/>
      <c r="S77" s="1559"/>
      <c r="T77" s="1559"/>
      <c r="U77" s="1559"/>
      <c r="V77" s="1559"/>
      <c r="W77" s="1559"/>
      <c r="X77" s="1559"/>
      <c r="Y77" s="1559"/>
      <c r="Z77" s="1559"/>
      <c r="AA77" s="1559"/>
      <c r="AB77" s="1559"/>
      <c r="AC77" s="1559"/>
      <c r="AD77" s="1559"/>
      <c r="AE77" s="1559"/>
      <c r="AF77" s="1559"/>
      <c r="AG77" s="1559"/>
      <c r="AH77" s="1559"/>
      <c r="AI77" s="1559"/>
      <c r="AJ77" s="1559"/>
      <c r="AK77" s="1559"/>
      <c r="AL77" s="1559"/>
      <c r="AM77" s="1559"/>
      <c r="AN77" s="1559"/>
      <c r="AO77" s="1559"/>
      <c r="AP77" s="1559"/>
      <c r="AQ77" s="1559"/>
      <c r="AR77" s="1559"/>
      <c r="AS77" s="1559"/>
      <c r="AT77" s="1559"/>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480" t="s">
        <v>2162</v>
      </c>
      <c r="B79" s="1480"/>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20"/>
      <c r="AV79" s="20"/>
      <c r="AW79" s="20"/>
      <c r="AX79" s="20"/>
      <c r="AY79" s="20"/>
      <c r="AZ79" s="20"/>
      <c r="BD79" s="1251" t="s">
        <v>2575</v>
      </c>
      <c r="BE79" s="1253">
        <f>'Points System'!AF815</f>
        <v>9</v>
      </c>
    </row>
    <row r="80" spans="1:57" ht="12.95" customHeight="1">
      <c r="A80" s="1480"/>
      <c r="B80" s="1480"/>
      <c r="C80" s="1480"/>
      <c r="D80" s="1480"/>
      <c r="E80" s="1480"/>
      <c r="F80" s="1480"/>
      <c r="G80" s="1480"/>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1480"/>
      <c r="AJ80" s="1480"/>
      <c r="AK80" s="1480"/>
      <c r="AL80" s="1480"/>
      <c r="AM80" s="1480"/>
      <c r="AN80" s="1480"/>
      <c r="AO80" s="1480"/>
      <c r="AP80" s="1480"/>
      <c r="AQ80" s="1480"/>
      <c r="AR80" s="1480"/>
      <c r="AS80" s="1480"/>
      <c r="AT80" s="1480"/>
      <c r="AU80" s="20"/>
      <c r="AV80" s="20"/>
      <c r="AW80" s="20"/>
      <c r="AX80" s="20"/>
      <c r="AY80" s="20"/>
      <c r="AZ80" s="20"/>
      <c r="BD80" s="1252" t="s">
        <v>2576</v>
      </c>
      <c r="BE80" s="1253">
        <f>'Points System'!AF817</f>
        <v>10</v>
      </c>
    </row>
    <row r="81" spans="1:57" ht="12.95" customHeight="1">
      <c r="A81" s="1480"/>
      <c r="B81" s="1480"/>
      <c r="C81" s="1480"/>
      <c r="D81" s="1480"/>
      <c r="E81" s="1480"/>
      <c r="F81" s="1480"/>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1480"/>
      <c r="AJ81" s="1480"/>
      <c r="AK81" s="1480"/>
      <c r="AL81" s="1480"/>
      <c r="AM81" s="1480"/>
      <c r="AN81" s="1480"/>
      <c r="AO81" s="1480"/>
      <c r="AP81" s="1480"/>
      <c r="AQ81" s="1480"/>
      <c r="AR81" s="1480"/>
      <c r="AS81" s="1480"/>
      <c r="AT81" s="1480"/>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75" t="s">
        <v>2163</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c r="BD83" s="1251" t="s">
        <v>2579</v>
      </c>
      <c r="BE83" s="1257">
        <f>'Tie Breaker'!H5</f>
        <v>1.1072883900741368</v>
      </c>
    </row>
    <row r="84" spans="1:57" ht="12.95"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c r="BD84" s="1252" t="s">
        <v>2580</v>
      </c>
      <c r="BE84" s="1253"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Michele Byrd</v>
      </c>
    </row>
    <row r="86" spans="1:57" ht="12.95" customHeight="1">
      <c r="A86" s="1275" t="s">
        <v>2164</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c r="BD86" s="1252" t="s">
        <v>2582</v>
      </c>
      <c r="BE86" s="1253" t="str">
        <f>Application!O155</f>
        <v>City Manager</v>
      </c>
    </row>
    <row r="87" spans="1:57" ht="12.95"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c r="BD87" s="1251" t="s">
        <v>2583</v>
      </c>
      <c r="BE87" s="1253" t="str">
        <f>Application!O156</f>
        <v>250 Frank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Oakland</v>
      </c>
    </row>
    <row r="89" spans="1:57" ht="12.95" customHeight="1">
      <c r="A89" s="1569" t="s">
        <v>2165</v>
      </c>
      <c r="B89" s="1569"/>
      <c r="C89" s="1569"/>
      <c r="D89" s="1569"/>
      <c r="E89" s="1569"/>
      <c r="F89" s="1569"/>
      <c r="G89" s="1569"/>
      <c r="H89" s="1569"/>
      <c r="I89" s="1569"/>
      <c r="J89" s="1569"/>
      <c r="K89" s="1569"/>
      <c r="L89" s="1569"/>
      <c r="M89" s="1569"/>
      <c r="N89" s="1569"/>
      <c r="O89" s="1569"/>
      <c r="P89" s="1569"/>
      <c r="Q89" s="1569"/>
      <c r="R89" s="1569"/>
      <c r="S89" s="1569"/>
      <c r="T89" s="1569"/>
      <c r="U89" s="1569"/>
      <c r="V89" s="1569"/>
      <c r="W89" s="1569"/>
      <c r="X89" s="1569"/>
      <c r="Y89" s="1569"/>
      <c r="Z89" s="1569"/>
      <c r="AA89" s="1569"/>
      <c r="AB89" s="1569"/>
      <c r="AC89" s="1569"/>
      <c r="AD89" s="1569"/>
      <c r="AE89" s="1569"/>
      <c r="AF89" s="1569"/>
      <c r="AG89" s="1569"/>
      <c r="AH89" s="1569"/>
      <c r="AI89" s="1569"/>
      <c r="AJ89" s="1569"/>
      <c r="AK89" s="1569"/>
      <c r="AL89" s="1569"/>
      <c r="AM89" s="1569"/>
      <c r="AN89" s="1569"/>
      <c r="AO89" s="1569"/>
      <c r="AP89" s="1569"/>
      <c r="AQ89" s="1569"/>
      <c r="AR89" s="1569"/>
      <c r="AS89" s="1569"/>
      <c r="AT89" s="1569"/>
      <c r="AU89" s="17"/>
      <c r="AV89" s="17"/>
      <c r="AW89" s="17"/>
      <c r="AX89" s="17"/>
      <c r="AY89" s="17"/>
      <c r="AZ89" s="20"/>
      <c r="BD89" s="1251" t="s">
        <v>2585</v>
      </c>
      <c r="BE89" s="1253">
        <f>Application!O158</f>
        <v>94612</v>
      </c>
    </row>
    <row r="90" spans="1:57" ht="12.95" customHeight="1">
      <c r="A90" s="1569"/>
      <c r="B90" s="1569"/>
      <c r="C90" s="1569"/>
      <c r="D90" s="1569"/>
      <c r="E90" s="1569"/>
      <c r="F90" s="1569"/>
      <c r="G90" s="1569"/>
      <c r="H90" s="1569"/>
      <c r="I90" s="1569"/>
      <c r="J90" s="1569"/>
      <c r="K90" s="1569"/>
      <c r="L90" s="1569"/>
      <c r="M90" s="1569"/>
      <c r="N90" s="1569"/>
      <c r="O90" s="1569"/>
      <c r="P90" s="1569"/>
      <c r="Q90" s="1569"/>
      <c r="R90" s="1569"/>
      <c r="S90" s="1569"/>
      <c r="T90" s="1569"/>
      <c r="U90" s="1569"/>
      <c r="V90" s="1569"/>
      <c r="W90" s="1569"/>
      <c r="X90" s="1569"/>
      <c r="Y90" s="1569"/>
      <c r="Z90" s="1569"/>
      <c r="AA90" s="1569"/>
      <c r="AB90" s="1569"/>
      <c r="AC90" s="1569"/>
      <c r="AD90" s="1569"/>
      <c r="AE90" s="1569"/>
      <c r="AF90" s="1569"/>
      <c r="AG90" s="1569"/>
      <c r="AH90" s="1569"/>
      <c r="AI90" s="1569"/>
      <c r="AJ90" s="1569"/>
      <c r="AK90" s="1569"/>
      <c r="AL90" s="1569"/>
      <c r="AM90" s="1569"/>
      <c r="AN90" s="1569"/>
      <c r="AO90" s="1569"/>
      <c r="AP90" s="1569"/>
      <c r="AQ90" s="1569"/>
      <c r="AR90" s="1569"/>
      <c r="AS90" s="1569"/>
      <c r="AT90" s="1569"/>
      <c r="AU90" s="17"/>
      <c r="AV90" s="17"/>
      <c r="AW90" s="17"/>
      <c r="AX90" s="17"/>
      <c r="AY90" s="17"/>
      <c r="AZ90" s="20"/>
      <c r="BD90" s="1252" t="s">
        <v>2586</v>
      </c>
      <c r="BE90" s="1253" t="str">
        <f>Application!H16</f>
        <v>Mercy Housing California 91,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1256 Market Street</v>
      </c>
    </row>
    <row r="92" spans="1:57" ht="12.95" customHeight="1">
      <c r="A92" s="1559" t="s">
        <v>2166</v>
      </c>
      <c r="B92" s="1559"/>
      <c r="C92" s="1559"/>
      <c r="D92" s="1559"/>
      <c r="E92" s="1559"/>
      <c r="F92" s="1559"/>
      <c r="G92" s="1559"/>
      <c r="H92" s="1559"/>
      <c r="I92" s="1559"/>
      <c r="J92" s="1559"/>
      <c r="K92" s="1559"/>
      <c r="L92" s="1559"/>
      <c r="M92" s="1559"/>
      <c r="N92" s="1559"/>
      <c r="O92" s="1559"/>
      <c r="P92" s="1559"/>
      <c r="Q92" s="1559"/>
      <c r="R92" s="1559"/>
      <c r="S92" s="1559"/>
      <c r="T92" s="1559"/>
      <c r="U92" s="1559"/>
      <c r="V92" s="1559"/>
      <c r="W92" s="1559"/>
      <c r="X92" s="1559"/>
      <c r="Y92" s="1559"/>
      <c r="Z92" s="1559"/>
      <c r="AA92" s="1559"/>
      <c r="AB92" s="1559"/>
      <c r="AC92" s="1559"/>
      <c r="AD92" s="1559"/>
      <c r="AE92" s="1559"/>
      <c r="AF92" s="1559"/>
      <c r="AG92" s="1559"/>
      <c r="AH92" s="1559"/>
      <c r="AI92" s="1559"/>
      <c r="AJ92" s="1559"/>
      <c r="AK92" s="1559"/>
      <c r="AL92" s="1559"/>
      <c r="AM92" s="1559"/>
      <c r="AN92" s="1559"/>
      <c r="AO92" s="1559"/>
      <c r="AP92" s="1559"/>
      <c r="AQ92" s="1559"/>
      <c r="AR92" s="1559"/>
      <c r="AS92" s="1559"/>
      <c r="AT92" s="1559"/>
      <c r="AU92" s="20"/>
      <c r="AV92" s="20"/>
      <c r="AW92" s="20"/>
      <c r="AX92" s="20"/>
      <c r="AY92" s="20"/>
      <c r="AZ92" s="20"/>
      <c r="BD92" s="1252" t="s">
        <v>2588</v>
      </c>
      <c r="BE92" s="1253" t="str">
        <f>Application!M234</f>
        <v>San Francisco</v>
      </c>
    </row>
    <row r="93" spans="1:57" ht="12.95" customHeight="1">
      <c r="A93" s="1559"/>
      <c r="B93" s="1559"/>
      <c r="C93" s="1559"/>
      <c r="D93" s="1559"/>
      <c r="E93" s="1559"/>
      <c r="F93" s="1559"/>
      <c r="G93" s="1559"/>
      <c r="H93" s="1559"/>
      <c r="I93" s="1559"/>
      <c r="J93" s="1559"/>
      <c r="K93" s="1559"/>
      <c r="L93" s="1559"/>
      <c r="M93" s="1559"/>
      <c r="N93" s="1559"/>
      <c r="O93" s="1559"/>
      <c r="P93" s="1559"/>
      <c r="Q93" s="1559"/>
      <c r="R93" s="1559"/>
      <c r="S93" s="1559"/>
      <c r="T93" s="1559"/>
      <c r="U93" s="1559"/>
      <c r="V93" s="1559"/>
      <c r="W93" s="1559"/>
      <c r="X93" s="1559"/>
      <c r="Y93" s="1559"/>
      <c r="Z93" s="1559"/>
      <c r="AA93" s="1559"/>
      <c r="AB93" s="1559"/>
      <c r="AC93" s="1559"/>
      <c r="AD93" s="1559"/>
      <c r="AE93" s="1559"/>
      <c r="AF93" s="1559"/>
      <c r="AG93" s="1559"/>
      <c r="AH93" s="1559"/>
      <c r="AI93" s="1559"/>
      <c r="AJ93" s="1559"/>
      <c r="AK93" s="1559"/>
      <c r="AL93" s="1559"/>
      <c r="AM93" s="1559"/>
      <c r="AN93" s="1559"/>
      <c r="AO93" s="1559"/>
      <c r="AP93" s="1559"/>
      <c r="AQ93" s="1559"/>
      <c r="AR93" s="1559"/>
      <c r="AS93" s="1559"/>
      <c r="AT93" s="1559"/>
      <c r="AU93" s="20"/>
      <c r="AV93" s="20"/>
      <c r="AW93" s="20"/>
      <c r="AX93" s="20"/>
      <c r="AY93" s="20"/>
      <c r="AZ93" s="20"/>
      <c r="BD93" s="1251" t="s">
        <v>2589</v>
      </c>
      <c r="BE93" s="1253" t="str">
        <f>Application!W234</f>
        <v>CA</v>
      </c>
    </row>
    <row r="94" spans="1:57" ht="12.95" customHeight="1">
      <c r="A94" s="1559"/>
      <c r="B94" s="1559"/>
      <c r="C94" s="1559"/>
      <c r="D94" s="1559"/>
      <c r="E94" s="1559"/>
      <c r="F94" s="1559"/>
      <c r="G94" s="1559"/>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559"/>
      <c r="AM94" s="1559"/>
      <c r="AN94" s="1559"/>
      <c r="AO94" s="1559"/>
      <c r="AP94" s="1559"/>
      <c r="AQ94" s="1559"/>
      <c r="AR94" s="1559"/>
      <c r="AS94" s="1559"/>
      <c r="AT94" s="1559"/>
      <c r="AU94" s="20"/>
      <c r="AV94" s="20"/>
      <c r="AW94" s="20"/>
      <c r="AX94" s="20"/>
      <c r="AY94" s="20"/>
      <c r="AZ94" s="20"/>
      <c r="BD94" s="1252" t="s">
        <v>2590</v>
      </c>
      <c r="BE94" s="1253">
        <f>Application!AC234</f>
        <v>94102</v>
      </c>
    </row>
    <row r="95" spans="1:57" ht="12.95" customHeight="1">
      <c r="A95" s="1559"/>
      <c r="B95" s="1559"/>
      <c r="C95" s="1559"/>
      <c r="D95" s="1559"/>
      <c r="E95" s="1559"/>
      <c r="F95" s="1559"/>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559"/>
      <c r="AM95" s="1559"/>
      <c r="AN95" s="1559"/>
      <c r="AO95" s="1559"/>
      <c r="AP95" s="1559"/>
      <c r="AQ95" s="1559"/>
      <c r="AR95" s="1559"/>
      <c r="AS95" s="1559"/>
      <c r="AT95" s="1559"/>
      <c r="AU95" s="20"/>
      <c r="AV95" s="20"/>
      <c r="AW95" s="20"/>
      <c r="AX95" s="20"/>
      <c r="AY95" s="20"/>
      <c r="AZ95" s="20"/>
      <c r="BD95" s="1251" t="s">
        <v>2591</v>
      </c>
      <c r="BE95" s="1253" t="str">
        <f>Application!M235</f>
        <v>Tim Dunn</v>
      </c>
    </row>
    <row r="96" spans="1:57" ht="12.95" customHeight="1">
      <c r="A96" s="1559"/>
      <c r="B96" s="1559"/>
      <c r="C96" s="1559"/>
      <c r="D96" s="1559"/>
      <c r="E96" s="1559"/>
      <c r="F96" s="1559"/>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559"/>
      <c r="AM96" s="1559"/>
      <c r="AN96" s="1559"/>
      <c r="AO96" s="1559"/>
      <c r="AP96" s="1559"/>
      <c r="AQ96" s="1559"/>
      <c r="AR96" s="1559"/>
      <c r="AS96" s="1559"/>
      <c r="AT96" s="1559"/>
      <c r="AU96" s="20"/>
      <c r="AV96" s="20"/>
      <c r="AW96" s="20"/>
      <c r="AX96" s="20"/>
      <c r="AY96" s="20"/>
      <c r="AZ96" s="20"/>
      <c r="BD96" s="1252" t="s">
        <v>2592</v>
      </c>
      <c r="BE96" s="1253" t="str">
        <f>Application!M237</f>
        <v>tdunn@mercyhousing.org</v>
      </c>
    </row>
    <row r="97" spans="1:57" ht="12.95" customHeight="1">
      <c r="A97" s="1559"/>
      <c r="B97" s="1559"/>
      <c r="C97" s="1559"/>
      <c r="D97" s="1559"/>
      <c r="E97" s="1559"/>
      <c r="F97" s="1559"/>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559"/>
      <c r="AM97" s="1559"/>
      <c r="AN97" s="1559"/>
      <c r="AO97" s="1559"/>
      <c r="AP97" s="1559"/>
      <c r="AQ97" s="1559"/>
      <c r="AR97" s="1559"/>
      <c r="AS97" s="1559"/>
      <c r="AT97" s="1559"/>
      <c r="AU97" s="20"/>
      <c r="AV97" s="20"/>
      <c r="AW97" s="20"/>
      <c r="AX97" s="20"/>
      <c r="AY97" s="20"/>
      <c r="AZ97" s="20"/>
      <c r="BD97" s="1251" t="s">
        <v>2593</v>
      </c>
      <c r="BE97" s="1253" t="str">
        <f>Application!M248</f>
        <v>rdare@mercyhousing.org</v>
      </c>
    </row>
    <row r="98" spans="1:57" ht="12.95" customHeight="1">
      <c r="A98" s="1559"/>
      <c r="B98" s="1559"/>
      <c r="C98" s="1559"/>
      <c r="D98" s="1559"/>
      <c r="E98" s="1559"/>
      <c r="F98" s="1559"/>
      <c r="G98" s="1559"/>
      <c r="H98" s="1559"/>
      <c r="I98" s="1559"/>
      <c r="J98" s="1559"/>
      <c r="K98" s="1559"/>
      <c r="L98" s="1559"/>
      <c r="M98" s="1559"/>
      <c r="N98" s="1559"/>
      <c r="O98" s="1559"/>
      <c r="P98" s="1559"/>
      <c r="Q98" s="1559"/>
      <c r="R98" s="1559"/>
      <c r="S98" s="1559"/>
      <c r="T98" s="1559"/>
      <c r="U98" s="1559"/>
      <c r="V98" s="1559"/>
      <c r="W98" s="1559"/>
      <c r="X98" s="1559"/>
      <c r="Y98" s="1559"/>
      <c r="Z98" s="1559"/>
      <c r="AA98" s="1559"/>
      <c r="AB98" s="1559"/>
      <c r="AC98" s="1559"/>
      <c r="AD98" s="1559"/>
      <c r="AE98" s="1559"/>
      <c r="AF98" s="1559"/>
      <c r="AG98" s="1559"/>
      <c r="AH98" s="1559"/>
      <c r="AI98" s="1559"/>
      <c r="AJ98" s="1559"/>
      <c r="AK98" s="1559"/>
      <c r="AL98" s="1559"/>
      <c r="AM98" s="1559"/>
      <c r="AN98" s="1559"/>
      <c r="AO98" s="1559"/>
      <c r="AP98" s="1559"/>
      <c r="AQ98" s="1559"/>
      <c r="AR98" s="1559"/>
      <c r="AS98" s="1559"/>
      <c r="AT98" s="1559"/>
      <c r="AU98" s="20"/>
      <c r="AV98" s="20"/>
      <c r="AW98" s="20"/>
      <c r="AX98" s="20"/>
      <c r="AY98" s="20"/>
      <c r="AZ98" s="20"/>
      <c r="BD98" s="1252" t="s">
        <v>2594</v>
      </c>
      <c r="BE98" s="1253">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570" t="s">
        <v>2167</v>
      </c>
      <c r="B100" s="1570"/>
      <c r="C100" s="1570"/>
      <c r="D100" s="1570"/>
      <c r="E100" s="1570"/>
      <c r="F100" s="1570"/>
      <c r="G100" s="1570"/>
      <c r="H100" s="1570"/>
      <c r="I100" s="1570"/>
      <c r="J100" s="1570"/>
      <c r="K100" s="1570"/>
      <c r="L100" s="1570"/>
      <c r="M100" s="1570"/>
      <c r="N100" s="1570"/>
      <c r="O100" s="1570"/>
      <c r="P100" s="1570"/>
      <c r="Q100" s="1570"/>
      <c r="R100" s="1570"/>
      <c r="S100" s="1570"/>
      <c r="T100" s="1570"/>
      <c r="U100" s="1570"/>
      <c r="V100" s="1570"/>
      <c r="W100" s="1570"/>
      <c r="X100" s="1570"/>
      <c r="Y100" s="1570"/>
      <c r="Z100" s="1570"/>
      <c r="AA100" s="1570"/>
      <c r="AB100" s="1570"/>
      <c r="AC100" s="1570"/>
      <c r="AD100" s="1570"/>
      <c r="AE100" s="1570"/>
      <c r="AF100" s="1570"/>
      <c r="AG100" s="1570"/>
      <c r="AH100" s="1570"/>
      <c r="AI100" s="1570"/>
      <c r="AJ100" s="1570"/>
      <c r="AK100" s="1570"/>
      <c r="AL100" s="1570"/>
      <c r="AM100" s="1570"/>
      <c r="AN100" s="1570"/>
      <c r="AO100" s="1570"/>
      <c r="AP100" s="1570"/>
      <c r="AQ100" s="1570"/>
      <c r="AR100" s="1570"/>
      <c r="AS100" s="1570"/>
      <c r="AT100" s="1570"/>
      <c r="AU100" s="20"/>
      <c r="AV100" s="20"/>
      <c r="AW100" s="20"/>
      <c r="AX100" s="20"/>
      <c r="AY100" s="20"/>
      <c r="AZ100" s="20"/>
      <c r="BD100" s="1252" t="s">
        <v>2596</v>
      </c>
      <c r="BE100" s="1253" t="str">
        <f>Application!L279</f>
        <v>tdunn@mercyhousing.org</v>
      </c>
    </row>
    <row r="101" spans="1:57" ht="12.95" customHeight="1">
      <c r="A101" s="1570"/>
      <c r="B101" s="1570"/>
      <c r="C101" s="1570"/>
      <c r="D101" s="1570"/>
      <c r="E101" s="1570"/>
      <c r="F101" s="1570"/>
      <c r="G101" s="1570"/>
      <c r="H101" s="1570"/>
      <c r="I101" s="1570"/>
      <c r="J101" s="1570"/>
      <c r="K101" s="1570"/>
      <c r="L101" s="1570"/>
      <c r="M101" s="1570"/>
      <c r="N101" s="1570"/>
      <c r="O101" s="1570"/>
      <c r="P101" s="1570"/>
      <c r="Q101" s="1570"/>
      <c r="R101" s="1570"/>
      <c r="S101" s="1570"/>
      <c r="T101" s="1570"/>
      <c r="U101" s="1570"/>
      <c r="V101" s="1570"/>
      <c r="W101" s="1570"/>
      <c r="X101" s="1570"/>
      <c r="Y101" s="1570"/>
      <c r="Z101" s="1570"/>
      <c r="AA101" s="1570"/>
      <c r="AB101" s="1570"/>
      <c r="AC101" s="1570"/>
      <c r="AD101" s="1570"/>
      <c r="AE101" s="1570"/>
      <c r="AF101" s="1570"/>
      <c r="AG101" s="1570"/>
      <c r="AH101" s="1570"/>
      <c r="AI101" s="1570"/>
      <c r="AJ101" s="1570"/>
      <c r="AK101" s="1570"/>
      <c r="AL101" s="1570"/>
      <c r="AM101" s="1570"/>
      <c r="AN101" s="1570"/>
      <c r="AO101" s="1570"/>
      <c r="AP101" s="1570"/>
      <c r="AQ101" s="1570"/>
      <c r="AR101" s="1570"/>
      <c r="AS101" s="1570"/>
      <c r="AT101" s="1570"/>
      <c r="AU101" s="20"/>
      <c r="AV101" s="20"/>
      <c r="AW101" s="20"/>
      <c r="AX101" s="20"/>
      <c r="AY101" s="20"/>
      <c r="AZ101" s="20"/>
      <c r="BD101" s="3" t="s">
        <v>2602</v>
      </c>
      <c r="BE101">
        <f>'Sources and Uses Budget'!C105</f>
        <v>86046463</v>
      </c>
    </row>
    <row r="102" spans="1:57" ht="12.95" customHeight="1">
      <c r="A102" s="1570"/>
      <c r="B102" s="1570"/>
      <c r="C102" s="1570"/>
      <c r="D102" s="1570"/>
      <c r="E102" s="1570"/>
      <c r="F102" s="1570"/>
      <c r="G102" s="1570"/>
      <c r="H102" s="1570"/>
      <c r="I102" s="1570"/>
      <c r="J102" s="1570"/>
      <c r="K102" s="1570"/>
      <c r="L102" s="1570"/>
      <c r="M102" s="1570"/>
      <c r="N102" s="1570"/>
      <c r="O102" s="1570"/>
      <c r="P102" s="1570"/>
      <c r="Q102" s="1570"/>
      <c r="R102" s="1570"/>
      <c r="S102" s="1570"/>
      <c r="T102" s="1570"/>
      <c r="U102" s="1570"/>
      <c r="V102" s="1570"/>
      <c r="W102" s="1570"/>
      <c r="X102" s="1570"/>
      <c r="Y102" s="1570"/>
      <c r="Z102" s="1570"/>
      <c r="AA102" s="1570"/>
      <c r="AB102" s="1570"/>
      <c r="AC102" s="1570"/>
      <c r="AD102" s="1570"/>
      <c r="AE102" s="1570"/>
      <c r="AF102" s="1570"/>
      <c r="AG102" s="1570"/>
      <c r="AH102" s="1570"/>
      <c r="AI102" s="1570"/>
      <c r="AJ102" s="1570"/>
      <c r="AK102" s="1570"/>
      <c r="AL102" s="1570"/>
      <c r="AM102" s="1570"/>
      <c r="AN102" s="1570"/>
      <c r="AO102" s="1570"/>
      <c r="AP102" s="1570"/>
      <c r="AQ102" s="1570"/>
      <c r="AR102" s="1570"/>
      <c r="AS102" s="1570"/>
      <c r="AT102" s="1570"/>
      <c r="AU102" s="20"/>
      <c r="AV102" s="20"/>
      <c r="AW102" s="20"/>
      <c r="AX102" s="20"/>
      <c r="AY102" s="20"/>
      <c r="AZ102" s="20"/>
      <c r="BD102" s="3" t="s">
        <v>2603</v>
      </c>
      <c r="BE102" t="b">
        <f>T197="Yes"</f>
        <v>0</v>
      </c>
    </row>
    <row r="103" spans="1:57" ht="12.95" customHeight="1">
      <c r="A103" s="1570"/>
      <c r="B103" s="1570"/>
      <c r="C103" s="1570"/>
      <c r="D103" s="1570"/>
      <c r="E103" s="1570"/>
      <c r="F103" s="1570"/>
      <c r="G103" s="1570"/>
      <c r="H103" s="1570"/>
      <c r="I103" s="1570"/>
      <c r="J103" s="1570"/>
      <c r="K103" s="1570"/>
      <c r="L103" s="1570"/>
      <c r="M103" s="1570"/>
      <c r="N103" s="1570"/>
      <c r="O103" s="1570"/>
      <c r="P103" s="1570"/>
      <c r="Q103" s="1570"/>
      <c r="R103" s="1570"/>
      <c r="S103" s="1570"/>
      <c r="T103" s="1570"/>
      <c r="U103" s="1570"/>
      <c r="V103" s="1570"/>
      <c r="W103" s="1570"/>
      <c r="X103" s="1570"/>
      <c r="Y103" s="1570"/>
      <c r="Z103" s="1570"/>
      <c r="AA103" s="1570"/>
      <c r="AB103" s="1570"/>
      <c r="AC103" s="1570"/>
      <c r="AD103" s="1570"/>
      <c r="AE103" s="1570"/>
      <c r="AF103" s="1570"/>
      <c r="AG103" s="1570"/>
      <c r="AH103" s="1570"/>
      <c r="AI103" s="1570"/>
      <c r="AJ103" s="1570"/>
      <c r="AK103" s="1570"/>
      <c r="AL103" s="1570"/>
      <c r="AM103" s="1570"/>
      <c r="AN103" s="1570"/>
      <c r="AO103" s="1570"/>
      <c r="AP103" s="1570"/>
      <c r="AQ103" s="1570"/>
      <c r="AR103" s="1570"/>
      <c r="AS103" s="1570"/>
      <c r="AT103" s="1570"/>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70" t="s">
        <v>2168</v>
      </c>
      <c r="B105" s="1570"/>
      <c r="C105" s="1570"/>
      <c r="D105" s="1570"/>
      <c r="E105" s="1570"/>
      <c r="F105" s="1570"/>
      <c r="G105" s="1570"/>
      <c r="H105" s="1570"/>
      <c r="I105" s="1570"/>
      <c r="J105" s="1570"/>
      <c r="K105" s="1570"/>
      <c r="L105" s="1570"/>
      <c r="M105" s="1570"/>
      <c r="N105" s="1570"/>
      <c r="O105" s="1570"/>
      <c r="P105" s="1570"/>
      <c r="Q105" s="1570"/>
      <c r="R105" s="1570"/>
      <c r="S105" s="1570"/>
      <c r="T105" s="1570"/>
      <c r="U105" s="1570"/>
      <c r="V105" s="1570"/>
      <c r="W105" s="1570"/>
      <c r="X105" s="1570"/>
      <c r="Y105" s="1570"/>
      <c r="Z105" s="1570"/>
      <c r="AA105" s="1570"/>
      <c r="AB105" s="1570"/>
      <c r="AC105" s="1570"/>
      <c r="AD105" s="1570"/>
      <c r="AE105" s="1570"/>
      <c r="AF105" s="1570"/>
      <c r="AG105" s="1570"/>
      <c r="AH105" s="1570"/>
      <c r="AI105" s="1570"/>
      <c r="AJ105" s="1570"/>
      <c r="AK105" s="1570"/>
      <c r="AL105" s="1570"/>
      <c r="AM105" s="1570"/>
      <c r="AN105" s="1570"/>
      <c r="AO105" s="1570"/>
      <c r="AP105" s="1570"/>
      <c r="AQ105" s="1570"/>
      <c r="AR105" s="1570"/>
      <c r="AS105" s="1570"/>
      <c r="AT105" s="1570"/>
      <c r="AU105" s="20"/>
      <c r="AV105" s="20"/>
      <c r="AW105" s="20"/>
      <c r="AX105" s="20"/>
      <c r="AY105" s="20"/>
    </row>
    <row r="106" spans="1:57" ht="12.95" customHeight="1">
      <c r="A106" s="1570"/>
      <c r="B106" s="1570"/>
      <c r="C106" s="1570"/>
      <c r="D106" s="1570"/>
      <c r="E106" s="1570"/>
      <c r="F106" s="1570"/>
      <c r="G106" s="1570"/>
      <c r="H106" s="1570"/>
      <c r="I106" s="1570"/>
      <c r="J106" s="1570"/>
      <c r="K106" s="1570"/>
      <c r="L106" s="1570"/>
      <c r="M106" s="1570"/>
      <c r="N106" s="1570"/>
      <c r="O106" s="1570"/>
      <c r="P106" s="1570"/>
      <c r="Q106" s="1570"/>
      <c r="R106" s="1570"/>
      <c r="S106" s="1570"/>
      <c r="T106" s="1570"/>
      <c r="U106" s="1570"/>
      <c r="V106" s="1570"/>
      <c r="W106" s="1570"/>
      <c r="X106" s="1570"/>
      <c r="Y106" s="1570"/>
      <c r="Z106" s="1570"/>
      <c r="AA106" s="1570"/>
      <c r="AB106" s="1570"/>
      <c r="AC106" s="1570"/>
      <c r="AD106" s="1570"/>
      <c r="AE106" s="1570"/>
      <c r="AF106" s="1570"/>
      <c r="AG106" s="1570"/>
      <c r="AH106" s="1570"/>
      <c r="AI106" s="1570"/>
      <c r="AJ106" s="1570"/>
      <c r="AK106" s="1570"/>
      <c r="AL106" s="1570"/>
      <c r="AM106" s="1570"/>
      <c r="AN106" s="1570"/>
      <c r="AO106" s="1570"/>
      <c r="AP106" s="1570"/>
      <c r="AQ106" s="1570"/>
      <c r="AR106" s="1570"/>
      <c r="AS106" s="1570"/>
      <c r="AT106" s="1570"/>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180</v>
      </c>
      <c r="G113" s="1546"/>
      <c r="H113" s="1546"/>
      <c r="I113" s="3" t="s">
        <v>181</v>
      </c>
      <c r="L113" s="1546"/>
      <c r="M113" s="1546"/>
      <c r="N113" s="1546"/>
      <c r="O113" s="1546"/>
      <c r="P113" s="1577" t="s">
        <v>2243</v>
      </c>
      <c r="Q113" s="1577"/>
      <c r="R113" s="1577"/>
      <c r="S113" s="157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62"/>
      <c r="D115" s="1562"/>
      <c r="E115" s="1562"/>
      <c r="F115" s="1562"/>
      <c r="G115" s="1562"/>
      <c r="H115" s="1562"/>
      <c r="I115" s="1562"/>
      <c r="J115" s="1562"/>
      <c r="K115" s="1562"/>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6"/>
      <c r="Z117" s="1546"/>
      <c r="AA117" s="1546"/>
      <c r="AB117" s="1546"/>
      <c r="AC117" s="1546"/>
      <c r="AD117" s="1546"/>
      <c r="AE117" s="1546"/>
      <c r="AF117" s="1546"/>
      <c r="AG117" s="1546"/>
      <c r="AH117" s="1546"/>
      <c r="AI117" s="1546"/>
      <c r="AJ117" s="1546"/>
      <c r="AK117" s="154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6" t="s">
        <v>469</v>
      </c>
      <c r="CV122" s="1687"/>
      <c r="CW122" s="14"/>
      <c r="CX122" s="14" t="s">
        <v>634</v>
      </c>
      <c r="CY122" s="14"/>
      <c r="CZ122" s="14"/>
      <c r="DA122" s="14"/>
      <c r="DB122" s="14"/>
      <c r="DC122" s="14"/>
      <c r="DD122" s="14"/>
      <c r="DE122" s="14"/>
      <c r="DF122" s="14"/>
      <c r="DG122" s="1683" t="str">
        <f>T189</f>
        <v>Alameda</v>
      </c>
      <c r="DH122" s="1684"/>
      <c r="DI122" s="1684"/>
      <c r="DJ122" s="1684"/>
      <c r="DK122" s="1684"/>
      <c r="DL122" s="1684"/>
      <c r="DM122" s="1685"/>
    </row>
    <row r="123" spans="1:117" ht="12.95" customHeight="1">
      <c r="A123" s="3"/>
      <c r="B123" s="3"/>
      <c r="T123" s="3"/>
      <c r="U123" s="3"/>
      <c r="V123" s="3"/>
      <c r="W123" s="3"/>
      <c r="X123" s="3"/>
      <c r="Y123" s="1546"/>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526"/>
      <c r="G150" s="1526"/>
      <c r="H150" s="1526"/>
      <c r="I150" s="1526"/>
      <c r="J150" s="1526"/>
      <c r="K150" s="1526"/>
      <c r="L150" s="1526"/>
      <c r="M150" s="1526"/>
      <c r="N150" s="1526"/>
      <c r="O150" s="1526"/>
      <c r="P150" s="1526"/>
      <c r="Q150" s="1526"/>
      <c r="R150" s="1526"/>
      <c r="S150" s="1526"/>
      <c r="T150" s="15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645</v>
      </c>
      <c r="O153" s="1476" t="s">
        <v>2611</v>
      </c>
      <c r="P153" s="1548"/>
      <c r="Q153" s="1548"/>
      <c r="R153" s="1548"/>
      <c r="S153" s="1548"/>
      <c r="T153" s="1548"/>
      <c r="U153" s="1548"/>
      <c r="V153" s="1548"/>
      <c r="W153" s="1548"/>
      <c r="X153" s="1548"/>
      <c r="Y153" s="1548"/>
      <c r="Z153" s="1548"/>
      <c r="AA153" s="1548"/>
      <c r="AB153" s="1548"/>
      <c r="AC153" s="1548"/>
      <c r="AD153" s="1548"/>
      <c r="AE153" s="1548"/>
      <c r="AF153" s="1548"/>
      <c r="AG153" s="1548"/>
      <c r="AH153" s="1548"/>
      <c r="BM153">
        <v>5</v>
      </c>
      <c r="BN153" s="3" t="s">
        <v>2470</v>
      </c>
      <c r="CR153" s="31" t="s">
        <v>2604</v>
      </c>
      <c r="CS153" s="32"/>
      <c r="CT153" s="32"/>
      <c r="CU153" s="32"/>
      <c r="CV153" s="32"/>
      <c r="CW153" s="32"/>
      <c r="CX153" s="14"/>
      <c r="CY153" s="31" t="s">
        <v>2605</v>
      </c>
      <c r="CZ153" s="14"/>
      <c r="DA153" s="14"/>
      <c r="DB153" s="14"/>
      <c r="DC153" s="14"/>
      <c r="DD153" s="14"/>
    </row>
    <row r="154" spans="1:108" ht="12.95" customHeight="1">
      <c r="D154" s="304" t="s">
        <v>439</v>
      </c>
      <c r="O154" s="1549" t="s">
        <v>2612</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2471</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53" t="s">
        <v>440</v>
      </c>
      <c r="P155" s="1554"/>
      <c r="Q155" s="1554"/>
      <c r="R155" s="1554"/>
      <c r="S155" s="1554"/>
      <c r="T155" s="1554"/>
      <c r="U155" s="1554"/>
      <c r="V155" s="1554"/>
      <c r="W155" s="1554"/>
      <c r="X155" s="1554"/>
      <c r="Y155" s="1554"/>
      <c r="Z155" s="1554"/>
      <c r="AA155" s="1554"/>
      <c r="AB155" s="1554"/>
      <c r="AC155" s="1554"/>
      <c r="AD155" s="1554"/>
      <c r="AE155" s="1554"/>
      <c r="AF155" s="1554"/>
      <c r="AG155" s="1554"/>
      <c r="AH155" s="1554"/>
      <c r="BM155">
        <v>7</v>
      </c>
      <c r="CR155" s="31"/>
      <c r="CS155" s="32"/>
      <c r="CT155" s="32"/>
      <c r="CU155" s="32"/>
      <c r="CV155" s="32"/>
      <c r="CW155" s="32"/>
      <c r="CX155" s="14"/>
      <c r="CY155" s="31"/>
      <c r="CZ155" s="14"/>
      <c r="DA155" s="14"/>
      <c r="DB155" s="14"/>
      <c r="DC155" s="14"/>
      <c r="DD155" s="14"/>
    </row>
    <row r="156" spans="1:108" ht="12.95" customHeight="1">
      <c r="D156" t="s">
        <v>312</v>
      </c>
      <c r="O156" s="1457" t="s">
        <v>2613</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76" t="s">
        <v>2614</v>
      </c>
      <c r="P157" s="1548"/>
      <c r="Q157" s="1548"/>
      <c r="R157" s="1548"/>
      <c r="S157" s="1548"/>
      <c r="T157" s="1548"/>
      <c r="U157" s="1548"/>
      <c r="V157" s="1548"/>
      <c r="W157" s="1548"/>
      <c r="X157" s="1548"/>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73">
        <v>94612</v>
      </c>
      <c r="P158" s="1573"/>
      <c r="Q158" s="1573"/>
      <c r="R158" s="1573"/>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47" t="s">
        <v>2615</v>
      </c>
      <c r="P159" s="1547"/>
      <c r="Q159" s="1547"/>
      <c r="R159" s="1547"/>
      <c r="S159" s="1547"/>
      <c r="T159" s="1547"/>
      <c r="V159" s="97" t="s">
        <v>270</v>
      </c>
      <c r="W159" s="1574"/>
      <c r="X159" s="1574"/>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47" t="s">
        <v>2616</v>
      </c>
      <c r="P160" s="1547"/>
      <c r="Q160" s="1547"/>
      <c r="R160" s="1547"/>
      <c r="S160" s="1547"/>
      <c r="T160" s="1547"/>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317</v>
      </c>
      <c r="O161" s="1563" t="s">
        <v>2617</v>
      </c>
      <c r="P161" s="1563"/>
      <c r="Q161" s="1563"/>
      <c r="R161" s="1563"/>
      <c r="S161" s="1563"/>
      <c r="T161" s="1563"/>
      <c r="U161" s="1563"/>
      <c r="V161" s="1563"/>
      <c r="W161" s="1563"/>
      <c r="X161" s="1563"/>
      <c r="Y161" s="1563"/>
      <c r="Z161" s="1563"/>
      <c r="AA161" s="1563"/>
      <c r="AB161" s="1563"/>
      <c r="AC161" s="1563"/>
      <c r="AD161" s="1563"/>
      <c r="AE161" s="1563"/>
      <c r="AF161" s="1563"/>
      <c r="AG161" s="1563"/>
      <c r="AH161" s="1563"/>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564" t="s">
        <v>2218</v>
      </c>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556" t="s">
        <v>539</v>
      </c>
      <c r="B169" s="1556"/>
      <c r="C169" s="1556"/>
      <c r="D169" s="1556"/>
      <c r="E169" s="1556"/>
      <c r="F169" s="1556"/>
      <c r="G169" s="1556"/>
      <c r="H169" s="1556"/>
      <c r="I169" s="1556"/>
      <c r="J169" s="1556"/>
      <c r="K169" s="1556"/>
      <c r="L169" s="1556"/>
      <c r="M169" s="1556"/>
      <c r="N169" s="1556"/>
      <c r="O169" s="1556"/>
      <c r="P169" s="1556"/>
      <c r="Q169" s="1556"/>
      <c r="R169" s="1556"/>
      <c r="S169" s="1556"/>
      <c r="T169" s="1556"/>
      <c r="U169" s="1556"/>
      <c r="V169" s="1556"/>
      <c r="W169" s="1556"/>
      <c r="X169" s="1556"/>
      <c r="Y169" s="1556"/>
      <c r="Z169" s="1556"/>
      <c r="AA169" s="1556"/>
      <c r="AB169" s="1556"/>
      <c r="AC169" s="1556"/>
      <c r="AD169" s="1556"/>
      <c r="AE169" s="1556"/>
      <c r="AF169" s="1556"/>
      <c r="AG169" s="1556"/>
      <c r="AH169" s="1556"/>
      <c r="AI169" s="1556"/>
      <c r="AJ169" s="1556"/>
      <c r="AK169" s="1556"/>
      <c r="AL169" s="1556"/>
      <c r="AM169" s="1556"/>
      <c r="AN169" s="1556"/>
      <c r="AO169" s="1556"/>
      <c r="AP169" s="1556"/>
      <c r="AQ169" s="1556"/>
      <c r="AR169" s="1556"/>
      <c r="AS169" s="1556"/>
      <c r="AT169" s="1556"/>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556"/>
      <c r="B170" s="1556"/>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320</v>
      </c>
      <c r="J173" s="1552" t="s">
        <v>370</v>
      </c>
      <c r="K173" s="1552"/>
      <c r="L173" s="1552"/>
      <c r="M173" s="1552"/>
      <c r="N173" s="1552"/>
      <c r="O173" s="1552"/>
      <c r="P173" s="1552"/>
      <c r="Q173" s="1552"/>
      <c r="R173" s="1552"/>
      <c r="S173" s="1552"/>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1202</v>
      </c>
      <c r="J174" s="1457" t="s">
        <v>2103</v>
      </c>
      <c r="K174" s="1457"/>
      <c r="L174" s="1457"/>
      <c r="M174" s="1457"/>
      <c r="N174" s="1457"/>
      <c r="O174" s="1457"/>
      <c r="P174" s="1457"/>
      <c r="Q174" s="1457"/>
      <c r="R174" s="1457"/>
      <c r="S174" s="1457"/>
      <c r="T174" s="1457"/>
      <c r="U174" s="1457"/>
      <c r="V174" s="1457"/>
      <c r="W174" s="1457"/>
      <c r="X174" s="1457"/>
      <c r="Y174" s="1457"/>
      <c r="Z174" s="1457"/>
      <c r="AA174" s="1457"/>
      <c r="AB174" s="1457"/>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5" customHeight="1">
      <c r="C175" s="8"/>
      <c r="D175" s="3" t="s">
        <v>321</v>
      </c>
      <c r="O175" s="27"/>
      <c r="U175" s="1398" t="s">
        <v>669</v>
      </c>
      <c r="V175" s="1398"/>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5" customHeight="1">
      <c r="C176" s="8"/>
      <c r="D176" s="26"/>
      <c r="E176" t="s">
        <v>303</v>
      </c>
      <c r="O176" s="27"/>
      <c r="P176" t="s">
        <v>2081</v>
      </c>
      <c r="T176" s="27" t="s">
        <v>304</v>
      </c>
      <c r="U176" s="1496"/>
      <c r="V176" s="1496"/>
      <c r="W176" s="1" t="s">
        <v>305</v>
      </c>
      <c r="X176" s="1558"/>
      <c r="Y176" s="1558"/>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5" customHeight="1">
      <c r="C177" s="24"/>
      <c r="D177" t="s">
        <v>248</v>
      </c>
      <c r="R177" s="1398"/>
      <c r="S177" s="1398"/>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5" customHeight="1">
      <c r="C178" s="24"/>
      <c r="D178" s="3" t="s">
        <v>1203</v>
      </c>
      <c r="AA178" t="s">
        <v>2081</v>
      </c>
      <c r="AE178" s="27" t="s">
        <v>304</v>
      </c>
      <c r="AF178" s="1582"/>
      <c r="AG178" s="1582"/>
      <c r="AH178" s="1" t="s">
        <v>305</v>
      </c>
      <c r="AI178" s="1537"/>
      <c r="AJ178" s="1537"/>
      <c r="AK178" s="1537"/>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5" customHeight="1">
      <c r="C180" s="24"/>
      <c r="D180" t="s">
        <v>2082</v>
      </c>
      <c r="X180" s="1398" t="s">
        <v>669</v>
      </c>
      <c r="Y180" s="1398"/>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5" customHeight="1">
      <c r="C184" s="21"/>
      <c r="D184" t="s">
        <v>578</v>
      </c>
      <c r="I184" s="1492" t="str">
        <f>H18</f>
        <v>The Eliza</v>
      </c>
      <c r="J184" s="1492"/>
      <c r="K184" s="1492"/>
      <c r="L184" s="1492"/>
      <c r="M184" s="1492"/>
      <c r="N184" s="1492"/>
      <c r="O184" s="1492"/>
      <c r="P184" s="1492"/>
      <c r="Q184" s="1492"/>
      <c r="R184" s="1492"/>
      <c r="S184" s="1492"/>
      <c r="T184" s="1492"/>
      <c r="U184" s="1492"/>
      <c r="V184" s="1492"/>
      <c r="W184" s="1492"/>
      <c r="X184" s="1492"/>
      <c r="Y184" s="1492"/>
      <c r="Z184" s="1492"/>
      <c r="AA184" s="1492"/>
      <c r="AB184" s="1492"/>
      <c r="AC184" s="1492"/>
      <c r="AD184" s="1492"/>
      <c r="AE184" s="1492"/>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5" customHeight="1">
      <c r="C185" s="21"/>
      <c r="D185" t="s">
        <v>579</v>
      </c>
      <c r="I185" s="1416" t="s">
        <v>2618</v>
      </c>
      <c r="J185" s="1416"/>
      <c r="K185" s="1416"/>
      <c r="L185" s="1416"/>
      <c r="M185" s="1416"/>
      <c r="N185" s="1416"/>
      <c r="O185" s="1416"/>
      <c r="P185" s="1416"/>
      <c r="Q185" s="1416"/>
      <c r="R185" s="1416"/>
      <c r="S185" s="1416"/>
      <c r="T185" s="1416"/>
      <c r="U185" s="1416"/>
      <c r="V185" s="1416"/>
      <c r="W185" s="1416"/>
      <c r="X185" s="1416"/>
      <c r="Y185" s="1416"/>
      <c r="Z185" s="1416"/>
      <c r="AA185" s="1416"/>
      <c r="AB185" s="1416"/>
      <c r="AC185" s="1416"/>
      <c r="AD185" s="1416"/>
      <c r="AE185" s="1416"/>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5" customHeight="1">
      <c r="C187" s="21"/>
      <c r="E187" s="1468"/>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5" customHeight="1">
      <c r="C188" s="21"/>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5" customHeight="1">
      <c r="C189" s="21"/>
      <c r="D189" t="s">
        <v>580</v>
      </c>
      <c r="I189" s="1476" t="s">
        <v>2614</v>
      </c>
      <c r="J189" s="1457"/>
      <c r="K189" s="1457"/>
      <c r="L189" s="1457"/>
      <c r="M189" s="1457"/>
      <c r="N189" s="1457"/>
      <c r="O189" s="1457"/>
      <c r="P189" s="1457"/>
      <c r="Q189" t="s">
        <v>582</v>
      </c>
      <c r="T189" s="1457" t="s">
        <v>476</v>
      </c>
      <c r="U189" s="1457"/>
      <c r="V189" s="1457"/>
      <c r="W189" s="1457"/>
      <c r="X189" s="1457"/>
      <c r="Y189" s="1457"/>
      <c r="Z189" s="1457"/>
      <c r="AA189" s="1457"/>
      <c r="AB189" s="1457"/>
      <c r="AC189" s="1457"/>
      <c r="AD189" s="1457"/>
      <c r="AE189" s="1457"/>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5" customHeight="1">
      <c r="C190" s="21"/>
      <c r="D190" t="s">
        <v>583</v>
      </c>
      <c r="I190" s="1416">
        <v>94612</v>
      </c>
      <c r="J190" s="1416"/>
      <c r="K190" s="1416"/>
      <c r="L190" s="1416"/>
      <c r="M190" s="1416"/>
      <c r="N190" s="1416"/>
      <c r="O190" t="s">
        <v>585</v>
      </c>
      <c r="T190" s="1571">
        <v>4028.01</v>
      </c>
      <c r="U190" s="1571"/>
      <c r="V190" s="1571"/>
      <c r="W190" s="1571"/>
      <c r="X190" s="1571"/>
      <c r="Y190" s="1571"/>
      <c r="Z190" s="1571"/>
      <c r="AA190" s="1571"/>
      <c r="AB190" s="1571"/>
      <c r="AC190" s="1571"/>
      <c r="AD190" s="1571"/>
      <c r="AE190" s="1571"/>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5" customHeight="1">
      <c r="C191" s="21"/>
      <c r="D191" t="s">
        <v>462</v>
      </c>
      <c r="N191" s="1468" t="s">
        <v>2619</v>
      </c>
      <c r="O191" s="1468"/>
      <c r="P191" s="1468"/>
      <c r="Q191" s="1468"/>
      <c r="R191" s="1468"/>
      <c r="S191" s="1468"/>
      <c r="T191" s="1468"/>
      <c r="U191" s="1468"/>
      <c r="V191" s="1468"/>
      <c r="W191" s="1468"/>
      <c r="X191" s="1468"/>
      <c r="Y191" s="1468"/>
      <c r="Z191" s="1468"/>
      <c r="AA191" s="1468"/>
      <c r="AB191" s="1468"/>
      <c r="AC191" s="1468"/>
      <c r="AD191" s="1468"/>
      <c r="AE191" s="1468"/>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5" customHeight="1">
      <c r="C192" s="21"/>
      <c r="M192" s="40"/>
      <c r="N192" s="1469"/>
      <c r="O192" s="1469"/>
      <c r="P192" s="1469"/>
      <c r="Q192" s="1469"/>
      <c r="R192" s="1469"/>
      <c r="S192" s="1469"/>
      <c r="T192" s="1469"/>
      <c r="U192" s="1469"/>
      <c r="V192" s="1469"/>
      <c r="W192" s="1469"/>
      <c r="X192" s="1469"/>
      <c r="Y192" s="1469"/>
      <c r="Z192" s="1469"/>
      <c r="AA192" s="1469"/>
      <c r="AB192" s="1469"/>
      <c r="AC192" s="1469"/>
      <c r="AD192" s="1469"/>
      <c r="AE192" s="1469"/>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575" t="s">
        <v>2215</v>
      </c>
      <c r="U193" s="1575"/>
      <c r="V193" s="1575"/>
      <c r="W193" s="1575"/>
      <c r="X193" s="1575"/>
      <c r="Y193" s="1575"/>
      <c r="Z193" s="1575"/>
      <c r="AA193" s="1575"/>
      <c r="AB193" s="1575"/>
      <c r="AC193" s="1575"/>
      <c r="AD193" s="1575"/>
      <c r="AE193" s="1575"/>
      <c r="AF193" s="1575"/>
      <c r="AG193" s="1575"/>
      <c r="AH193" s="1575"/>
      <c r="AI193" s="1575"/>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398" t="s">
        <v>669</v>
      </c>
      <c r="AI194" s="1398"/>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330</v>
      </c>
      <c r="T195" s="1398" t="s">
        <v>669</v>
      </c>
      <c r="U195" s="1398"/>
      <c r="W195" t="s">
        <v>684</v>
      </c>
      <c r="AH195" s="1398">
        <v>12</v>
      </c>
      <c r="AI195" s="1398"/>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385</v>
      </c>
      <c r="T196" s="1418" t="s">
        <v>545</v>
      </c>
      <c r="U196" s="1418"/>
      <c r="W196" t="s">
        <v>685</v>
      </c>
      <c r="AH196" s="1398">
        <v>8</v>
      </c>
      <c r="AI196" s="1398"/>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168</v>
      </c>
      <c r="T197" s="1418" t="s">
        <v>669</v>
      </c>
      <c r="U197" s="1418"/>
      <c r="W197" t="s">
        <v>686</v>
      </c>
      <c r="AH197" s="1398">
        <v>9</v>
      </c>
      <c r="AI197" s="1398"/>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418"/>
      <c r="U198" s="1418"/>
      <c r="V198"/>
      <c r="X198" s="1557" t="s">
        <v>2517</v>
      </c>
      <c r="Y198" s="1557"/>
      <c r="Z198" s="1557"/>
      <c r="AA198" s="1557"/>
      <c r="AB198" s="1557"/>
      <c r="AC198" s="1557"/>
      <c r="AD198" s="1557"/>
      <c r="AE198" s="1557"/>
      <c r="AF198" s="1557"/>
      <c r="AG198" s="1557"/>
      <c r="AH198" s="1557"/>
      <c r="AI198" s="1557"/>
      <c r="AJ198" s="1557"/>
      <c r="AK198" s="1557"/>
      <c r="AL198" s="1557"/>
      <c r="AM198" s="1557"/>
      <c r="AN198" s="1557"/>
      <c r="AO198" s="1557"/>
      <c r="AP198" s="1557"/>
      <c r="AQ198" s="1557"/>
      <c r="AR198" s="1557"/>
      <c r="AS198" s="1557"/>
      <c r="AT198" s="1557"/>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398"/>
      <c r="U199" s="1398"/>
      <c r="V199"/>
      <c r="W199"/>
      <c r="X199" s="1557"/>
      <c r="Y199" s="1557"/>
      <c r="Z199" s="1557"/>
      <c r="AA199" s="1557"/>
      <c r="AB199" s="1557"/>
      <c r="AC199" s="1557"/>
      <c r="AD199" s="1557"/>
      <c r="AE199" s="1557"/>
      <c r="AF199" s="1557"/>
      <c r="AG199" s="1557"/>
      <c r="AH199" s="1557"/>
      <c r="AI199" s="1557"/>
      <c r="AJ199" s="1557"/>
      <c r="AK199" s="1557"/>
      <c r="AL199" s="1557"/>
      <c r="AM199" s="1557"/>
      <c r="AN199" s="1557"/>
      <c r="AO199" s="1557"/>
      <c r="AP199" s="1557"/>
      <c r="AQ199" s="1557"/>
      <c r="AR199" s="1557"/>
      <c r="AS199" s="1557"/>
      <c r="AT199" s="1557"/>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5" customHeight="1">
      <c r="A200"/>
      <c r="B200"/>
      <c r="C200" s="21"/>
      <c r="D200" s="14" t="s">
        <v>2518</v>
      </c>
      <c r="T200" s="1398"/>
      <c r="U200" s="1398"/>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492" t="s">
        <v>384</v>
      </c>
      <c r="E204" s="1492"/>
      <c r="F204" s="1492"/>
      <c r="G204" s="1492"/>
      <c r="H204" s="1492"/>
      <c r="I204" s="1492"/>
      <c r="J204" s="1492"/>
      <c r="K204" s="1492"/>
      <c r="L204" s="1492"/>
      <c r="M204" s="1492"/>
      <c r="P204" s="1565">
        <f>M26</f>
        <v>4013946</v>
      </c>
      <c r="Q204" s="1566"/>
      <c r="R204" s="1566"/>
      <c r="S204" s="1566"/>
      <c r="T204" s="1566"/>
      <c r="U204" s="1566"/>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568" t="s">
        <v>1247</v>
      </c>
      <c r="E205" s="1492"/>
      <c r="F205" s="1492"/>
      <c r="G205" s="1492"/>
      <c r="H205" s="1492"/>
      <c r="I205" s="1492"/>
      <c r="J205" s="1492"/>
      <c r="K205" s="1492"/>
      <c r="L205" s="1492"/>
      <c r="M205" s="1492"/>
      <c r="P205" s="1566">
        <f>M27</f>
        <v>0</v>
      </c>
      <c r="Q205" s="1566"/>
      <c r="R205" s="1566"/>
      <c r="S205" s="1566"/>
      <c r="T205" s="1566"/>
      <c r="U205" s="1566"/>
      <c r="V205" s="28"/>
      <c r="W205" s="3" t="s">
        <v>1720</v>
      </c>
      <c r="Z205" s="1555" t="s">
        <v>1184</v>
      </c>
      <c r="AA205" s="1555"/>
      <c r="AB205" s="1555"/>
      <c r="AC205" s="1555"/>
      <c r="AD205" s="1555"/>
      <c r="AE205" s="1555"/>
      <c r="AF205" s="1555"/>
      <c r="AG205" s="1555"/>
      <c r="AH205" s="1555"/>
      <c r="AI205" s="1555"/>
      <c r="AJ205" s="1555"/>
      <c r="AK205" s="1555"/>
      <c r="AL205" s="1555"/>
      <c r="AM205" s="1555"/>
      <c r="AN205" s="1555"/>
      <c r="AP205" s="1526"/>
      <c r="AQ205" s="152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548" t="s">
        <v>2620</v>
      </c>
      <c r="E208" s="1548"/>
      <c r="F208" s="1548"/>
      <c r="G208" s="1548"/>
      <c r="H208" s="1548"/>
      <c r="I208" s="1548"/>
      <c r="J208" s="1548"/>
      <c r="K208" s="1548"/>
      <c r="L208" s="1548"/>
      <c r="M208" s="1548"/>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48" t="s">
        <v>1040</v>
      </c>
      <c r="E211" s="1548"/>
      <c r="F211" s="1548"/>
      <c r="G211" s="1548"/>
      <c r="H211" s="1548"/>
      <c r="I211" s="1548"/>
      <c r="J211" s="1548"/>
      <c r="K211" s="1548"/>
      <c r="L211" s="1548"/>
      <c r="M211" s="1548"/>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398">
        <v>20</v>
      </c>
      <c r="R212" s="1398"/>
      <c r="T212" s="1550">
        <f>IFERROR(Q212/AG440,0)</f>
        <v>0.20833333333333334</v>
      </c>
      <c r="U212" s="1551"/>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60" t="s">
        <v>591</v>
      </c>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472">
        <v>62</v>
      </c>
      <c r="AC215" s="1472"/>
      <c r="AD215" s="1472"/>
      <c r="AE215" s="1472"/>
      <c r="AF215" s="1472"/>
      <c r="AG215" s="1472"/>
      <c r="AH215" s="1472"/>
      <c r="AI215" s="1472"/>
      <c r="AJ215" s="1472"/>
      <c r="AK215" s="1472"/>
      <c r="AL215" s="1472"/>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472"/>
      <c r="AC216" s="1472"/>
      <c r="AD216" s="1472"/>
      <c r="AE216" s="1472"/>
      <c r="AF216" s="1472"/>
      <c r="AG216" s="1472"/>
      <c r="AH216" s="1472"/>
      <c r="AI216" s="1472"/>
      <c r="AJ216" s="1472"/>
      <c r="AK216" s="1472"/>
      <c r="AL216" s="1472"/>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5" customHeight="1">
      <c r="A218" s="2" t="s">
        <v>592</v>
      </c>
      <c r="C218" s="2" t="s">
        <v>2237</v>
      </c>
      <c r="D218" s="28"/>
      <c r="AC218" s="2" t="s">
        <v>2466</v>
      </c>
      <c r="BC218" t="s">
        <v>529</v>
      </c>
    </row>
    <row r="219" spans="1:108" ht="12.95" customHeight="1">
      <c r="A219" s="2"/>
      <c r="C219" s="2"/>
      <c r="D219" s="3" t="s">
        <v>2467</v>
      </c>
      <c r="AZ219" s="3"/>
      <c r="BA219" s="3"/>
      <c r="BC219" t="s">
        <v>376</v>
      </c>
    </row>
    <row r="220" spans="1:108" ht="12.95" customHeight="1">
      <c r="A220" s="2"/>
      <c r="C220" s="2"/>
      <c r="D220" s="1476" t="s">
        <v>1063</v>
      </c>
      <c r="E220" s="1548"/>
      <c r="F220" s="1548"/>
      <c r="G220" s="1548"/>
      <c r="H220" s="1548"/>
      <c r="I220" s="1548"/>
      <c r="J220" s="1548"/>
      <c r="K220" s="1548"/>
      <c r="L220" s="1548"/>
      <c r="M220" s="1548"/>
      <c r="N220" s="1548"/>
      <c r="O220" s="1548"/>
      <c r="P220" s="1548"/>
      <c r="Q220" s="1548"/>
      <c r="R220" s="1548"/>
      <c r="S220" s="1548"/>
      <c r="T220" s="1548"/>
      <c r="U220" s="1548"/>
      <c r="V220" s="1548"/>
      <c r="W220" s="1548"/>
      <c r="X220" s="1548"/>
      <c r="Y220" s="1548"/>
      <c r="Z220" s="1548"/>
      <c r="AC220" s="1567" t="s">
        <v>2469</v>
      </c>
      <c r="AD220" s="1567"/>
      <c r="AE220" s="1567"/>
      <c r="AF220" s="1567"/>
      <c r="AG220" s="1567"/>
      <c r="AH220" s="1567"/>
      <c r="AI220" s="1567"/>
      <c r="AJ220" s="1567"/>
      <c r="AK220" s="1567"/>
      <c r="AL220" s="1567"/>
      <c r="AM220" s="1567"/>
      <c r="AN220" s="1567"/>
      <c r="AO220" s="1567"/>
      <c r="AP220" s="1567"/>
      <c r="AQ220" s="1567"/>
      <c r="BA220" s="3"/>
      <c r="BC220" t="s">
        <v>299</v>
      </c>
    </row>
    <row r="221" spans="1:108" ht="12.95" customHeight="1">
      <c r="A221" s="2"/>
      <c r="B221" s="14"/>
      <c r="C221" s="2"/>
      <c r="BA221" s="3"/>
    </row>
    <row r="222" spans="1:108" ht="12.95" customHeight="1">
      <c r="A222" s="1556" t="s">
        <v>540</v>
      </c>
      <c r="B222" s="1556"/>
      <c r="C222" s="1556"/>
      <c r="D222" s="1556"/>
      <c r="E222" s="1556"/>
      <c r="F222" s="1556"/>
      <c r="G222" s="1556"/>
      <c r="H222" s="1556"/>
      <c r="I222" s="1556"/>
      <c r="J222" s="1556"/>
      <c r="K222" s="1556"/>
      <c r="L222" s="1556"/>
      <c r="M222" s="1556"/>
      <c r="N222" s="1556"/>
      <c r="O222" s="1556"/>
      <c r="P222" s="1556"/>
      <c r="Q222" s="1556"/>
      <c r="R222" s="1556"/>
      <c r="S222" s="1556"/>
      <c r="T222" s="1556"/>
      <c r="U222" s="1556"/>
      <c r="V222" s="1556"/>
      <c r="W222" s="1556"/>
      <c r="X222" s="1556"/>
      <c r="Y222" s="1556"/>
      <c r="Z222" s="1556"/>
      <c r="AA222" s="1556"/>
      <c r="AB222" s="1556"/>
      <c r="AC222" s="1556"/>
      <c r="AD222" s="1556"/>
      <c r="AE222" s="1556"/>
      <c r="AF222" s="1556"/>
      <c r="AG222" s="1556"/>
      <c r="AH222" s="1556"/>
      <c r="AI222" s="1556"/>
      <c r="AJ222" s="1556"/>
      <c r="AK222" s="1556"/>
      <c r="AL222" s="1556"/>
      <c r="AM222" s="1556"/>
      <c r="AN222" s="1556"/>
      <c r="AO222" s="1556"/>
      <c r="AP222" s="1556"/>
      <c r="AQ222" s="1556"/>
      <c r="AR222" s="1556"/>
      <c r="AS222" s="1556"/>
      <c r="AT222" s="1556"/>
      <c r="AU222" s="95"/>
      <c r="AV222" s="95"/>
      <c r="AW222" s="95"/>
      <c r="AX222" s="95"/>
      <c r="AY222" s="95"/>
      <c r="AZ222" s="3"/>
      <c r="BA222" s="3"/>
      <c r="BP222" s="34"/>
    </row>
    <row r="223" spans="1:108" ht="12.95" customHeight="1">
      <c r="A223" s="1556"/>
      <c r="B223" s="1556"/>
      <c r="C223" s="1556"/>
      <c r="D223" s="1556"/>
      <c r="E223" s="1556"/>
      <c r="F223" s="1556"/>
      <c r="G223" s="1556"/>
      <c r="H223" s="1556"/>
      <c r="I223" s="1556"/>
      <c r="J223" s="1556"/>
      <c r="K223" s="1556"/>
      <c r="L223" s="1556"/>
      <c r="M223" s="1556"/>
      <c r="N223" s="1556"/>
      <c r="O223" s="1556"/>
      <c r="P223" s="1556"/>
      <c r="Q223" s="1556"/>
      <c r="R223" s="1556"/>
      <c r="S223" s="1556"/>
      <c r="T223" s="1556"/>
      <c r="U223" s="1556"/>
      <c r="V223" s="1556"/>
      <c r="W223" s="1556"/>
      <c r="X223" s="1556"/>
      <c r="Y223" s="1556"/>
      <c r="Z223" s="1556"/>
      <c r="AA223" s="1556"/>
      <c r="AB223" s="1556"/>
      <c r="AC223" s="1556"/>
      <c r="AD223" s="1556"/>
      <c r="AE223" s="1556"/>
      <c r="AF223" s="1556"/>
      <c r="AG223" s="1556"/>
      <c r="AH223" s="1556"/>
      <c r="AI223" s="1556"/>
      <c r="AJ223" s="1556"/>
      <c r="AK223" s="1556"/>
      <c r="AL223" s="1556"/>
      <c r="AM223" s="1556"/>
      <c r="AN223" s="1556"/>
      <c r="AO223" s="1556"/>
      <c r="AP223" s="1556"/>
      <c r="AQ223" s="1556"/>
      <c r="AR223" s="1556"/>
      <c r="AS223" s="1556"/>
      <c r="AT223" s="1556"/>
      <c r="BA223" s="3"/>
      <c r="BB223" s="3"/>
      <c r="BQ223" s="34"/>
    </row>
    <row r="224" spans="1:108" ht="12.95" customHeight="1">
      <c r="AZ224" s="4"/>
      <c r="BA224" s="3"/>
      <c r="BB224" s="3"/>
      <c r="BQ224" s="34"/>
    </row>
    <row r="225" spans="1:59" ht="12.9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8" t="s">
        <v>545</v>
      </c>
      <c r="AJ226" s="1398"/>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8" t="s">
        <v>545</v>
      </c>
      <c r="AJ227" s="1398"/>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8" t="s">
        <v>591</v>
      </c>
      <c r="AJ229" s="1398"/>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572" t="str">
        <f>H16</f>
        <v>Mercy Housing California 91, L.P.</v>
      </c>
      <c r="N232" s="1572"/>
      <c r="O232" s="1572"/>
      <c r="P232" s="1572"/>
      <c r="Q232" s="1572"/>
      <c r="R232" s="1572"/>
      <c r="S232" s="1572"/>
      <c r="T232" s="1572"/>
      <c r="U232" s="1572"/>
      <c r="V232" s="1572"/>
      <c r="W232" s="1572"/>
      <c r="X232" s="1572"/>
      <c r="Y232" s="1572"/>
      <c r="Z232" s="1572"/>
      <c r="AA232" s="1572"/>
      <c r="AB232" s="1572"/>
      <c r="AC232" s="1572"/>
      <c r="AD232" s="1572"/>
      <c r="AE232" s="1572"/>
      <c r="AF232" s="1572"/>
      <c r="AG232" s="1572"/>
      <c r="AH232" s="1572"/>
      <c r="AI232" s="1572"/>
      <c r="AJ232" s="1572"/>
      <c r="AK232" s="1572"/>
      <c r="AZ232" s="4"/>
      <c r="BA232" s="3"/>
      <c r="BB232" s="206" t="s">
        <v>538</v>
      </c>
      <c r="BG232" s="242">
        <f>IF(AND(AND($M$249="nonprofit",$M$257="nonprofit",$M$265="for profit")),2,0)</f>
        <v>0</v>
      </c>
    </row>
    <row r="233" spans="1:59" ht="12.95" customHeight="1">
      <c r="D233" s="4" t="s">
        <v>85</v>
      </c>
      <c r="E233" s="4"/>
      <c r="F233" s="4"/>
      <c r="G233" s="4"/>
      <c r="H233" s="4"/>
      <c r="I233" s="4"/>
      <c r="J233" s="4"/>
      <c r="K233" s="4"/>
      <c r="M233" s="1476" t="s">
        <v>2621</v>
      </c>
      <c r="N233" s="1548"/>
      <c r="O233" s="1548"/>
      <c r="P233" s="1548"/>
      <c r="Q233" s="1548"/>
      <c r="R233" s="1548"/>
      <c r="S233" s="1548"/>
      <c r="T233" s="1548"/>
      <c r="U233" s="1548"/>
      <c r="V233" s="1548"/>
      <c r="W233" s="1548"/>
      <c r="X233" s="1548"/>
      <c r="Y233" s="1548"/>
      <c r="Z233" s="1548"/>
      <c r="AA233" s="1548"/>
      <c r="AB233" s="1548"/>
      <c r="AC233" s="1548"/>
      <c r="AD233" s="1548"/>
      <c r="AE233" s="1548"/>
      <c r="BB233" s="206" t="s">
        <v>538</v>
      </c>
      <c r="BG233" s="242">
        <f>IF(AND(AND($M$249="nonprofit",$M$257="for profit",$M$265="nonprofit")),2,0)</f>
        <v>0</v>
      </c>
    </row>
    <row r="234" spans="1:59" ht="12.95" customHeight="1">
      <c r="D234" s="4" t="s">
        <v>580</v>
      </c>
      <c r="E234" s="4"/>
      <c r="M234" s="1476" t="s">
        <v>730</v>
      </c>
      <c r="N234" s="1548"/>
      <c r="O234" s="1548"/>
      <c r="P234" s="1548"/>
      <c r="Q234" s="1548"/>
      <c r="R234" s="1548"/>
      <c r="S234" s="1548"/>
      <c r="T234" s="1548"/>
      <c r="V234" s="33" t="s">
        <v>86</v>
      </c>
      <c r="W234" s="1549" t="s">
        <v>2622</v>
      </c>
      <c r="X234" s="1459"/>
      <c r="Y234" s="4" t="s">
        <v>583</v>
      </c>
      <c r="AC234" s="1548">
        <v>94102</v>
      </c>
      <c r="AD234" s="1548"/>
      <c r="AE234" s="1548"/>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76" t="s">
        <v>2623</v>
      </c>
      <c r="N235" s="1548"/>
      <c r="O235" s="1548"/>
      <c r="P235" s="1548"/>
      <c r="Q235" s="1548"/>
      <c r="R235" s="1548"/>
      <c r="S235" s="1548"/>
      <c r="T235" s="1548"/>
      <c r="U235" s="1548"/>
      <c r="V235" s="1548"/>
      <c r="W235" s="1548"/>
      <c r="X235" s="1548"/>
      <c r="Y235" s="1548"/>
      <c r="Z235" s="1548"/>
      <c r="AA235" s="1548"/>
      <c r="AB235" s="1548"/>
      <c r="AC235" s="1548"/>
      <c r="AD235" s="1548"/>
      <c r="AE235" s="1548"/>
      <c r="AI235" s="4"/>
      <c r="AJ235" s="4"/>
      <c r="AK235" s="4"/>
      <c r="AL235" s="4"/>
      <c r="AM235" s="4"/>
      <c r="AN235" s="4"/>
      <c r="AO235" s="4"/>
      <c r="AP235" s="4"/>
      <c r="AQ235" s="4"/>
      <c r="AR235" s="4"/>
      <c r="AS235" s="4"/>
      <c r="AT235" s="4"/>
      <c r="BB235" s="206"/>
      <c r="BG235" s="205"/>
    </row>
    <row r="236" spans="1:59" ht="12.95" customHeight="1">
      <c r="D236" s="4" t="s">
        <v>88</v>
      </c>
      <c r="E236" s="4"/>
      <c r="F236" s="4"/>
      <c r="M236" s="1561" t="s">
        <v>2624</v>
      </c>
      <c r="N236" s="1464"/>
      <c r="O236" s="1464"/>
      <c r="P236" s="1464"/>
      <c r="Q236" s="1464"/>
      <c r="R236" s="1464"/>
      <c r="S236" s="4" t="s">
        <v>205</v>
      </c>
      <c r="T236" s="4"/>
      <c r="U236" s="1459"/>
      <c r="V236" s="1459"/>
      <c r="W236" s="1459"/>
      <c r="X236" s="4" t="s">
        <v>89</v>
      </c>
      <c r="Z236" s="1464"/>
      <c r="AA236" s="1464"/>
      <c r="AB236" s="1464"/>
      <c r="AC236" s="1464"/>
      <c r="AD236" s="1464"/>
      <c r="AE236" s="1464"/>
      <c r="AU236" s="4"/>
      <c r="AV236" s="4"/>
      <c r="AW236" s="4"/>
      <c r="AX236" s="4"/>
      <c r="AY236" s="4"/>
      <c r="AZ236" s="4"/>
      <c r="BB236" s="205" t="s">
        <v>537</v>
      </c>
      <c r="BG236" s="242">
        <f>IF(AND(AND($M$249="nonprofit",$M$257="nonprofit",$M$265="(select one)")),1,0)</f>
        <v>0</v>
      </c>
    </row>
    <row r="237" spans="1:59" ht="12.95" customHeight="1">
      <c r="D237" s="4" t="s">
        <v>90</v>
      </c>
      <c r="E237" s="4"/>
      <c r="F237" s="4"/>
      <c r="M237" s="1563" t="s">
        <v>2625</v>
      </c>
      <c r="N237" s="1563"/>
      <c r="O237" s="1563"/>
      <c r="P237" s="1563"/>
      <c r="Q237" s="1563"/>
      <c r="R237" s="1563"/>
      <c r="S237" s="1563"/>
      <c r="T237" s="1563"/>
      <c r="U237" s="1563"/>
      <c r="V237" s="1563"/>
      <c r="W237" s="1563"/>
      <c r="X237" s="1563"/>
      <c r="Y237" s="1563"/>
      <c r="Z237" s="1563"/>
      <c r="AA237" s="1563"/>
      <c r="AB237" s="1563"/>
      <c r="AC237" s="1563"/>
      <c r="AD237" s="1563"/>
      <c r="AE237" s="1563"/>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416" t="s">
        <v>528</v>
      </c>
      <c r="N238" s="1416"/>
      <c r="O238" s="1416"/>
      <c r="P238" s="1416"/>
      <c r="Q238" s="1416"/>
      <c r="R238" s="1416"/>
      <c r="S238" s="1416"/>
      <c r="T238" s="1416"/>
      <c r="U238" s="205" t="s">
        <v>906</v>
      </c>
      <c r="V238" s="205"/>
      <c r="W238" s="205"/>
      <c r="X238" s="205"/>
      <c r="Y238" s="205"/>
      <c r="Z238" s="205"/>
      <c r="AA238" s="1578" t="s">
        <v>2626</v>
      </c>
      <c r="AB238" s="1579"/>
      <c r="AC238" s="1579"/>
      <c r="AD238" s="1579"/>
      <c r="AE238" s="1579"/>
      <c r="AF238" s="1579"/>
      <c r="AG238" s="1579"/>
      <c r="AH238" s="1579"/>
      <c r="AI238" s="1579"/>
      <c r="AJ238" s="1579"/>
      <c r="AK238" s="1579"/>
      <c r="AL238" s="3"/>
      <c r="AM238" s="3"/>
      <c r="AN238" s="3"/>
      <c r="AO238" s="3"/>
      <c r="AP238" s="3"/>
      <c r="AQ238" s="3"/>
      <c r="AR238" s="3"/>
      <c r="AS238" s="3"/>
      <c r="AT238" s="3"/>
      <c r="AU238" s="3"/>
      <c r="AV238" s="3"/>
      <c r="AW238" s="3"/>
      <c r="AX238" s="3"/>
      <c r="AY238" s="3"/>
      <c r="BB238" s="205" t="s">
        <v>537</v>
      </c>
      <c r="BG238" s="242">
        <f>IF(AND(AND($M$249="nonprofit",$M$257="(select one)",$M$265="(select one)")),1,0)</f>
        <v>1</v>
      </c>
    </row>
    <row r="239" spans="1:59" ht="12.95" customHeight="1">
      <c r="D239" t="s">
        <v>531</v>
      </c>
      <c r="M239" s="1457"/>
      <c r="N239" s="1457"/>
      <c r="O239" s="1457"/>
      <c r="P239" s="1457"/>
      <c r="Q239" s="1457"/>
      <c r="R239" s="1457"/>
      <c r="S239" s="1457"/>
      <c r="T239" s="1457"/>
      <c r="U239" s="1457"/>
      <c r="V239" s="1457"/>
      <c r="W239" s="1457"/>
      <c r="X239" s="1457"/>
      <c r="Y239" s="1457"/>
      <c r="Z239" s="1457"/>
      <c r="AA239" s="1457"/>
      <c r="AB239" s="1457"/>
      <c r="AC239" s="1457"/>
      <c r="AD239" s="1457"/>
      <c r="AE239" s="1457"/>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83" t="s">
        <v>2627</v>
      </c>
      <c r="N243" s="1576"/>
      <c r="O243" s="1576"/>
      <c r="P243" s="1576"/>
      <c r="Q243" s="1576"/>
      <c r="R243" s="1576"/>
      <c r="S243" s="1576"/>
      <c r="T243" s="1576"/>
      <c r="U243" s="1576"/>
      <c r="V243" s="1576"/>
      <c r="W243" s="1576"/>
      <c r="X243" s="1576"/>
      <c r="Y243" s="1576"/>
      <c r="Z243" s="1576"/>
      <c r="AA243" s="1576"/>
      <c r="AB243" s="1576"/>
      <c r="AC243" s="1576"/>
      <c r="AD243" s="1576"/>
      <c r="AE243" s="1576"/>
      <c r="AF243" s="1576" t="s">
        <v>2707</v>
      </c>
      <c r="AG243" s="1576"/>
      <c r="AH243" s="1576"/>
      <c r="AI243" s="1576"/>
      <c r="AJ243" s="1576"/>
      <c r="AK243" s="1576"/>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76" t="s">
        <v>2621</v>
      </c>
      <c r="N244" s="1548"/>
      <c r="O244" s="1548"/>
      <c r="P244" s="1548"/>
      <c r="Q244" s="1548"/>
      <c r="R244" s="1548"/>
      <c r="S244" s="1548"/>
      <c r="T244" s="1548"/>
      <c r="U244" s="1548"/>
      <c r="V244" s="1548"/>
      <c r="W244" s="1548"/>
      <c r="X244" s="1548"/>
      <c r="Y244" s="1548"/>
      <c r="Z244" s="1548"/>
      <c r="AA244" s="1548"/>
      <c r="AB244" s="1548"/>
      <c r="AC244" s="1548"/>
      <c r="AD244" s="1548"/>
      <c r="AE244" s="1548"/>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76" t="s">
        <v>730</v>
      </c>
      <c r="N245" s="1548"/>
      <c r="O245" s="1548"/>
      <c r="P245" s="1548"/>
      <c r="Q245" s="1548"/>
      <c r="R245" s="1548"/>
      <c r="S245" s="1548"/>
      <c r="T245" s="1548"/>
      <c r="V245" s="33" t="s">
        <v>86</v>
      </c>
      <c r="W245" s="1549" t="s">
        <v>2622</v>
      </c>
      <c r="X245" s="1459"/>
      <c r="Y245" s="4" t="s">
        <v>583</v>
      </c>
      <c r="AC245" s="1548">
        <v>94102</v>
      </c>
      <c r="AD245" s="1548"/>
      <c r="AE245" s="1548"/>
      <c r="AF245" s="3" t="s">
        <v>1180</v>
      </c>
      <c r="AU245" s="4"/>
      <c r="AV245" s="4"/>
      <c r="AW245" s="4"/>
      <c r="AX245" s="4"/>
      <c r="AY245" s="4"/>
      <c r="BB245" s="4" t="s">
        <v>279</v>
      </c>
      <c r="BG245">
        <v>2</v>
      </c>
      <c r="BH245" t="s">
        <v>566</v>
      </c>
      <c r="BO245" s="240" t="str">
        <f>VLOOKUP(BG243,BG244:BH247,2,FALSE)</f>
        <v>Nonprofit</v>
      </c>
    </row>
    <row r="246" spans="1:67" ht="12.95" customHeight="1">
      <c r="A246" s="19"/>
      <c r="B246" s="4"/>
      <c r="C246" s="4"/>
      <c r="D246" s="4" t="s">
        <v>87</v>
      </c>
      <c r="E246" s="4"/>
      <c r="F246" s="4"/>
      <c r="G246" s="4"/>
      <c r="H246" s="4"/>
      <c r="I246" s="4"/>
      <c r="J246" s="4"/>
      <c r="K246" s="4"/>
      <c r="L246" s="19"/>
      <c r="M246" s="1476" t="s">
        <v>2628</v>
      </c>
      <c r="N246" s="1548"/>
      <c r="O246" s="1548"/>
      <c r="P246" s="1548"/>
      <c r="Q246" s="1548"/>
      <c r="R246" s="1548"/>
      <c r="S246" s="1548"/>
      <c r="T246" s="1548"/>
      <c r="U246" s="1548"/>
      <c r="V246" s="1548"/>
      <c r="W246" s="1548"/>
      <c r="X246" s="1548"/>
      <c r="Y246" s="1548"/>
      <c r="Z246" s="1548"/>
      <c r="AA246" s="1548"/>
      <c r="AB246" s="1548"/>
      <c r="AC246" s="1548"/>
      <c r="AD246" s="1548"/>
      <c r="AE246" s="1548"/>
      <c r="AH246" s="1580">
        <v>1E-4</v>
      </c>
      <c r="AI246" s="1581"/>
      <c r="AJ246" s="1581"/>
      <c r="AK246" s="1581"/>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561" t="s">
        <v>2629</v>
      </c>
      <c r="N247" s="1464"/>
      <c r="O247" s="1464"/>
      <c r="P247" s="1464"/>
      <c r="Q247" s="1464"/>
      <c r="R247" s="1464"/>
      <c r="S247" s="4" t="s">
        <v>205</v>
      </c>
      <c r="T247" s="4"/>
      <c r="U247" s="1459"/>
      <c r="V247" s="1459"/>
      <c r="W247" s="1459"/>
      <c r="X247" s="4" t="s">
        <v>89</v>
      </c>
      <c r="Z247" s="1464"/>
      <c r="AA247" s="1464"/>
      <c r="AB247" s="1464"/>
      <c r="AC247" s="1464"/>
      <c r="AD247" s="1464"/>
      <c r="AE247" s="1464"/>
      <c r="AU247" s="4"/>
      <c r="AV247" s="4"/>
      <c r="AW247" s="4"/>
      <c r="AX247" s="4"/>
      <c r="AY247" s="4"/>
      <c r="BG247">
        <v>0</v>
      </c>
      <c r="BH247" s="3" t="str">
        <f>""</f>
        <v/>
      </c>
      <c r="BN247" s="34"/>
    </row>
    <row r="248" spans="1:67" ht="12.95" customHeight="1">
      <c r="A248" s="19"/>
      <c r="B248" s="4"/>
      <c r="C248" s="4"/>
      <c r="D248" s="4" t="s">
        <v>90</v>
      </c>
      <c r="E248" s="4"/>
      <c r="F248" s="4"/>
      <c r="M248" s="1563" t="s">
        <v>2630</v>
      </c>
      <c r="N248" s="1563"/>
      <c r="O248" s="1563"/>
      <c r="P248" s="1563"/>
      <c r="Q248" s="1563"/>
      <c r="R248" s="1563"/>
      <c r="S248" s="1563"/>
      <c r="T248" s="1563"/>
      <c r="U248" s="1563"/>
      <c r="V248" s="1563"/>
      <c r="W248" s="1563"/>
      <c r="X248" s="1563"/>
      <c r="Y248" s="1563"/>
      <c r="Z248" s="1563"/>
      <c r="AA248" s="1563"/>
      <c r="AB248" s="1563"/>
      <c r="AC248" s="1563"/>
      <c r="AD248" s="1563"/>
      <c r="AE248" s="1563"/>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16" t="s">
        <v>534</v>
      </c>
      <c r="N249" s="1416"/>
      <c r="O249" s="1416"/>
      <c r="P249" s="1416"/>
      <c r="Q249" s="1416"/>
      <c r="R249" s="1416"/>
      <c r="S249" s="1416"/>
      <c r="T249" s="1416"/>
      <c r="U249" s="205" t="s">
        <v>906</v>
      </c>
      <c r="V249" s="205"/>
      <c r="W249" s="205"/>
      <c r="X249" s="205"/>
      <c r="Y249" s="205"/>
      <c r="Z249" s="205"/>
      <c r="AA249" s="1578" t="s">
        <v>2626</v>
      </c>
      <c r="AB249" s="1579"/>
      <c r="AC249" s="1579"/>
      <c r="AD249" s="1579"/>
      <c r="AE249" s="1579"/>
      <c r="AF249" s="1579"/>
      <c r="AG249" s="1579"/>
      <c r="AH249" s="1579"/>
      <c r="AI249" s="1579"/>
      <c r="AJ249" s="1579"/>
      <c r="AK249" s="15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76"/>
      <c r="N251" s="1576"/>
      <c r="O251" s="1576"/>
      <c r="P251" s="1576"/>
      <c r="Q251" s="1576"/>
      <c r="R251" s="1576"/>
      <c r="S251" s="1576"/>
      <c r="T251" s="1576"/>
      <c r="U251" s="1576"/>
      <c r="V251" s="1576"/>
      <c r="W251" s="1576"/>
      <c r="X251" s="1576"/>
      <c r="Y251" s="1576"/>
      <c r="Z251" s="1576"/>
      <c r="AA251" s="1576"/>
      <c r="AB251" s="1576"/>
      <c r="AC251" s="1576"/>
      <c r="AD251" s="1576"/>
      <c r="AE251" s="1576"/>
      <c r="AF251" s="1576" t="s">
        <v>306</v>
      </c>
      <c r="AG251" s="1576"/>
      <c r="AH251" s="1576"/>
      <c r="AI251" s="1576"/>
      <c r="AJ251" s="1576"/>
      <c r="AK251" s="1576"/>
      <c r="AU251" s="4"/>
      <c r="AV251" s="4"/>
      <c r="AW251" s="4"/>
      <c r="AX251" s="4"/>
      <c r="AY251" s="4"/>
      <c r="BN251" s="34"/>
    </row>
    <row r="252" spans="1:67" ht="12.95" customHeight="1">
      <c r="A252" s="19"/>
      <c r="B252" s="4"/>
      <c r="C252" s="4"/>
      <c r="D252" s="4" t="s">
        <v>85</v>
      </c>
      <c r="E252" s="4"/>
      <c r="F252" s="4"/>
      <c r="G252" s="4"/>
      <c r="H252" s="4"/>
      <c r="I252" s="4"/>
      <c r="J252" s="4"/>
      <c r="K252" s="4"/>
      <c r="L252" s="4"/>
      <c r="M252" s="1548"/>
      <c r="N252" s="1548"/>
      <c r="O252" s="1548"/>
      <c r="P252" s="1548"/>
      <c r="Q252" s="1548"/>
      <c r="R252" s="1548"/>
      <c r="S252" s="1548"/>
      <c r="T252" s="1548"/>
      <c r="U252" s="1548"/>
      <c r="V252" s="1548"/>
      <c r="W252" s="1548"/>
      <c r="X252" s="1548"/>
      <c r="Y252" s="1548"/>
      <c r="Z252" s="1548"/>
      <c r="AA252" s="1548"/>
      <c r="AB252" s="1548"/>
      <c r="AC252" s="1548"/>
      <c r="AD252" s="1548"/>
      <c r="AE252" s="1548"/>
      <c r="AF252" s="3" t="s">
        <v>1179</v>
      </c>
      <c r="AL252" s="4"/>
      <c r="AM252" s="4"/>
      <c r="AN252" s="4"/>
      <c r="AO252" s="4"/>
      <c r="AP252" s="4"/>
      <c r="AQ252" s="4"/>
      <c r="AR252" s="4"/>
      <c r="AS252" s="4"/>
      <c r="AT252" s="4"/>
      <c r="BN252" s="34"/>
    </row>
    <row r="253" spans="1:67" ht="12.95" customHeight="1">
      <c r="A253" s="19"/>
      <c r="B253" s="4"/>
      <c r="C253" s="4"/>
      <c r="D253" s="4" t="s">
        <v>580</v>
      </c>
      <c r="E253" s="4"/>
      <c r="M253" s="1548"/>
      <c r="N253" s="1548"/>
      <c r="O253" s="1548"/>
      <c r="P253" s="1548"/>
      <c r="Q253" s="1548"/>
      <c r="R253" s="1548"/>
      <c r="S253" s="1548"/>
      <c r="T253" s="1548"/>
      <c r="V253" s="33" t="s">
        <v>86</v>
      </c>
      <c r="W253" s="1459"/>
      <c r="X253" s="1459"/>
      <c r="Y253" s="4" t="s">
        <v>583</v>
      </c>
      <c r="AC253" s="1548"/>
      <c r="AD253" s="1548"/>
      <c r="AE253" s="154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48"/>
      <c r="N254" s="1548"/>
      <c r="O254" s="1548"/>
      <c r="P254" s="1548"/>
      <c r="Q254" s="1548"/>
      <c r="R254" s="1548"/>
      <c r="S254" s="1548"/>
      <c r="T254" s="1548"/>
      <c r="U254" s="1548"/>
      <c r="V254" s="1548"/>
      <c r="W254" s="1548"/>
      <c r="X254" s="1548"/>
      <c r="Y254" s="1548"/>
      <c r="Z254" s="1548"/>
      <c r="AA254" s="1548"/>
      <c r="AB254" s="1548"/>
      <c r="AC254" s="1548"/>
      <c r="AD254" s="1548"/>
      <c r="AE254" s="1548"/>
      <c r="AH254" s="1581"/>
      <c r="AI254" s="1581"/>
      <c r="AJ254" s="1581"/>
      <c r="AK254" s="1581"/>
      <c r="AL254" s="4"/>
      <c r="AM254" s="4"/>
      <c r="AN254" s="4"/>
      <c r="AO254" s="4"/>
      <c r="AP254" s="4"/>
      <c r="AQ254" s="4"/>
      <c r="AR254" s="4"/>
      <c r="AS254" s="4"/>
      <c r="AT254" s="4"/>
    </row>
    <row r="255" spans="1:67" ht="12.95" customHeight="1">
      <c r="A255" s="19"/>
      <c r="B255" s="4"/>
      <c r="C255" s="4"/>
      <c r="D255" s="4" t="s">
        <v>88</v>
      </c>
      <c r="E255" s="4"/>
      <c r="F255" s="4"/>
      <c r="M255" s="1464"/>
      <c r="N255" s="1464"/>
      <c r="O255" s="1464"/>
      <c r="P255" s="1464"/>
      <c r="Q255" s="1464"/>
      <c r="R255" s="1464"/>
      <c r="S255" s="4" t="s">
        <v>205</v>
      </c>
      <c r="T255" s="4"/>
      <c r="U255" s="1459"/>
      <c r="V255" s="1459"/>
      <c r="W255" s="1459"/>
      <c r="X255" s="4" t="s">
        <v>89</v>
      </c>
      <c r="Z255" s="1464"/>
      <c r="AA255" s="1464"/>
      <c r="AB255" s="1464"/>
      <c r="AC255" s="1464"/>
      <c r="AD255" s="1464"/>
      <c r="AE255" s="1464"/>
      <c r="AU255" s="4"/>
      <c r="AV255" s="4"/>
      <c r="AW255" s="4"/>
      <c r="AX255" s="4"/>
      <c r="AY255" s="4"/>
      <c r="BN255" s="34"/>
    </row>
    <row r="256" spans="1:67" ht="12.95" customHeight="1">
      <c r="A256" s="19"/>
      <c r="B256" s="4"/>
      <c r="C256" s="4"/>
      <c r="D256" s="4" t="s">
        <v>90</v>
      </c>
      <c r="E256" s="4"/>
      <c r="F256" s="4"/>
      <c r="M256" s="1563"/>
      <c r="N256" s="1563"/>
      <c r="O256" s="1563"/>
      <c r="P256" s="1563"/>
      <c r="Q256" s="1563"/>
      <c r="R256" s="1563"/>
      <c r="S256" s="1563"/>
      <c r="T256" s="1563"/>
      <c r="U256" s="1563"/>
      <c r="V256" s="1563"/>
      <c r="W256" s="1563"/>
      <c r="X256" s="1563"/>
      <c r="Y256" s="1563"/>
      <c r="Z256" s="1563"/>
      <c r="AA256" s="1563"/>
      <c r="AB256" s="1563"/>
      <c r="AC256" s="1563"/>
      <c r="AD256" s="1563"/>
      <c r="AE256" s="156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16" t="s">
        <v>306</v>
      </c>
      <c r="N257" s="1416"/>
      <c r="O257" s="1416"/>
      <c r="P257" s="1416"/>
      <c r="Q257" s="1416"/>
      <c r="R257" s="1416"/>
      <c r="S257" s="1416"/>
      <c r="T257" s="1416"/>
      <c r="U257" s="205" t="s">
        <v>906</v>
      </c>
      <c r="V257" s="205"/>
      <c r="W257" s="205"/>
      <c r="X257" s="205"/>
      <c r="Y257" s="205"/>
      <c r="Z257" s="205"/>
      <c r="AA257" s="1579"/>
      <c r="AB257" s="1579"/>
      <c r="AC257" s="1579"/>
      <c r="AD257" s="1579"/>
      <c r="AE257" s="1579"/>
      <c r="AF257" s="1579"/>
      <c r="AG257" s="1579"/>
      <c r="AH257" s="1579"/>
      <c r="AI257" s="1579"/>
      <c r="AJ257" s="1579"/>
      <c r="AK257" s="15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76"/>
      <c r="N259" s="1576"/>
      <c r="O259" s="1576"/>
      <c r="P259" s="1576"/>
      <c r="Q259" s="1576"/>
      <c r="R259" s="1576"/>
      <c r="S259" s="1576"/>
      <c r="T259" s="1576"/>
      <c r="U259" s="1576"/>
      <c r="V259" s="1576"/>
      <c r="W259" s="1576"/>
      <c r="X259" s="1576"/>
      <c r="Y259" s="1576"/>
      <c r="Z259" s="1576"/>
      <c r="AA259" s="1576"/>
      <c r="AB259" s="1576"/>
      <c r="AC259" s="1576"/>
      <c r="AD259" s="1576"/>
      <c r="AE259" s="1576"/>
      <c r="AF259" s="1576" t="s">
        <v>306</v>
      </c>
      <c r="AG259" s="1576"/>
      <c r="AH259" s="1576"/>
      <c r="AI259" s="1576"/>
      <c r="AJ259" s="1576"/>
      <c r="AK259" s="157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48"/>
      <c r="N260" s="1548"/>
      <c r="O260" s="1548"/>
      <c r="P260" s="1548"/>
      <c r="Q260" s="1548"/>
      <c r="R260" s="1548"/>
      <c r="S260" s="1548"/>
      <c r="T260" s="1548"/>
      <c r="U260" s="1548"/>
      <c r="V260" s="1548"/>
      <c r="W260" s="1548"/>
      <c r="X260" s="1548"/>
      <c r="Y260" s="1548"/>
      <c r="Z260" s="1548"/>
      <c r="AA260" s="1548"/>
      <c r="AB260" s="1548"/>
      <c r="AC260" s="1548"/>
      <c r="AD260" s="1548"/>
      <c r="AE260" s="154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48"/>
      <c r="N261" s="1548"/>
      <c r="O261" s="1548"/>
      <c r="P261" s="1548"/>
      <c r="Q261" s="1548"/>
      <c r="R261" s="1548"/>
      <c r="S261" s="1548"/>
      <c r="T261" s="1548"/>
      <c r="V261" s="33" t="s">
        <v>86</v>
      </c>
      <c r="W261" s="1459"/>
      <c r="X261" s="1459"/>
      <c r="Y261" s="4" t="s">
        <v>583</v>
      </c>
      <c r="AC261" s="1548"/>
      <c r="AD261" s="1548"/>
      <c r="AE261" s="154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48"/>
      <c r="N262" s="1548"/>
      <c r="O262" s="1548"/>
      <c r="P262" s="1548"/>
      <c r="Q262" s="1548"/>
      <c r="R262" s="1548"/>
      <c r="S262" s="1548"/>
      <c r="T262" s="1548"/>
      <c r="U262" s="1548"/>
      <c r="V262" s="1548"/>
      <c r="W262" s="1548"/>
      <c r="X262" s="1548"/>
      <c r="Y262" s="1548"/>
      <c r="Z262" s="1548"/>
      <c r="AA262" s="1548"/>
      <c r="AB262" s="1548"/>
      <c r="AC262" s="1548"/>
      <c r="AD262" s="1548"/>
      <c r="AE262" s="1548"/>
      <c r="AH262" s="1581"/>
      <c r="AI262" s="1581"/>
      <c r="AJ262" s="1581"/>
      <c r="AK262" s="158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64"/>
      <c r="N263" s="1464"/>
      <c r="O263" s="1464"/>
      <c r="P263" s="1464"/>
      <c r="Q263" s="1464"/>
      <c r="R263" s="1464"/>
      <c r="S263" s="4" t="s">
        <v>205</v>
      </c>
      <c r="T263" s="4"/>
      <c r="U263" s="1459"/>
      <c r="V263" s="1459"/>
      <c r="W263" s="1459"/>
      <c r="X263" s="4" t="s">
        <v>89</v>
      </c>
      <c r="Z263" s="1464"/>
      <c r="AA263" s="1464"/>
      <c r="AB263" s="1464"/>
      <c r="AC263" s="1464"/>
      <c r="AD263" s="1464"/>
      <c r="AE263" s="1464"/>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63"/>
      <c r="N264" s="1563"/>
      <c r="O264" s="1563"/>
      <c r="P264" s="1563"/>
      <c r="Q264" s="1563"/>
      <c r="R264" s="1563"/>
      <c r="S264" s="1563"/>
      <c r="T264" s="1563"/>
      <c r="U264" s="1563"/>
      <c r="V264" s="1563"/>
      <c r="W264" s="1563"/>
      <c r="X264" s="1563"/>
      <c r="Y264" s="1563"/>
      <c r="Z264" s="1563"/>
      <c r="AA264" s="1584"/>
      <c r="AB264" s="1584"/>
      <c r="AC264" s="1584"/>
      <c r="AD264" s="1584"/>
      <c r="AE264" s="158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16" t="s">
        <v>306</v>
      </c>
      <c r="N265" s="1416"/>
      <c r="O265" s="1416"/>
      <c r="P265" s="1416"/>
      <c r="Q265" s="1416"/>
      <c r="R265" s="1416"/>
      <c r="S265" s="1416"/>
      <c r="T265" s="1416"/>
      <c r="U265" s="205" t="s">
        <v>906</v>
      </c>
      <c r="V265" s="205"/>
      <c r="W265" s="205"/>
      <c r="X265" s="205"/>
      <c r="Y265" s="205"/>
      <c r="Z265" s="205"/>
      <c r="AA265" s="1588"/>
      <c r="AB265" s="1588"/>
      <c r="AC265" s="1588"/>
      <c r="AD265" s="1588"/>
      <c r="AE265" s="1588"/>
      <c r="AF265" s="1588"/>
      <c r="AG265" s="1588"/>
      <c r="AH265" s="1588"/>
      <c r="AI265" s="1588"/>
      <c r="AJ265" s="1588"/>
      <c r="AK265" s="158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87" t="str">
        <f>IFERROR(BO245,"")</f>
        <v>Nonprofit</v>
      </c>
      <c r="U267" s="1587"/>
      <c r="V267" s="1587"/>
      <c r="W267" s="1587"/>
      <c r="X267" s="1587"/>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548" t="s">
        <v>279</v>
      </c>
      <c r="E270" s="1548"/>
      <c r="F270" s="1548"/>
      <c r="G270" s="1548"/>
      <c r="H270" s="1548"/>
      <c r="J270" t="s">
        <v>278</v>
      </c>
      <c r="X270" s="1590"/>
      <c r="Y270" s="1590"/>
      <c r="Z270" s="1590"/>
      <c r="AA270" s="1590"/>
      <c r="AB270" s="1590"/>
      <c r="AC270" s="15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83" t="s">
        <v>2626</v>
      </c>
      <c r="M274" s="1576"/>
      <c r="N274" s="1576"/>
      <c r="O274" s="1576"/>
      <c r="P274" s="1576"/>
      <c r="Q274" s="1576"/>
      <c r="R274" s="1576"/>
      <c r="S274" s="1576"/>
      <c r="T274" s="1576"/>
      <c r="U274" s="1576"/>
      <c r="V274" s="1576"/>
      <c r="W274" s="1576"/>
      <c r="X274" s="1576"/>
      <c r="Y274" s="1576"/>
      <c r="Z274" s="1576"/>
      <c r="AA274" s="1576"/>
      <c r="AB274" s="1576"/>
      <c r="AC274" s="1576"/>
      <c r="AD274" s="1576"/>
      <c r="AE274" s="1576"/>
      <c r="AF274" s="1576"/>
      <c r="AG274" s="1576"/>
      <c r="AH274" s="1576"/>
      <c r="AI274" s="1576"/>
      <c r="AJ274" s="157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76" t="s">
        <v>2623</v>
      </c>
      <c r="M275" s="1548"/>
      <c r="N275" s="1548"/>
      <c r="O275" s="1548"/>
      <c r="P275" s="1548"/>
      <c r="Q275" s="1548"/>
      <c r="R275" s="1548"/>
      <c r="S275" s="1548"/>
      <c r="T275" s="1548"/>
      <c r="U275" s="1548"/>
      <c r="V275" s="1548"/>
      <c r="W275" s="1548"/>
      <c r="X275" s="1548"/>
      <c r="Y275" s="1548"/>
      <c r="Z275" s="1548"/>
      <c r="AA275" s="1548"/>
      <c r="AB275" s="1548"/>
      <c r="AC275" s="1548"/>
      <c r="AD275" s="1548"/>
      <c r="AK275" s="3"/>
      <c r="AL275" s="3"/>
      <c r="AM275" s="3"/>
      <c r="AN275" s="3"/>
      <c r="AO275" s="3"/>
      <c r="AP275" s="3"/>
      <c r="AQ275" s="3"/>
      <c r="AR275" s="3"/>
      <c r="AS275" s="3"/>
      <c r="AT275" s="3"/>
      <c r="AU275" s="3"/>
      <c r="AV275" s="3"/>
      <c r="AW275" s="3"/>
      <c r="AX275" s="3"/>
      <c r="AY275" s="3"/>
    </row>
    <row r="276" spans="1:51" ht="12.95" customHeight="1">
      <c r="D276" s="4" t="s">
        <v>580</v>
      </c>
      <c r="E276" s="4"/>
      <c r="L276" s="1476" t="s">
        <v>730</v>
      </c>
      <c r="M276" s="1548"/>
      <c r="N276" s="1548"/>
      <c r="O276" s="1548"/>
      <c r="P276" s="1548"/>
      <c r="Q276" s="1548"/>
      <c r="R276" s="1548"/>
      <c r="S276" s="1548"/>
      <c r="U276" s="33" t="s">
        <v>86</v>
      </c>
      <c r="V276" s="1549" t="s">
        <v>2631</v>
      </c>
      <c r="W276" s="1459"/>
      <c r="X276" s="4" t="s">
        <v>583</v>
      </c>
      <c r="AB276" s="1548">
        <v>94102</v>
      </c>
      <c r="AC276" s="1548"/>
      <c r="AD276" s="154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76" t="s">
        <v>2623</v>
      </c>
      <c r="M277" s="1548"/>
      <c r="N277" s="1548"/>
      <c r="O277" s="1548"/>
      <c r="P277" s="1548"/>
      <c r="Q277" s="1548"/>
      <c r="R277" s="1548"/>
      <c r="S277" s="1548"/>
      <c r="T277" s="1548"/>
      <c r="U277" s="1548"/>
      <c r="V277" s="1548"/>
      <c r="W277" s="1548"/>
      <c r="X277" s="1548"/>
      <c r="Y277" s="1548"/>
      <c r="Z277" s="1548"/>
      <c r="AA277" s="1548"/>
      <c r="AB277" s="1548"/>
      <c r="AC277" s="1548"/>
      <c r="AD277" s="1548"/>
      <c r="AI277" s="4"/>
      <c r="AJ277" s="4"/>
      <c r="AK277" s="3"/>
      <c r="AL277" s="3"/>
      <c r="AM277" s="3"/>
      <c r="AN277" s="3"/>
      <c r="AO277" s="3"/>
      <c r="AP277" s="3"/>
      <c r="AQ277" s="3"/>
      <c r="AR277" s="3"/>
      <c r="AS277" s="3"/>
      <c r="AT277" s="3"/>
    </row>
    <row r="278" spans="1:51" ht="12.95" customHeight="1">
      <c r="D278" s="4" t="s">
        <v>88</v>
      </c>
      <c r="E278" s="4"/>
      <c r="F278" s="4"/>
      <c r="L278" s="1561" t="s">
        <v>2733</v>
      </c>
      <c r="M278" s="1464"/>
      <c r="N278" s="1464"/>
      <c r="O278" s="1464"/>
      <c r="P278" s="1464"/>
      <c r="Q278" s="1464"/>
      <c r="R278" s="4" t="s">
        <v>205</v>
      </c>
      <c r="S278" s="4"/>
      <c r="T278" s="1459"/>
      <c r="U278" s="1459"/>
      <c r="V278" s="1459"/>
      <c r="W278" s="4" t="s">
        <v>89</v>
      </c>
      <c r="Y278" s="1464"/>
      <c r="Z278" s="1464"/>
      <c r="AA278" s="1464"/>
      <c r="AB278" s="1464"/>
      <c r="AC278" s="1464"/>
      <c r="AD278" s="1464"/>
    </row>
    <row r="279" spans="1:51" ht="12.95" customHeight="1">
      <c r="D279" s="4" t="s">
        <v>90</v>
      </c>
      <c r="E279" s="4"/>
      <c r="F279" s="4"/>
      <c r="L279" s="1563" t="s">
        <v>2625</v>
      </c>
      <c r="M279" s="1563"/>
      <c r="N279" s="1563"/>
      <c r="O279" s="1563"/>
      <c r="P279" s="1563"/>
      <c r="Q279" s="1563"/>
      <c r="R279" s="1563"/>
      <c r="S279" s="1563"/>
      <c r="T279" s="1563"/>
      <c r="U279" s="1563"/>
      <c r="V279" s="1563"/>
      <c r="W279" s="1563"/>
      <c r="X279" s="1563"/>
      <c r="Y279" s="1563"/>
      <c r="Z279" s="1563"/>
      <c r="AA279" s="1563"/>
      <c r="AB279" s="1563"/>
      <c r="AC279" s="1563"/>
      <c r="AD279" s="1563"/>
      <c r="AF279" s="4"/>
      <c r="AG279" s="4"/>
      <c r="AH279" s="4"/>
      <c r="AI279" s="4"/>
      <c r="AJ279" s="4"/>
      <c r="AU279" s="3"/>
      <c r="AV279" s="3"/>
      <c r="AW279" s="3"/>
      <c r="AX279" s="3"/>
      <c r="AY279" s="3"/>
    </row>
    <row r="280" spans="1:51" ht="12.95" customHeight="1">
      <c r="D280" s="3" t="s">
        <v>623</v>
      </c>
      <c r="E280" s="3"/>
      <c r="F280" s="3"/>
      <c r="G280" s="3"/>
      <c r="H280" s="3"/>
      <c r="I280" s="3"/>
      <c r="L280" s="1549" t="s">
        <v>2632</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56" t="s">
        <v>541</v>
      </c>
      <c r="B282" s="1556"/>
      <c r="C282" s="1556"/>
      <c r="D282" s="1556"/>
      <c r="E282" s="1556"/>
      <c r="F282" s="1556"/>
      <c r="G282" s="1556"/>
      <c r="H282" s="1556"/>
      <c r="I282" s="1556"/>
      <c r="J282" s="1556"/>
      <c r="K282" s="1556"/>
      <c r="L282" s="1556"/>
      <c r="M282" s="1556"/>
      <c r="N282" s="1556"/>
      <c r="O282" s="1556"/>
      <c r="P282" s="1556"/>
      <c r="Q282" s="1556"/>
      <c r="R282" s="1556"/>
      <c r="S282" s="1556"/>
      <c r="T282" s="1556"/>
      <c r="U282" s="1556"/>
      <c r="V282" s="1556"/>
      <c r="W282" s="1556"/>
      <c r="X282" s="1556"/>
      <c r="Y282" s="1556"/>
      <c r="Z282" s="1556"/>
      <c r="AA282" s="1556"/>
      <c r="AB282" s="1556"/>
      <c r="AC282" s="1556"/>
      <c r="AD282" s="1556"/>
      <c r="AE282" s="1556"/>
      <c r="AF282" s="1556"/>
      <c r="AG282" s="1556"/>
      <c r="AH282" s="1556"/>
      <c r="AI282" s="1556"/>
      <c r="AJ282" s="1556"/>
      <c r="AK282" s="1556"/>
      <c r="AL282" s="1556"/>
      <c r="AM282" s="1556"/>
      <c r="AN282" s="1556"/>
      <c r="AO282" s="1556"/>
      <c r="AP282" s="1556"/>
      <c r="AQ282" s="1556"/>
      <c r="AR282" s="1556"/>
      <c r="AS282" s="1556"/>
      <c r="AT282" s="1556"/>
      <c r="AU282" s="95"/>
      <c r="AV282" s="95"/>
      <c r="AW282" s="95"/>
      <c r="AX282" s="95"/>
      <c r="AY282" s="95"/>
    </row>
    <row r="283" spans="1:51" ht="12.95" customHeight="1">
      <c r="A283" s="1556"/>
      <c r="B283" s="1556"/>
      <c r="C283" s="1556"/>
      <c r="D283" s="1556"/>
      <c r="E283" s="1556"/>
      <c r="F283" s="1556"/>
      <c r="G283" s="1556"/>
      <c r="H283" s="1556"/>
      <c r="I283" s="1556"/>
      <c r="J283" s="1556"/>
      <c r="K283" s="1556"/>
      <c r="L283" s="1556"/>
      <c r="M283" s="1556"/>
      <c r="N283" s="1556"/>
      <c r="O283" s="1556"/>
      <c r="P283" s="1556"/>
      <c r="Q283" s="1556"/>
      <c r="R283" s="1556"/>
      <c r="S283" s="1556"/>
      <c r="T283" s="1556"/>
      <c r="U283" s="1556"/>
      <c r="V283" s="1556"/>
      <c r="W283" s="1556"/>
      <c r="X283" s="1556"/>
      <c r="Y283" s="1556"/>
      <c r="Z283" s="1556"/>
      <c r="AA283" s="1556"/>
      <c r="AB283" s="1556"/>
      <c r="AC283" s="1556"/>
      <c r="AD283" s="1556"/>
      <c r="AE283" s="1556"/>
      <c r="AF283" s="1556"/>
      <c r="AG283" s="1556"/>
      <c r="AH283" s="1556"/>
      <c r="AI283" s="1556"/>
      <c r="AJ283" s="1556"/>
      <c r="AK283" s="1556"/>
      <c r="AL283" s="1556"/>
      <c r="AM283" s="1556"/>
      <c r="AN283" s="1556"/>
      <c r="AO283" s="1556"/>
      <c r="AP283" s="1556"/>
      <c r="AQ283" s="1556"/>
      <c r="AR283" s="1556"/>
      <c r="AS283" s="1556"/>
      <c r="AT283" s="155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589" t="s">
        <v>2626</v>
      </c>
      <c r="I287" s="1589"/>
      <c r="J287" s="1589"/>
      <c r="K287" s="1589"/>
      <c r="L287" s="1589"/>
      <c r="M287" s="1589"/>
      <c r="N287" s="1589"/>
      <c r="O287" s="1589"/>
      <c r="P287" s="1589"/>
      <c r="Q287" s="1589"/>
      <c r="R287" s="1589"/>
      <c r="T287" s="3" t="s">
        <v>567</v>
      </c>
      <c r="V287" s="3"/>
      <c r="W287" s="3"/>
      <c r="X287" s="3"/>
      <c r="Y287" s="3"/>
      <c r="AA287" s="1457" t="s">
        <v>2635</v>
      </c>
      <c r="AB287" s="1457"/>
      <c r="AC287" s="1457"/>
      <c r="AD287" s="1457"/>
      <c r="AE287" s="1457"/>
      <c r="AF287" s="1457"/>
      <c r="AG287" s="1457"/>
      <c r="AH287" s="1457"/>
      <c r="AI287" s="1457"/>
      <c r="AJ287" s="1457"/>
      <c r="AK287" s="1457"/>
    </row>
    <row r="288" spans="1:51" ht="12.95" customHeight="1">
      <c r="B288" s="3" t="s">
        <v>471</v>
      </c>
      <c r="C288" s="3"/>
      <c r="D288" s="3"/>
      <c r="E288" s="3"/>
      <c r="F288" s="3"/>
      <c r="H288" s="1416" t="s">
        <v>2633</v>
      </c>
      <c r="I288" s="1416"/>
      <c r="J288" s="1416"/>
      <c r="K288" s="1416"/>
      <c r="L288" s="1416"/>
      <c r="M288" s="1416"/>
      <c r="N288" s="1416"/>
      <c r="O288" s="1416"/>
      <c r="P288" s="1416"/>
      <c r="Q288" s="1416"/>
      <c r="R288" s="1416"/>
      <c r="T288" s="3" t="s">
        <v>471</v>
      </c>
      <c r="V288" s="3"/>
      <c r="W288" s="3"/>
      <c r="X288" s="3"/>
      <c r="Y288" s="3"/>
      <c r="AA288" s="1416" t="s">
        <v>2636</v>
      </c>
      <c r="AB288" s="1416"/>
      <c r="AC288" s="1416"/>
      <c r="AD288" s="1416"/>
      <c r="AE288" s="1416"/>
      <c r="AF288" s="1416"/>
      <c r="AG288" s="1416"/>
      <c r="AH288" s="1416"/>
      <c r="AI288" s="1416"/>
      <c r="AJ288" s="1416"/>
      <c r="AK288" s="1416"/>
    </row>
    <row r="289" spans="2:37" ht="12.95" customHeight="1">
      <c r="B289" s="3" t="s">
        <v>472</v>
      </c>
      <c r="C289" s="3"/>
      <c r="D289" s="3"/>
      <c r="E289" s="3"/>
      <c r="F289" s="3"/>
      <c r="H289" s="1416" t="s">
        <v>2634</v>
      </c>
      <c r="I289" s="1416"/>
      <c r="J289" s="1416"/>
      <c r="K289" s="1416"/>
      <c r="L289" s="1416"/>
      <c r="M289" s="1416"/>
      <c r="N289" s="1416"/>
      <c r="O289" s="1416"/>
      <c r="P289" s="1416"/>
      <c r="Q289" s="1416"/>
      <c r="R289" s="1416"/>
      <c r="T289" s="3" t="s">
        <v>75</v>
      </c>
      <c r="V289" s="3"/>
      <c r="W289" s="3"/>
      <c r="X289" s="3"/>
      <c r="Y289" s="3"/>
      <c r="AA289" s="1416" t="s">
        <v>2637</v>
      </c>
      <c r="AB289" s="1416"/>
      <c r="AC289" s="1416"/>
      <c r="AD289" s="1416"/>
      <c r="AE289" s="1416"/>
      <c r="AF289" s="1416"/>
      <c r="AG289" s="1416"/>
      <c r="AH289" s="1416"/>
      <c r="AI289" s="1416"/>
      <c r="AJ289" s="1416"/>
      <c r="AK289" s="1416"/>
    </row>
    <row r="290" spans="2:37" ht="12.95" customHeight="1">
      <c r="B290" s="3" t="s">
        <v>87</v>
      </c>
      <c r="C290" s="3"/>
      <c r="D290" s="3"/>
      <c r="E290" s="3"/>
      <c r="F290" s="3"/>
      <c r="H290" s="1416" t="s">
        <v>2628</v>
      </c>
      <c r="I290" s="1416"/>
      <c r="J290" s="1416"/>
      <c r="K290" s="1416"/>
      <c r="L290" s="1416"/>
      <c r="M290" s="1416"/>
      <c r="N290" s="1416"/>
      <c r="O290" s="1416"/>
      <c r="P290" s="1416"/>
      <c r="Q290" s="1416"/>
      <c r="R290" s="1416"/>
      <c r="T290" s="3" t="s">
        <v>87</v>
      </c>
      <c r="V290" s="3"/>
      <c r="W290" s="3"/>
      <c r="X290" s="3"/>
      <c r="Y290" s="3"/>
      <c r="AA290" s="1416" t="s">
        <v>2638</v>
      </c>
      <c r="AB290" s="1416"/>
      <c r="AC290" s="1416"/>
      <c r="AD290" s="1416"/>
      <c r="AE290" s="1416"/>
      <c r="AF290" s="1416"/>
      <c r="AG290" s="1416"/>
      <c r="AH290" s="1416"/>
      <c r="AI290" s="1416"/>
      <c r="AJ290" s="1416"/>
      <c r="AK290" s="1416"/>
    </row>
    <row r="291" spans="2:37" ht="12.95" customHeight="1">
      <c r="B291" s="3" t="s">
        <v>88</v>
      </c>
      <c r="C291" s="3"/>
      <c r="D291" s="3"/>
      <c r="E291" s="3"/>
      <c r="F291" s="3"/>
      <c r="G291" s="3"/>
      <c r="H291" s="1585" t="s">
        <v>2629</v>
      </c>
      <c r="I291" s="1586"/>
      <c r="J291" s="1586"/>
      <c r="K291" s="1586"/>
      <c r="L291" s="1586"/>
      <c r="M291" s="1586"/>
      <c r="N291" s="4" t="s">
        <v>205</v>
      </c>
      <c r="O291" s="4"/>
      <c r="P291" s="1548"/>
      <c r="Q291" s="1548"/>
      <c r="R291" s="1548"/>
      <c r="S291" s="3"/>
      <c r="T291" s="3" t="s">
        <v>88</v>
      </c>
      <c r="V291" s="3"/>
      <c r="W291" s="3"/>
      <c r="X291" s="3"/>
      <c r="Y291" s="3"/>
      <c r="AA291" s="1585" t="s">
        <v>2675</v>
      </c>
      <c r="AB291" s="1586"/>
      <c r="AC291" s="1586"/>
      <c r="AD291" s="1586"/>
      <c r="AE291" s="1586"/>
      <c r="AF291" s="1586"/>
      <c r="AG291" s="4" t="s">
        <v>205</v>
      </c>
      <c r="AH291" s="4"/>
      <c r="AI291" s="1548"/>
      <c r="AJ291" s="1548"/>
      <c r="AK291" s="1548"/>
    </row>
    <row r="292" spans="2:37" ht="12.95" customHeight="1">
      <c r="B292" s="3" t="s">
        <v>89</v>
      </c>
      <c r="C292" s="3"/>
      <c r="D292" s="3"/>
      <c r="E292" s="3"/>
      <c r="F292" s="3"/>
      <c r="G292" s="3"/>
      <c r="H292" s="1464"/>
      <c r="I292" s="1464"/>
      <c r="J292" s="1464"/>
      <c r="K292" s="1464"/>
      <c r="L292" s="1464"/>
      <c r="M292" s="1464"/>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row>
    <row r="293" spans="2:37" ht="12.95" customHeight="1">
      <c r="B293" s="3" t="s">
        <v>76</v>
      </c>
      <c r="C293" s="3"/>
      <c r="D293" s="3"/>
      <c r="E293" s="3"/>
      <c r="F293" s="3"/>
      <c r="G293" s="3"/>
      <c r="H293" s="1416" t="s">
        <v>2630</v>
      </c>
      <c r="I293" s="1416"/>
      <c r="J293" s="1416"/>
      <c r="K293" s="1416"/>
      <c r="L293" s="1416"/>
      <c r="M293" s="1416"/>
      <c r="N293" s="1457"/>
      <c r="O293" s="1457"/>
      <c r="P293" s="1457"/>
      <c r="Q293" s="1457"/>
      <c r="R293" s="1457"/>
      <c r="S293" s="3"/>
      <c r="T293" s="3" t="s">
        <v>76</v>
      </c>
      <c r="V293" s="3"/>
      <c r="W293" s="3"/>
      <c r="X293" s="3"/>
      <c r="Y293" s="3"/>
      <c r="AA293" s="1416" t="s">
        <v>2676</v>
      </c>
      <c r="AB293" s="1416"/>
      <c r="AC293" s="1416"/>
      <c r="AD293" s="1416"/>
      <c r="AE293" s="1416"/>
      <c r="AF293" s="1416"/>
      <c r="AG293" s="1457"/>
      <c r="AH293" s="1457"/>
      <c r="AI293" s="1457"/>
      <c r="AJ293" s="1457"/>
      <c r="AK293" s="145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57" t="s">
        <v>2639</v>
      </c>
      <c r="I295" s="1457"/>
      <c r="J295" s="1457"/>
      <c r="K295" s="1457"/>
      <c r="L295" s="1457"/>
      <c r="M295" s="1457"/>
      <c r="N295" s="1457"/>
      <c r="O295" s="1457"/>
      <c r="P295" s="1457"/>
      <c r="Q295" s="1457"/>
      <c r="R295" s="1457"/>
      <c r="T295" s="3" t="s">
        <v>363</v>
      </c>
      <c r="V295" s="3"/>
      <c r="W295" s="3"/>
      <c r="X295" s="3"/>
      <c r="Y295" s="3"/>
      <c r="AA295" s="1457" t="s">
        <v>2643</v>
      </c>
      <c r="AB295" s="1457"/>
      <c r="AC295" s="1457"/>
      <c r="AD295" s="1457"/>
      <c r="AE295" s="1457"/>
      <c r="AF295" s="1457"/>
      <c r="AG295" s="1457"/>
      <c r="AH295" s="1457"/>
      <c r="AI295" s="1457"/>
      <c r="AJ295" s="1457"/>
      <c r="AK295" s="1457"/>
    </row>
    <row r="296" spans="2:37" ht="12.95" customHeight="1">
      <c r="B296" s="3" t="s">
        <v>471</v>
      </c>
      <c r="C296" s="3"/>
      <c r="D296" s="3"/>
      <c r="E296" s="3"/>
      <c r="F296" s="3"/>
      <c r="H296" s="1416" t="s">
        <v>2640</v>
      </c>
      <c r="I296" s="1416"/>
      <c r="J296" s="1416"/>
      <c r="K296" s="1416"/>
      <c r="L296" s="1416"/>
      <c r="M296" s="1416"/>
      <c r="N296" s="1416"/>
      <c r="O296" s="1416"/>
      <c r="P296" s="1416"/>
      <c r="Q296" s="1416"/>
      <c r="R296" s="1416"/>
      <c r="T296" s="3" t="s">
        <v>471</v>
      </c>
      <c r="V296" s="3"/>
      <c r="W296" s="3"/>
      <c r="X296" s="3"/>
      <c r="Y296" s="3"/>
      <c r="AA296" s="1416" t="s">
        <v>2644</v>
      </c>
      <c r="AB296" s="1416"/>
      <c r="AC296" s="1416"/>
      <c r="AD296" s="1416"/>
      <c r="AE296" s="1416"/>
      <c r="AF296" s="1416"/>
      <c r="AG296" s="1416"/>
      <c r="AH296" s="1416"/>
      <c r="AI296" s="1416"/>
      <c r="AJ296" s="1416"/>
      <c r="AK296" s="1416"/>
    </row>
    <row r="297" spans="2:37" ht="12.95" customHeight="1">
      <c r="B297" s="3" t="s">
        <v>472</v>
      </c>
      <c r="C297" s="3"/>
      <c r="D297" s="3"/>
      <c r="E297" s="3"/>
      <c r="F297" s="3"/>
      <c r="H297" s="1416" t="s">
        <v>2641</v>
      </c>
      <c r="I297" s="1416"/>
      <c r="J297" s="1416"/>
      <c r="K297" s="1416"/>
      <c r="L297" s="1416"/>
      <c r="M297" s="1416"/>
      <c r="N297" s="1416"/>
      <c r="O297" s="1416"/>
      <c r="P297" s="1416"/>
      <c r="Q297" s="1416"/>
      <c r="R297" s="1416"/>
      <c r="T297" s="3" t="s">
        <v>75</v>
      </c>
      <c r="V297" s="3"/>
      <c r="W297" s="3"/>
      <c r="X297" s="3"/>
      <c r="Y297" s="3"/>
      <c r="AA297" s="1416" t="s">
        <v>2641</v>
      </c>
      <c r="AB297" s="1416"/>
      <c r="AC297" s="1416"/>
      <c r="AD297" s="1416"/>
      <c r="AE297" s="1416"/>
      <c r="AF297" s="1416"/>
      <c r="AG297" s="1416"/>
      <c r="AH297" s="1416"/>
      <c r="AI297" s="1416"/>
      <c r="AJ297" s="1416"/>
      <c r="AK297" s="1416"/>
    </row>
    <row r="298" spans="2:37" ht="12.95" customHeight="1">
      <c r="B298" s="3" t="s">
        <v>87</v>
      </c>
      <c r="C298" s="3"/>
      <c r="D298" s="3"/>
      <c r="E298" s="3"/>
      <c r="F298" s="3"/>
      <c r="H298" s="1416" t="s">
        <v>2642</v>
      </c>
      <c r="I298" s="1416"/>
      <c r="J298" s="1416"/>
      <c r="K298" s="1416"/>
      <c r="L298" s="1416"/>
      <c r="M298" s="1416"/>
      <c r="N298" s="1416"/>
      <c r="O298" s="1416"/>
      <c r="P298" s="1416"/>
      <c r="Q298" s="1416"/>
      <c r="R298" s="1416"/>
      <c r="T298" s="3" t="s">
        <v>87</v>
      </c>
      <c r="V298" s="3"/>
      <c r="W298" s="3"/>
      <c r="X298" s="3"/>
      <c r="Y298" s="3"/>
      <c r="AA298" s="1416" t="s">
        <v>2645</v>
      </c>
      <c r="AB298" s="1416"/>
      <c r="AC298" s="1416"/>
      <c r="AD298" s="1416"/>
      <c r="AE298" s="1416"/>
      <c r="AF298" s="1416"/>
      <c r="AG298" s="1416"/>
      <c r="AH298" s="1416"/>
      <c r="AI298" s="1416"/>
      <c r="AJ298" s="1416"/>
      <c r="AK298" s="1416"/>
    </row>
    <row r="299" spans="2:37" ht="12.95" customHeight="1">
      <c r="B299" s="3" t="s">
        <v>88</v>
      </c>
      <c r="C299" s="3"/>
      <c r="D299" s="3"/>
      <c r="E299" s="3"/>
      <c r="F299" s="3"/>
      <c r="G299" s="3"/>
      <c r="H299" s="1262" t="s">
        <v>2673</v>
      </c>
      <c r="I299" s="1259"/>
      <c r="J299" s="1259"/>
      <c r="K299" s="1259"/>
      <c r="L299" s="1259"/>
      <c r="M299" s="1259"/>
      <c r="N299" s="4" t="s">
        <v>205</v>
      </c>
      <c r="O299" s="4"/>
      <c r="P299" s="1548"/>
      <c r="Q299" s="1548"/>
      <c r="R299" s="1548"/>
      <c r="S299" s="3"/>
      <c r="T299" s="3" t="s">
        <v>88</v>
      </c>
      <c r="V299" s="3"/>
      <c r="W299" s="3"/>
      <c r="X299" s="3"/>
      <c r="Y299" s="3"/>
      <c r="AA299" s="1585" t="s">
        <v>2674</v>
      </c>
      <c r="AB299" s="1586"/>
      <c r="AC299" s="1586"/>
      <c r="AD299" s="1586"/>
      <c r="AE299" s="1586"/>
      <c r="AF299" s="1586"/>
      <c r="AG299" s="4" t="s">
        <v>205</v>
      </c>
      <c r="AH299" s="4"/>
      <c r="AI299" s="1548"/>
      <c r="AJ299" s="1548"/>
      <c r="AK299" s="1548"/>
    </row>
    <row r="300" spans="2:37" ht="12.95" customHeight="1">
      <c r="B300" s="3" t="s">
        <v>89</v>
      </c>
      <c r="C300" s="3"/>
      <c r="D300" s="3"/>
      <c r="E300" s="3"/>
      <c r="F300" s="3"/>
      <c r="G300" s="3"/>
      <c r="H300" s="1464"/>
      <c r="I300" s="1464"/>
      <c r="J300" s="1464"/>
      <c r="K300" s="1464"/>
      <c r="L300" s="1464"/>
      <c r="M300" s="1464"/>
      <c r="N300" s="4"/>
      <c r="O300" s="4"/>
      <c r="P300" s="35"/>
      <c r="Q300" s="35"/>
      <c r="R300" s="35"/>
      <c r="S300" s="3"/>
      <c r="T300" s="3" t="s">
        <v>89</v>
      </c>
      <c r="V300" s="3"/>
      <c r="W300" s="3"/>
      <c r="X300" s="3"/>
      <c r="Y300" s="3"/>
      <c r="AA300" s="1464"/>
      <c r="AB300" s="1464"/>
      <c r="AC300" s="1464"/>
      <c r="AD300" s="1464"/>
      <c r="AE300" s="1464"/>
      <c r="AF300" s="1464"/>
      <c r="AG300" s="4"/>
      <c r="AH300" s="4"/>
      <c r="AI300" s="35"/>
      <c r="AJ300" s="35"/>
      <c r="AK300" s="35"/>
    </row>
    <row r="301" spans="2:37" ht="12.95" customHeight="1">
      <c r="B301" s="3" t="s">
        <v>76</v>
      </c>
      <c r="C301" s="3"/>
      <c r="D301" s="3"/>
      <c r="E301" s="3"/>
      <c r="F301" s="3"/>
      <c r="G301" s="3"/>
      <c r="H301" s="1416" t="s">
        <v>2678</v>
      </c>
      <c r="I301" s="1416"/>
      <c r="J301" s="1416"/>
      <c r="K301" s="1416"/>
      <c r="L301" s="1416"/>
      <c r="M301" s="1416"/>
      <c r="N301" s="1457"/>
      <c r="O301" s="1457"/>
      <c r="P301" s="1457"/>
      <c r="Q301" s="1457"/>
      <c r="R301" s="1457"/>
      <c r="S301" s="3"/>
      <c r="T301" s="3" t="s">
        <v>76</v>
      </c>
      <c r="V301" s="3"/>
      <c r="W301" s="3"/>
      <c r="X301" s="3"/>
      <c r="Y301" s="3"/>
      <c r="AA301" s="1416" t="s">
        <v>2677</v>
      </c>
      <c r="AB301" s="1416"/>
      <c r="AC301" s="1416"/>
      <c r="AD301" s="1416"/>
      <c r="AE301" s="1416"/>
      <c r="AF301" s="1416"/>
      <c r="AG301" s="1457"/>
      <c r="AH301" s="1457"/>
      <c r="AI301" s="1457"/>
      <c r="AJ301" s="1457"/>
      <c r="AK301" s="1457"/>
    </row>
    <row r="302" spans="2:37" ht="12.95" customHeight="1"/>
    <row r="303" spans="2:37" ht="12.95" customHeight="1">
      <c r="B303" s="3" t="s">
        <v>77</v>
      </c>
      <c r="C303" s="3"/>
      <c r="D303" s="3"/>
      <c r="E303" s="3"/>
      <c r="F303" s="3"/>
      <c r="H303" s="1457" t="s">
        <v>2639</v>
      </c>
      <c r="I303" s="1457"/>
      <c r="J303" s="1457"/>
      <c r="K303" s="1457"/>
      <c r="L303" s="1457"/>
      <c r="M303" s="1457"/>
      <c r="N303" s="1457"/>
      <c r="O303" s="1457"/>
      <c r="P303" s="1457"/>
      <c r="Q303" s="1457"/>
      <c r="R303" s="1457"/>
      <c r="T303" s="4" t="s">
        <v>878</v>
      </c>
      <c r="V303" s="3"/>
      <c r="W303" s="3"/>
      <c r="X303" s="3"/>
      <c r="Y303" s="3"/>
      <c r="AA303" s="1457"/>
      <c r="AB303" s="1457"/>
      <c r="AC303" s="1457"/>
      <c r="AD303" s="1457"/>
      <c r="AE303" s="1457"/>
      <c r="AF303" s="1457"/>
      <c r="AG303" s="1457"/>
      <c r="AH303" s="1457"/>
      <c r="AI303" s="1457"/>
      <c r="AJ303" s="1457"/>
      <c r="AK303" s="1457"/>
    </row>
    <row r="304" spans="2:37" ht="12.95" customHeight="1">
      <c r="B304" s="3" t="s">
        <v>471</v>
      </c>
      <c r="C304" s="3"/>
      <c r="D304" s="3"/>
      <c r="E304" s="3"/>
      <c r="F304" s="3"/>
      <c r="H304" s="1416" t="s">
        <v>2640</v>
      </c>
      <c r="I304" s="1416"/>
      <c r="J304" s="1416"/>
      <c r="K304" s="1416"/>
      <c r="L304" s="1416"/>
      <c r="M304" s="1416"/>
      <c r="N304" s="1416"/>
      <c r="O304" s="1416"/>
      <c r="P304" s="1416"/>
      <c r="Q304" s="1416"/>
      <c r="R304" s="1416"/>
      <c r="T304" s="3" t="s">
        <v>471</v>
      </c>
      <c r="V304" s="3"/>
      <c r="W304" s="3"/>
      <c r="X304" s="3"/>
      <c r="Y304" s="3"/>
      <c r="AA304" s="1416"/>
      <c r="AB304" s="1416"/>
      <c r="AC304" s="1416"/>
      <c r="AD304" s="1416"/>
      <c r="AE304" s="1416"/>
      <c r="AF304" s="1416"/>
      <c r="AG304" s="1416"/>
      <c r="AH304" s="1416"/>
      <c r="AI304" s="1416"/>
      <c r="AJ304" s="1416"/>
      <c r="AK304" s="1416"/>
    </row>
    <row r="305" spans="2:37" ht="12.95" customHeight="1">
      <c r="B305" s="3" t="s">
        <v>472</v>
      </c>
      <c r="C305" s="3"/>
      <c r="D305" s="3"/>
      <c r="E305" s="3"/>
      <c r="F305" s="3"/>
      <c r="H305" s="1416" t="s">
        <v>2641</v>
      </c>
      <c r="I305" s="1416"/>
      <c r="J305" s="1416"/>
      <c r="K305" s="1416"/>
      <c r="L305" s="1416"/>
      <c r="M305" s="1416"/>
      <c r="N305" s="1416"/>
      <c r="O305" s="1416"/>
      <c r="P305" s="1416"/>
      <c r="Q305" s="1416"/>
      <c r="R305" s="1416"/>
      <c r="T305" s="3" t="s">
        <v>75</v>
      </c>
      <c r="V305" s="3"/>
      <c r="W305" s="3"/>
      <c r="X305" s="3"/>
      <c r="Y305" s="3"/>
      <c r="AA305" s="1416"/>
      <c r="AB305" s="1416"/>
      <c r="AC305" s="1416"/>
      <c r="AD305" s="1416"/>
      <c r="AE305" s="1416"/>
      <c r="AF305" s="1416"/>
      <c r="AG305" s="1416"/>
      <c r="AH305" s="1416"/>
      <c r="AI305" s="1416"/>
      <c r="AJ305" s="1416"/>
      <c r="AK305" s="1416"/>
    </row>
    <row r="306" spans="2:37" ht="12.95" customHeight="1">
      <c r="B306" s="3" t="s">
        <v>87</v>
      </c>
      <c r="C306" s="3"/>
      <c r="D306" s="3"/>
      <c r="E306" s="3"/>
      <c r="F306" s="3"/>
      <c r="H306" s="1416" t="s">
        <v>2642</v>
      </c>
      <c r="I306" s="1416"/>
      <c r="J306" s="1416"/>
      <c r="K306" s="1416"/>
      <c r="L306" s="1416"/>
      <c r="M306" s="1416"/>
      <c r="N306" s="1416"/>
      <c r="O306" s="1416"/>
      <c r="P306" s="1416"/>
      <c r="Q306" s="1416"/>
      <c r="R306" s="1416"/>
      <c r="T306" s="3" t="s">
        <v>87</v>
      </c>
      <c r="V306" s="3"/>
      <c r="W306" s="3"/>
      <c r="X306" s="3"/>
      <c r="Y306" s="3"/>
      <c r="AA306" s="1416"/>
      <c r="AB306" s="1416"/>
      <c r="AC306" s="1416"/>
      <c r="AD306" s="1416"/>
      <c r="AE306" s="1416"/>
      <c r="AF306" s="1416"/>
      <c r="AG306" s="1416"/>
      <c r="AH306" s="1416"/>
      <c r="AI306" s="1416"/>
      <c r="AJ306" s="1416"/>
      <c r="AK306" s="1416"/>
    </row>
    <row r="307" spans="2:37" ht="12.95" customHeight="1">
      <c r="B307" s="3" t="s">
        <v>88</v>
      </c>
      <c r="C307" s="3"/>
      <c r="D307" s="3"/>
      <c r="E307" s="3"/>
      <c r="F307" s="3"/>
      <c r="G307" s="3"/>
      <c r="H307" s="1585" t="s">
        <v>2673</v>
      </c>
      <c r="I307" s="1586"/>
      <c r="J307" s="1586"/>
      <c r="K307" s="1586"/>
      <c r="L307" s="1586"/>
      <c r="M307" s="1586"/>
      <c r="N307" s="4" t="s">
        <v>205</v>
      </c>
      <c r="O307" s="4"/>
      <c r="P307" s="1548"/>
      <c r="Q307" s="1548"/>
      <c r="R307" s="1548"/>
      <c r="S307" s="3"/>
      <c r="T307" s="3" t="s">
        <v>88</v>
      </c>
      <c r="V307" s="3"/>
      <c r="W307" s="3"/>
      <c r="X307" s="3"/>
      <c r="Y307" s="3"/>
      <c r="AA307" s="1586"/>
      <c r="AB307" s="1586"/>
      <c r="AC307" s="1586"/>
      <c r="AD307" s="1586"/>
      <c r="AE307" s="1586"/>
      <c r="AF307" s="1586"/>
      <c r="AG307" s="4" t="s">
        <v>205</v>
      </c>
      <c r="AH307" s="4"/>
      <c r="AI307" s="1548"/>
      <c r="AJ307" s="1548"/>
      <c r="AK307" s="1548"/>
    </row>
    <row r="308" spans="2:37" ht="12.95" customHeight="1">
      <c r="B308" s="3" t="s">
        <v>89</v>
      </c>
      <c r="C308" s="3"/>
      <c r="D308" s="3"/>
      <c r="E308" s="3"/>
      <c r="F308" s="3"/>
      <c r="G308" s="3"/>
      <c r="H308" s="1464"/>
      <c r="I308" s="1464"/>
      <c r="J308" s="1464"/>
      <c r="K308" s="1464"/>
      <c r="L308" s="1464"/>
      <c r="M308" s="1464"/>
      <c r="N308" s="4"/>
      <c r="O308" s="4"/>
      <c r="P308" s="35"/>
      <c r="Q308" s="35"/>
      <c r="R308" s="35"/>
      <c r="S308" s="3"/>
      <c r="T308" s="3" t="s">
        <v>89</v>
      </c>
      <c r="V308" s="3"/>
      <c r="W308" s="3"/>
      <c r="X308" s="3"/>
      <c r="Y308" s="3"/>
      <c r="AA308" s="1464"/>
      <c r="AB308" s="1464"/>
      <c r="AC308" s="1464"/>
      <c r="AD308" s="1464"/>
      <c r="AE308" s="1464"/>
      <c r="AF308" s="1464"/>
      <c r="AG308" s="4"/>
      <c r="AH308" s="4"/>
      <c r="AI308" s="35"/>
      <c r="AJ308" s="35"/>
      <c r="AK308" s="35"/>
    </row>
    <row r="309" spans="2:37" ht="12.95" customHeight="1">
      <c r="B309" s="3" t="s">
        <v>76</v>
      </c>
      <c r="C309" s="3"/>
      <c r="D309" s="3"/>
      <c r="E309" s="3"/>
      <c r="F309" s="3"/>
      <c r="G309" s="3"/>
      <c r="H309" s="1416" t="s">
        <v>2678</v>
      </c>
      <c r="I309" s="1416"/>
      <c r="J309" s="1416"/>
      <c r="K309" s="1416"/>
      <c r="L309" s="1416"/>
      <c r="M309" s="1416"/>
      <c r="N309" s="1457"/>
      <c r="O309" s="1457"/>
      <c r="P309" s="1457"/>
      <c r="Q309" s="1457"/>
      <c r="R309" s="1457"/>
      <c r="S309" s="3"/>
      <c r="T309" s="3" t="s">
        <v>76</v>
      </c>
      <c r="V309" s="3"/>
      <c r="W309" s="3"/>
      <c r="X309" s="3"/>
      <c r="Y309" s="3"/>
      <c r="AA309" s="1416"/>
      <c r="AB309" s="1416"/>
      <c r="AC309" s="1416"/>
      <c r="AD309" s="1416"/>
      <c r="AE309" s="1416"/>
      <c r="AF309" s="1416"/>
      <c r="AG309" s="1457"/>
      <c r="AH309" s="1457"/>
      <c r="AI309" s="1457"/>
      <c r="AJ309" s="1457"/>
      <c r="AK309" s="145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57" t="s">
        <v>2646</v>
      </c>
      <c r="I311" s="1457"/>
      <c r="J311" s="1457"/>
      <c r="K311" s="1457"/>
      <c r="L311" s="1457"/>
      <c r="M311" s="1457"/>
      <c r="N311" s="1457"/>
      <c r="O311" s="1457"/>
      <c r="P311" s="1457"/>
      <c r="Q311" s="1457"/>
      <c r="R311" s="1457"/>
      <c r="S311" s="3"/>
      <c r="T311" s="3" t="s">
        <v>364</v>
      </c>
      <c r="V311" s="3"/>
      <c r="W311" s="3"/>
      <c r="X311" s="3"/>
      <c r="Y311" s="3"/>
      <c r="AA311" s="1457"/>
      <c r="AB311" s="1457"/>
      <c r="AC311" s="1457"/>
      <c r="AD311" s="1457"/>
      <c r="AE311" s="1457"/>
      <c r="AF311" s="1457"/>
      <c r="AG311" s="1457"/>
      <c r="AH311" s="1457"/>
      <c r="AI311" s="1457"/>
      <c r="AJ311" s="1457"/>
      <c r="AK311" s="1457"/>
    </row>
    <row r="312" spans="2:37" ht="12.95" customHeight="1">
      <c r="B312" s="3" t="s">
        <v>471</v>
      </c>
      <c r="C312" s="3"/>
      <c r="D312" s="3"/>
      <c r="E312" s="3"/>
      <c r="F312" s="3"/>
      <c r="H312" s="1416" t="s">
        <v>2647</v>
      </c>
      <c r="I312" s="1416"/>
      <c r="J312" s="1416"/>
      <c r="K312" s="1416"/>
      <c r="L312" s="1416"/>
      <c r="M312" s="1416"/>
      <c r="N312" s="1416"/>
      <c r="O312" s="1416"/>
      <c r="P312" s="1416"/>
      <c r="Q312" s="1416"/>
      <c r="R312" s="1416"/>
      <c r="S312" s="3"/>
      <c r="T312" s="3" t="s">
        <v>471</v>
      </c>
      <c r="V312" s="3"/>
      <c r="W312" s="3"/>
      <c r="X312" s="3"/>
      <c r="Y312" s="3"/>
      <c r="AA312" s="1416"/>
      <c r="AB312" s="1416"/>
      <c r="AC312" s="1416"/>
      <c r="AD312" s="1416"/>
      <c r="AE312" s="1416"/>
      <c r="AF312" s="1416"/>
      <c r="AG312" s="1416"/>
      <c r="AH312" s="1416"/>
      <c r="AI312" s="1416"/>
      <c r="AJ312" s="1416"/>
      <c r="AK312" s="1416"/>
    </row>
    <row r="313" spans="2:37" ht="12.95" customHeight="1">
      <c r="B313" s="3" t="s">
        <v>472</v>
      </c>
      <c r="C313" s="3"/>
      <c r="D313" s="3"/>
      <c r="E313" s="3"/>
      <c r="F313" s="3"/>
      <c r="H313" s="1416" t="s">
        <v>2648</v>
      </c>
      <c r="I313" s="1416"/>
      <c r="J313" s="1416"/>
      <c r="K313" s="1416"/>
      <c r="L313" s="1416"/>
      <c r="M313" s="1416"/>
      <c r="N313" s="1416"/>
      <c r="O313" s="1416"/>
      <c r="P313" s="1416"/>
      <c r="Q313" s="1416"/>
      <c r="R313" s="1416"/>
      <c r="S313" s="3"/>
      <c r="T313" s="3" t="s">
        <v>75</v>
      </c>
      <c r="V313" s="3"/>
      <c r="W313" s="3"/>
      <c r="X313" s="3"/>
      <c r="Y313" s="3"/>
      <c r="AA313" s="1416"/>
      <c r="AB313" s="1416"/>
      <c r="AC313" s="1416"/>
      <c r="AD313" s="1416"/>
      <c r="AE313" s="1416"/>
      <c r="AF313" s="1416"/>
      <c r="AG313" s="1416"/>
      <c r="AH313" s="1416"/>
      <c r="AI313" s="1416"/>
      <c r="AJ313" s="1416"/>
      <c r="AK313" s="1416"/>
    </row>
    <row r="314" spans="2:37" ht="12.95" customHeight="1">
      <c r="B314" s="3" t="s">
        <v>87</v>
      </c>
      <c r="C314" s="3"/>
      <c r="D314" s="3"/>
      <c r="E314" s="3"/>
      <c r="F314" s="3"/>
      <c r="H314" s="1416" t="s">
        <v>2649</v>
      </c>
      <c r="I314" s="1416"/>
      <c r="J314" s="1416"/>
      <c r="K314" s="1416"/>
      <c r="L314" s="1416"/>
      <c r="M314" s="1416"/>
      <c r="N314" s="1416"/>
      <c r="O314" s="1416"/>
      <c r="P314" s="1416"/>
      <c r="Q314" s="1416"/>
      <c r="R314" s="1416"/>
      <c r="S314" s="3"/>
      <c r="T314" s="3" t="s">
        <v>87</v>
      </c>
      <c r="V314" s="3"/>
      <c r="W314" s="3"/>
      <c r="X314" s="3"/>
      <c r="Y314" s="3"/>
      <c r="AA314" s="1416"/>
      <c r="AB314" s="1416"/>
      <c r="AC314" s="1416"/>
      <c r="AD314" s="1416"/>
      <c r="AE314" s="1416"/>
      <c r="AF314" s="1416"/>
      <c r="AG314" s="1416"/>
      <c r="AH314" s="1416"/>
      <c r="AI314" s="1416"/>
      <c r="AJ314" s="1416"/>
      <c r="AK314" s="1416"/>
    </row>
    <row r="315" spans="2:37" ht="12.95" customHeight="1">
      <c r="B315" s="3" t="s">
        <v>88</v>
      </c>
      <c r="C315" s="3"/>
      <c r="D315" s="3"/>
      <c r="E315" s="3"/>
      <c r="F315" s="3"/>
      <c r="G315" s="3"/>
      <c r="H315" s="1585" t="s">
        <v>2672</v>
      </c>
      <c r="I315" s="1586"/>
      <c r="J315" s="1586"/>
      <c r="K315" s="1586"/>
      <c r="L315" s="1586"/>
      <c r="M315" s="1586"/>
      <c r="N315" s="4" t="s">
        <v>205</v>
      </c>
      <c r="O315" s="4"/>
      <c r="P315" s="1548"/>
      <c r="Q315" s="1548"/>
      <c r="R315" s="1548"/>
      <c r="S315" s="3"/>
      <c r="T315" s="3" t="s">
        <v>88</v>
      </c>
      <c r="V315" s="3"/>
      <c r="W315" s="3"/>
      <c r="X315" s="3"/>
      <c r="Y315" s="3"/>
      <c r="AA315" s="1586"/>
      <c r="AB315" s="1586"/>
      <c r="AC315" s="1586"/>
      <c r="AD315" s="1586"/>
      <c r="AE315" s="1586"/>
      <c r="AF315" s="1586"/>
      <c r="AG315" s="4" t="s">
        <v>205</v>
      </c>
      <c r="AH315" s="4"/>
      <c r="AI315" s="1548"/>
      <c r="AJ315" s="1548"/>
      <c r="AK315" s="1548"/>
    </row>
    <row r="316" spans="2:37" ht="12.95" customHeight="1">
      <c r="B316" s="3" t="s">
        <v>89</v>
      </c>
      <c r="C316" s="3"/>
      <c r="D316" s="3"/>
      <c r="E316" s="3"/>
      <c r="F316" s="3"/>
      <c r="G316" s="3"/>
      <c r="H316" s="1464"/>
      <c r="I316" s="1464"/>
      <c r="J316" s="1464"/>
      <c r="K316" s="1464"/>
      <c r="L316" s="1464"/>
      <c r="M316" s="1464"/>
      <c r="N316" s="4"/>
      <c r="O316" s="4"/>
      <c r="P316" s="35"/>
      <c r="Q316" s="35"/>
      <c r="R316" s="35"/>
      <c r="S316" s="3"/>
      <c r="T316" s="3" t="s">
        <v>89</v>
      </c>
      <c r="V316" s="3"/>
      <c r="W316" s="3"/>
      <c r="X316" s="3"/>
      <c r="Y316" s="3"/>
      <c r="AA316" s="1464"/>
      <c r="AB316" s="1464"/>
      <c r="AC316" s="1464"/>
      <c r="AD316" s="1464"/>
      <c r="AE316" s="1464"/>
      <c r="AF316" s="1464"/>
      <c r="AG316" s="4"/>
      <c r="AH316" s="4"/>
      <c r="AI316" s="35"/>
      <c r="AJ316" s="35"/>
      <c r="AK316" s="35"/>
    </row>
    <row r="317" spans="2:37" ht="12.95" customHeight="1">
      <c r="B317" s="3" t="s">
        <v>76</v>
      </c>
      <c r="C317" s="3"/>
      <c r="D317" s="3"/>
      <c r="E317" s="3"/>
      <c r="F317" s="3"/>
      <c r="G317" s="3"/>
      <c r="H317" s="1416" t="s">
        <v>2679</v>
      </c>
      <c r="I317" s="1416"/>
      <c r="J317" s="1416"/>
      <c r="K317" s="1416"/>
      <c r="L317" s="1416"/>
      <c r="M317" s="1416"/>
      <c r="N317" s="1457"/>
      <c r="O317" s="1457"/>
      <c r="P317" s="1457"/>
      <c r="Q317" s="1457"/>
      <c r="R317" s="1457"/>
      <c r="S317" s="3"/>
      <c r="T317" s="3" t="s">
        <v>76</v>
      </c>
      <c r="V317" s="3"/>
      <c r="W317" s="3"/>
      <c r="X317" s="3"/>
      <c r="Y317" s="3"/>
      <c r="AA317" s="1416"/>
      <c r="AB317" s="1416"/>
      <c r="AC317" s="1416"/>
      <c r="AD317" s="1416"/>
      <c r="AE317" s="1416"/>
      <c r="AF317" s="1416"/>
      <c r="AG317" s="1457"/>
      <c r="AH317" s="1457"/>
      <c r="AI317" s="1457"/>
      <c r="AJ317" s="1457"/>
      <c r="AK317" s="1457"/>
    </row>
    <row r="318" spans="2:37" ht="12.95" customHeight="1"/>
    <row r="319" spans="2:37" ht="12.95" customHeight="1">
      <c r="B319" s="4" t="s">
        <v>908</v>
      </c>
      <c r="C319" s="3"/>
      <c r="D319" s="3"/>
      <c r="E319" s="3"/>
      <c r="F319" s="3"/>
      <c r="H319" s="1457" t="s">
        <v>2650</v>
      </c>
      <c r="I319" s="1457"/>
      <c r="J319" s="1457"/>
      <c r="K319" s="1457"/>
      <c r="L319" s="1457"/>
      <c r="M319" s="1457"/>
      <c r="N319" s="1457"/>
      <c r="O319" s="1457"/>
      <c r="P319" s="1457"/>
      <c r="Q319" s="1457"/>
      <c r="R319" s="1457"/>
      <c r="T319" s="3" t="s">
        <v>365</v>
      </c>
      <c r="V319" s="3"/>
      <c r="W319" s="3"/>
      <c r="X319" s="3"/>
      <c r="Y319" s="3"/>
      <c r="AA319" s="1457" t="s">
        <v>2654</v>
      </c>
      <c r="AB319" s="1457"/>
      <c r="AC319" s="1457"/>
      <c r="AD319" s="1457"/>
      <c r="AE319" s="1457"/>
      <c r="AF319" s="1457"/>
      <c r="AG319" s="1457"/>
      <c r="AH319" s="1457"/>
      <c r="AI319" s="1457"/>
      <c r="AJ319" s="1457"/>
      <c r="AK319" s="1457"/>
    </row>
    <row r="320" spans="2:37" ht="12.95" customHeight="1">
      <c r="B320" s="3" t="s">
        <v>471</v>
      </c>
      <c r="C320" s="3"/>
      <c r="D320" s="3"/>
      <c r="E320" s="3"/>
      <c r="F320" s="3"/>
      <c r="H320" s="1416" t="s">
        <v>2651</v>
      </c>
      <c r="I320" s="1416"/>
      <c r="J320" s="1416"/>
      <c r="K320" s="1416"/>
      <c r="L320" s="1416"/>
      <c r="M320" s="1416"/>
      <c r="N320" s="1416"/>
      <c r="O320" s="1416"/>
      <c r="P320" s="1416"/>
      <c r="Q320" s="1416"/>
      <c r="R320" s="1416"/>
      <c r="T320" s="3" t="s">
        <v>471</v>
      </c>
      <c r="V320" s="3"/>
      <c r="W320" s="3"/>
      <c r="X320" s="3"/>
      <c r="Y320" s="3"/>
      <c r="AA320" s="1416" t="s">
        <v>2655</v>
      </c>
      <c r="AB320" s="1416"/>
      <c r="AC320" s="1416"/>
      <c r="AD320" s="1416"/>
      <c r="AE320" s="1416"/>
      <c r="AF320" s="1416"/>
      <c r="AG320" s="1416"/>
      <c r="AH320" s="1416"/>
      <c r="AI320" s="1416"/>
      <c r="AJ320" s="1416"/>
      <c r="AK320" s="1416"/>
    </row>
    <row r="321" spans="2:37" ht="12.95" customHeight="1">
      <c r="B321" s="3" t="s">
        <v>472</v>
      </c>
      <c r="C321" s="3"/>
      <c r="D321" s="3"/>
      <c r="E321" s="3"/>
      <c r="F321" s="3"/>
      <c r="H321" s="1416" t="s">
        <v>2652</v>
      </c>
      <c r="I321" s="1416"/>
      <c r="J321" s="1416"/>
      <c r="K321" s="1416"/>
      <c r="L321" s="1416"/>
      <c r="M321" s="1416"/>
      <c r="N321" s="1416"/>
      <c r="O321" s="1416"/>
      <c r="P321" s="1416"/>
      <c r="Q321" s="1416"/>
      <c r="R321" s="1416"/>
      <c r="T321" s="3" t="s">
        <v>75</v>
      </c>
      <c r="V321" s="3"/>
      <c r="W321" s="3"/>
      <c r="X321" s="3"/>
      <c r="Y321" s="3"/>
      <c r="AA321" s="1416" t="s">
        <v>2656</v>
      </c>
      <c r="AB321" s="1416"/>
      <c r="AC321" s="1416"/>
      <c r="AD321" s="1416"/>
      <c r="AE321" s="1416"/>
      <c r="AF321" s="1416"/>
      <c r="AG321" s="1416"/>
      <c r="AH321" s="1416"/>
      <c r="AI321" s="1416"/>
      <c r="AJ321" s="1416"/>
      <c r="AK321" s="1416"/>
    </row>
    <row r="322" spans="2:37" ht="12.95" customHeight="1">
      <c r="B322" s="3" t="s">
        <v>87</v>
      </c>
      <c r="C322" s="3"/>
      <c r="D322" s="3"/>
      <c r="E322" s="3"/>
      <c r="F322" s="3"/>
      <c r="H322" s="1416" t="s">
        <v>2653</v>
      </c>
      <c r="I322" s="1416"/>
      <c r="J322" s="1416"/>
      <c r="K322" s="1416"/>
      <c r="L322" s="1416"/>
      <c r="M322" s="1416"/>
      <c r="N322" s="1416"/>
      <c r="O322" s="1416"/>
      <c r="P322" s="1416"/>
      <c r="Q322" s="1416"/>
      <c r="R322" s="1416"/>
      <c r="T322" s="3" t="s">
        <v>87</v>
      </c>
      <c r="V322" s="3"/>
      <c r="W322" s="3"/>
      <c r="X322" s="3"/>
      <c r="Y322" s="3"/>
      <c r="AA322" s="1416" t="s">
        <v>2657</v>
      </c>
      <c r="AB322" s="1416"/>
      <c r="AC322" s="1416"/>
      <c r="AD322" s="1416"/>
      <c r="AE322" s="1416"/>
      <c r="AF322" s="1416"/>
      <c r="AG322" s="1416"/>
      <c r="AH322" s="1416"/>
      <c r="AI322" s="1416"/>
      <c r="AJ322" s="1416"/>
      <c r="AK322" s="1416"/>
    </row>
    <row r="323" spans="2:37" ht="12.95" customHeight="1">
      <c r="B323" s="3" t="s">
        <v>88</v>
      </c>
      <c r="C323" s="3"/>
      <c r="D323" s="3"/>
      <c r="E323" s="3"/>
      <c r="F323" s="3"/>
      <c r="G323" s="3"/>
      <c r="H323" s="1262" t="s">
        <v>2670</v>
      </c>
      <c r="I323" s="1259"/>
      <c r="J323" s="1259"/>
      <c r="K323" s="1259"/>
      <c r="L323" s="1259"/>
      <c r="M323" s="1259"/>
      <c r="N323" s="4" t="s">
        <v>205</v>
      </c>
      <c r="O323" s="4"/>
      <c r="P323" s="1548"/>
      <c r="Q323" s="1548"/>
      <c r="R323" s="1548"/>
      <c r="S323" s="3"/>
      <c r="T323" s="3" t="s">
        <v>88</v>
      </c>
      <c r="V323" s="3"/>
      <c r="W323" s="3"/>
      <c r="X323" s="3"/>
      <c r="Y323" s="3"/>
      <c r="AA323" s="1262" t="s">
        <v>2671</v>
      </c>
      <c r="AB323" s="1259"/>
      <c r="AC323" s="1259"/>
      <c r="AD323" s="1259"/>
      <c r="AE323" s="1259"/>
      <c r="AF323" s="1259"/>
      <c r="AG323" s="4" t="s">
        <v>205</v>
      </c>
      <c r="AH323" s="4"/>
      <c r="AI323" s="1548"/>
      <c r="AJ323" s="1548"/>
      <c r="AK323" s="1548"/>
    </row>
    <row r="324" spans="2:37"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37" ht="12.95" customHeight="1">
      <c r="B325" s="3" t="s">
        <v>76</v>
      </c>
      <c r="C325" s="3"/>
      <c r="D325" s="3"/>
      <c r="E325" s="3"/>
      <c r="F325" s="3"/>
      <c r="G325" s="3"/>
      <c r="H325" s="1416" t="s">
        <v>2681</v>
      </c>
      <c r="I325" s="1416"/>
      <c r="J325" s="1416"/>
      <c r="K325" s="1416"/>
      <c r="L325" s="1416"/>
      <c r="M325" s="1416"/>
      <c r="N325" s="1457"/>
      <c r="O325" s="1457"/>
      <c r="P325" s="1457"/>
      <c r="Q325" s="1457"/>
      <c r="R325" s="1457"/>
      <c r="S325" s="3"/>
      <c r="T325" s="3" t="s">
        <v>76</v>
      </c>
      <c r="V325" s="3"/>
      <c r="W325" s="3"/>
      <c r="X325" s="3"/>
      <c r="Y325" s="3"/>
      <c r="AA325" s="1416" t="s">
        <v>2680</v>
      </c>
      <c r="AB325" s="1416"/>
      <c r="AC325" s="1416"/>
      <c r="AD325" s="1416"/>
      <c r="AE325" s="1416"/>
      <c r="AF325" s="1416"/>
      <c r="AG325" s="1457"/>
      <c r="AH325" s="1457"/>
      <c r="AI325" s="1457"/>
      <c r="AJ325" s="1457"/>
      <c r="AK325" s="145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57" t="s">
        <v>2658</v>
      </c>
      <c r="I327" s="1457"/>
      <c r="J327" s="1457"/>
      <c r="K327" s="1457"/>
      <c r="L327" s="1457"/>
      <c r="M327" s="1457"/>
      <c r="N327" s="1457"/>
      <c r="O327" s="1457"/>
      <c r="P327" s="1457"/>
      <c r="Q327" s="1457"/>
      <c r="R327" s="1457"/>
      <c r="T327" s="3" t="s">
        <v>367</v>
      </c>
      <c r="V327" s="3"/>
      <c r="W327" s="3"/>
      <c r="X327" s="3"/>
      <c r="Y327" s="3"/>
      <c r="AA327" s="1457"/>
      <c r="AB327" s="1457"/>
      <c r="AC327" s="1457"/>
      <c r="AD327" s="1457"/>
      <c r="AE327" s="1457"/>
      <c r="AF327" s="1457"/>
      <c r="AG327" s="1457"/>
      <c r="AH327" s="1457"/>
      <c r="AI327" s="1457"/>
      <c r="AJ327" s="1457"/>
      <c r="AK327" s="1457"/>
    </row>
    <row r="328" spans="2:37" ht="12.95" customHeight="1">
      <c r="B328" s="3" t="s">
        <v>471</v>
      </c>
      <c r="C328" s="3"/>
      <c r="D328" s="3"/>
      <c r="E328" s="3"/>
      <c r="F328" s="3"/>
      <c r="H328" s="1416" t="s">
        <v>2659</v>
      </c>
      <c r="I328" s="1416"/>
      <c r="J328" s="1416"/>
      <c r="K328" s="1416"/>
      <c r="L328" s="1416"/>
      <c r="M328" s="1416"/>
      <c r="N328" s="1416"/>
      <c r="O328" s="1416"/>
      <c r="P328" s="1416"/>
      <c r="Q328" s="1416"/>
      <c r="R328" s="1416"/>
      <c r="T328" s="3" t="s">
        <v>471</v>
      </c>
      <c r="V328" s="3"/>
      <c r="W328" s="3"/>
      <c r="X328" s="3"/>
      <c r="Y328" s="3"/>
      <c r="AA328" s="1416"/>
      <c r="AB328" s="1416"/>
      <c r="AC328" s="1416"/>
      <c r="AD328" s="1416"/>
      <c r="AE328" s="1416"/>
      <c r="AF328" s="1416"/>
      <c r="AG328" s="1416"/>
      <c r="AH328" s="1416"/>
      <c r="AI328" s="1416"/>
      <c r="AJ328" s="1416"/>
      <c r="AK328" s="1416"/>
    </row>
    <row r="329" spans="2:37" ht="12.95" customHeight="1">
      <c r="B329" s="3" t="s">
        <v>472</v>
      </c>
      <c r="C329" s="3"/>
      <c r="D329" s="3"/>
      <c r="E329" s="3"/>
      <c r="F329" s="3"/>
      <c r="H329" s="1416" t="s">
        <v>2660</v>
      </c>
      <c r="I329" s="1416"/>
      <c r="J329" s="1416"/>
      <c r="K329" s="1416"/>
      <c r="L329" s="1416"/>
      <c r="M329" s="1416"/>
      <c r="N329" s="1416"/>
      <c r="O329" s="1416"/>
      <c r="P329" s="1416"/>
      <c r="Q329" s="1416"/>
      <c r="R329" s="1416"/>
      <c r="T329" s="3" t="s">
        <v>75</v>
      </c>
      <c r="V329" s="3"/>
      <c r="W329" s="3"/>
      <c r="X329" s="3"/>
      <c r="Y329" s="3"/>
      <c r="AA329" s="1416"/>
      <c r="AB329" s="1416"/>
      <c r="AC329" s="1416"/>
      <c r="AD329" s="1416"/>
      <c r="AE329" s="1416"/>
      <c r="AF329" s="1416"/>
      <c r="AG329" s="1416"/>
      <c r="AH329" s="1416"/>
      <c r="AI329" s="1416"/>
      <c r="AJ329" s="1416"/>
      <c r="AK329" s="1416"/>
    </row>
    <row r="330" spans="2:37" ht="12.95" customHeight="1">
      <c r="B330" s="3" t="s">
        <v>87</v>
      </c>
      <c r="C330" s="3"/>
      <c r="D330" s="3"/>
      <c r="E330" s="3"/>
      <c r="F330" s="3"/>
      <c r="H330" s="1416" t="s">
        <v>2658</v>
      </c>
      <c r="I330" s="1416"/>
      <c r="J330" s="1416"/>
      <c r="K330" s="1416"/>
      <c r="L330" s="1416"/>
      <c r="M330" s="1416"/>
      <c r="N330" s="1416"/>
      <c r="O330" s="1416"/>
      <c r="P330" s="1416"/>
      <c r="Q330" s="1416"/>
      <c r="R330" s="1416"/>
      <c r="T330" s="3" t="s">
        <v>87</v>
      </c>
      <c r="V330" s="3"/>
      <c r="W330" s="3"/>
      <c r="X330" s="3"/>
      <c r="Y330" s="3"/>
      <c r="AA330" s="1416"/>
      <c r="AB330" s="1416"/>
      <c r="AC330" s="1416"/>
      <c r="AD330" s="1416"/>
      <c r="AE330" s="1416"/>
      <c r="AF330" s="1416"/>
      <c r="AG330" s="1416"/>
      <c r="AH330" s="1416"/>
      <c r="AI330" s="1416"/>
      <c r="AJ330" s="1416"/>
      <c r="AK330" s="1416"/>
    </row>
    <row r="331" spans="2:37" ht="12.95" customHeight="1">
      <c r="B331" s="3" t="s">
        <v>88</v>
      </c>
      <c r="C331" s="3"/>
      <c r="D331" s="3"/>
      <c r="E331" s="3"/>
      <c r="F331" s="3"/>
      <c r="G331" s="3"/>
      <c r="H331" s="1585" t="s">
        <v>2669</v>
      </c>
      <c r="I331" s="1585"/>
      <c r="J331" s="1585"/>
      <c r="K331" s="1585"/>
      <c r="L331" s="1585"/>
      <c r="M331" s="1585"/>
      <c r="N331" s="4" t="s">
        <v>205</v>
      </c>
      <c r="O331" s="4"/>
      <c r="P331" s="1548"/>
      <c r="Q331" s="1548"/>
      <c r="R331" s="1548"/>
      <c r="S331" s="3"/>
      <c r="T331" s="3" t="s">
        <v>88</v>
      </c>
      <c r="V331" s="3"/>
      <c r="W331" s="3"/>
      <c r="X331" s="3"/>
      <c r="Y331" s="3"/>
      <c r="AA331" s="1586"/>
      <c r="AB331" s="1586"/>
      <c r="AC331" s="1586"/>
      <c r="AD331" s="1586"/>
      <c r="AE331" s="1586"/>
      <c r="AF331" s="1586"/>
      <c r="AG331" s="4" t="s">
        <v>205</v>
      </c>
      <c r="AH331" s="4"/>
      <c r="AI331" s="1548"/>
      <c r="AJ331" s="1548"/>
      <c r="AK331" s="1548"/>
    </row>
    <row r="332" spans="2:37"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37" ht="12.95" customHeight="1">
      <c r="B333" s="3" t="s">
        <v>76</v>
      </c>
      <c r="C333" s="3"/>
      <c r="D333" s="3"/>
      <c r="E333" s="3"/>
      <c r="F333" s="3"/>
      <c r="G333" s="3"/>
      <c r="H333" s="1416" t="s">
        <v>2682</v>
      </c>
      <c r="I333" s="1416"/>
      <c r="J333" s="1416"/>
      <c r="K333" s="1416"/>
      <c r="L333" s="1416"/>
      <c r="M333" s="1416"/>
      <c r="N333" s="1457"/>
      <c r="O333" s="1457"/>
      <c r="P333" s="1457"/>
      <c r="Q333" s="1457"/>
      <c r="R333" s="1457"/>
      <c r="S333" s="3"/>
      <c r="T333" s="3" t="s">
        <v>76</v>
      </c>
      <c r="V333" s="3"/>
      <c r="W333" s="3"/>
      <c r="X333" s="3"/>
      <c r="Y333" s="3"/>
      <c r="AA333" s="1416"/>
      <c r="AB333" s="1416"/>
      <c r="AC333" s="1416"/>
      <c r="AD333" s="1416"/>
      <c r="AE333" s="1416"/>
      <c r="AF333" s="1416"/>
      <c r="AG333" s="1457"/>
      <c r="AH333" s="1457"/>
      <c r="AI333" s="1457"/>
      <c r="AJ333" s="1457"/>
      <c r="AK333" s="145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57" t="s">
        <v>2734</v>
      </c>
      <c r="I335" s="1457"/>
      <c r="J335" s="1457"/>
      <c r="K335" s="1457"/>
      <c r="L335" s="1457"/>
      <c r="M335" s="1457"/>
      <c r="N335" s="1457"/>
      <c r="O335" s="1457"/>
      <c r="P335" s="1457"/>
      <c r="Q335" s="1457"/>
      <c r="R335" s="1457"/>
      <c r="T335" s="205" t="s">
        <v>886</v>
      </c>
      <c r="V335" s="3"/>
      <c r="W335" s="3"/>
      <c r="X335" s="3"/>
      <c r="Y335" s="3"/>
      <c r="AA335" s="1457" t="s">
        <v>2664</v>
      </c>
      <c r="AB335" s="1457"/>
      <c r="AC335" s="1457"/>
      <c r="AD335" s="1457"/>
      <c r="AE335" s="1457"/>
      <c r="AF335" s="1457"/>
      <c r="AG335" s="1457"/>
      <c r="AH335" s="1457"/>
      <c r="AI335" s="1457"/>
      <c r="AJ335" s="1457"/>
      <c r="AK335" s="1457"/>
    </row>
    <row r="336" spans="2:37" ht="12.95" customHeight="1">
      <c r="B336" s="3" t="s">
        <v>471</v>
      </c>
      <c r="C336" s="3"/>
      <c r="D336" s="3"/>
      <c r="E336" s="3"/>
      <c r="F336" s="3"/>
      <c r="H336" s="1416" t="s">
        <v>2661</v>
      </c>
      <c r="I336" s="1416"/>
      <c r="J336" s="1416"/>
      <c r="K336" s="1416"/>
      <c r="L336" s="1416"/>
      <c r="M336" s="1416"/>
      <c r="N336" s="1416"/>
      <c r="O336" s="1416"/>
      <c r="P336" s="1416"/>
      <c r="Q336" s="1416"/>
      <c r="R336" s="1416"/>
      <c r="T336" s="3" t="s">
        <v>471</v>
      </c>
      <c r="V336" s="3"/>
      <c r="W336" s="3"/>
      <c r="X336" s="3"/>
      <c r="Y336" s="3"/>
      <c r="AA336" s="1416" t="s">
        <v>2633</v>
      </c>
      <c r="AB336" s="1416"/>
      <c r="AC336" s="1416"/>
      <c r="AD336" s="1416"/>
      <c r="AE336" s="1416"/>
      <c r="AF336" s="1416"/>
      <c r="AG336" s="1416"/>
      <c r="AH336" s="1416"/>
      <c r="AI336" s="1416"/>
      <c r="AJ336" s="1416"/>
      <c r="AK336" s="1416"/>
    </row>
    <row r="337" spans="1:66" ht="12.95" customHeight="1">
      <c r="B337" s="3" t="s">
        <v>75</v>
      </c>
      <c r="C337" s="3"/>
      <c r="D337" s="3"/>
      <c r="E337" s="3"/>
      <c r="F337" s="3"/>
      <c r="H337" s="1416" t="s">
        <v>2662</v>
      </c>
      <c r="I337" s="1416"/>
      <c r="J337" s="1416"/>
      <c r="K337" s="1416"/>
      <c r="L337" s="1416"/>
      <c r="M337" s="1416"/>
      <c r="N337" s="1416"/>
      <c r="O337" s="1416"/>
      <c r="P337" s="1416"/>
      <c r="Q337" s="1416"/>
      <c r="R337" s="1416"/>
      <c r="T337" s="3" t="s">
        <v>75</v>
      </c>
      <c r="V337" s="3"/>
      <c r="W337" s="3"/>
      <c r="X337" s="3"/>
      <c r="Y337" s="3"/>
      <c r="AA337" s="1416" t="s">
        <v>2665</v>
      </c>
      <c r="AB337" s="1416"/>
      <c r="AC337" s="1416"/>
      <c r="AD337" s="1416"/>
      <c r="AE337" s="1416"/>
      <c r="AF337" s="1416"/>
      <c r="AG337" s="1416"/>
      <c r="AH337" s="1416"/>
      <c r="AI337" s="1416"/>
      <c r="AJ337" s="1416"/>
      <c r="AK337" s="1416"/>
    </row>
    <row r="338" spans="1:66" ht="12.95" customHeight="1">
      <c r="B338" s="3" t="s">
        <v>87</v>
      </c>
      <c r="C338" s="3"/>
      <c r="D338" s="3"/>
      <c r="E338" s="3"/>
      <c r="F338" s="3"/>
      <c r="G338" s="3"/>
      <c r="H338" s="1416" t="s">
        <v>2663</v>
      </c>
      <c r="I338" s="1416"/>
      <c r="J338" s="1416"/>
      <c r="K338" s="1416"/>
      <c r="L338" s="1416"/>
      <c r="M338" s="1416"/>
      <c r="N338" s="1416"/>
      <c r="O338" s="1416"/>
      <c r="P338" s="1416"/>
      <c r="Q338" s="1416"/>
      <c r="R338" s="1416"/>
      <c r="T338" s="3" t="s">
        <v>87</v>
      </c>
      <c r="V338" s="3"/>
      <c r="W338" s="3"/>
      <c r="X338" s="3"/>
      <c r="Y338" s="3"/>
      <c r="AA338" s="1416" t="s">
        <v>2666</v>
      </c>
      <c r="AB338" s="1416"/>
      <c r="AC338" s="1416"/>
      <c r="AD338" s="1416"/>
      <c r="AE338" s="1416"/>
      <c r="AF338" s="1416"/>
      <c r="AG338" s="1416"/>
      <c r="AH338" s="1416"/>
      <c r="AI338" s="1416"/>
      <c r="AJ338" s="1416"/>
      <c r="AK338" s="1416"/>
    </row>
    <row r="339" spans="1:66" ht="12.95" customHeight="1">
      <c r="B339" s="3" t="s">
        <v>88</v>
      </c>
      <c r="C339" s="3"/>
      <c r="D339" s="3"/>
      <c r="E339" s="3"/>
      <c r="F339" s="3"/>
      <c r="G339" s="3"/>
      <c r="H339" s="1585" t="s">
        <v>2668</v>
      </c>
      <c r="I339" s="1585"/>
      <c r="J339" s="1585"/>
      <c r="K339" s="1585"/>
      <c r="L339" s="1585"/>
      <c r="M339" s="1585"/>
      <c r="N339" s="4" t="s">
        <v>205</v>
      </c>
      <c r="O339" s="4"/>
      <c r="P339" s="1548"/>
      <c r="Q339" s="1548"/>
      <c r="R339" s="1548"/>
      <c r="S339" s="3"/>
      <c r="T339" s="3" t="s">
        <v>88</v>
      </c>
      <c r="V339" s="3"/>
      <c r="W339" s="3"/>
      <c r="X339" s="3"/>
      <c r="Y339" s="3"/>
      <c r="AA339" s="1585" t="s">
        <v>2667</v>
      </c>
      <c r="AB339" s="1585"/>
      <c r="AC339" s="1585"/>
      <c r="AD339" s="1585"/>
      <c r="AE339" s="1585"/>
      <c r="AF339" s="1585"/>
      <c r="AG339" s="4" t="s">
        <v>205</v>
      </c>
      <c r="AH339" s="4"/>
      <c r="AI339" s="1548"/>
      <c r="AJ339" s="1548"/>
      <c r="AK339" s="1548"/>
    </row>
    <row r="340" spans="1:66" ht="12.95" customHeight="1">
      <c r="B340" s="3" t="s">
        <v>89</v>
      </c>
      <c r="C340" s="3"/>
      <c r="D340" s="3"/>
      <c r="E340" s="3"/>
      <c r="F340" s="3"/>
      <c r="G340" s="3"/>
      <c r="H340" s="1464"/>
      <c r="I340" s="1464"/>
      <c r="J340" s="1464"/>
      <c r="K340" s="1464"/>
      <c r="L340" s="1464"/>
      <c r="M340" s="1464"/>
      <c r="N340" s="4"/>
      <c r="O340" s="4"/>
      <c r="P340" s="35"/>
      <c r="Q340" s="35"/>
      <c r="R340" s="35"/>
      <c r="S340" s="3"/>
      <c r="T340" s="3" t="s">
        <v>89</v>
      </c>
      <c r="V340" s="3"/>
      <c r="W340" s="3"/>
      <c r="X340" s="3"/>
      <c r="Y340" s="3"/>
      <c r="AA340" s="1464"/>
      <c r="AB340" s="1464"/>
      <c r="AC340" s="1464"/>
      <c r="AD340" s="1464"/>
      <c r="AE340" s="1464"/>
      <c r="AF340" s="1464"/>
      <c r="AG340" s="4"/>
      <c r="AH340" s="4"/>
      <c r="AI340" s="35"/>
      <c r="AJ340" s="35"/>
      <c r="AK340" s="35"/>
    </row>
    <row r="341" spans="1:66" ht="12.95" customHeight="1">
      <c r="B341" s="3" t="s">
        <v>76</v>
      </c>
      <c r="C341" s="3"/>
      <c r="D341" s="3"/>
      <c r="E341" s="3"/>
      <c r="F341" s="3"/>
      <c r="G341" s="3"/>
      <c r="H341" s="1416" t="s">
        <v>2683</v>
      </c>
      <c r="I341" s="1416"/>
      <c r="J341" s="1416"/>
      <c r="K341" s="1416"/>
      <c r="L341" s="1416"/>
      <c r="M341" s="1416"/>
      <c r="N341" s="1457"/>
      <c r="O341" s="1457"/>
      <c r="P341" s="1457"/>
      <c r="Q341" s="1457"/>
      <c r="R341" s="1457"/>
      <c r="S341" s="3"/>
      <c r="T341" s="3" t="s">
        <v>76</v>
      </c>
      <c r="V341" s="3"/>
      <c r="W341" s="3"/>
      <c r="X341" s="3"/>
      <c r="Y341" s="3"/>
      <c r="AA341" s="1416" t="s">
        <v>2684</v>
      </c>
      <c r="AB341" s="1416"/>
      <c r="AC341" s="1416"/>
      <c r="AD341" s="1416"/>
      <c r="AE341" s="1416"/>
      <c r="AF341" s="1416"/>
      <c r="AG341" s="1457"/>
      <c r="AH341" s="1457"/>
      <c r="AI341" s="1457"/>
      <c r="AJ341" s="1457"/>
      <c r="AK341" s="14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457"/>
      <c r="Q343" s="1457"/>
      <c r="R343" s="1457"/>
      <c r="S343" s="1457"/>
      <c r="T343" s="1457"/>
      <c r="U343" s="1457"/>
      <c r="V343" s="1457"/>
      <c r="W343" s="1457"/>
      <c r="X343" s="1457"/>
      <c r="Y343" s="1457"/>
      <c r="Z343" s="1457"/>
      <c r="AA343" s="1457"/>
      <c r="AB343" s="1457"/>
      <c r="AC343" s="1457"/>
      <c r="AD343" s="1457"/>
      <c r="AE343" s="1457"/>
      <c r="BN343" t="s">
        <v>669</v>
      </c>
    </row>
    <row r="344" spans="1:66" ht="12.95" customHeight="1">
      <c r="B344" s="4"/>
      <c r="C344" s="4"/>
      <c r="D344" s="4"/>
      <c r="E344" s="4"/>
      <c r="F344" s="4"/>
      <c r="I344" s="4" t="s">
        <v>471</v>
      </c>
      <c r="P344" s="1416"/>
      <c r="Q344" s="1416"/>
      <c r="R344" s="1416"/>
      <c r="S344" s="1416"/>
      <c r="T344" s="1416"/>
      <c r="U344" s="1416"/>
      <c r="V344" s="1416"/>
      <c r="W344" s="1416"/>
      <c r="X344" s="1416"/>
      <c r="Y344" s="1416"/>
      <c r="Z344" s="1416"/>
      <c r="AA344" s="1416"/>
      <c r="AB344" s="1416"/>
      <c r="AC344" s="1416"/>
      <c r="AD344" s="1416"/>
      <c r="AE344" s="1416"/>
      <c r="BN344" t="s">
        <v>545</v>
      </c>
    </row>
    <row r="345" spans="1:66" ht="12.95" customHeight="1">
      <c r="B345" s="4"/>
      <c r="C345" s="4"/>
      <c r="D345" s="4"/>
      <c r="E345" s="4"/>
      <c r="F345" s="4"/>
      <c r="I345" s="4" t="s">
        <v>75</v>
      </c>
      <c r="P345" s="1416"/>
      <c r="Q345" s="1416"/>
      <c r="R345" s="1416"/>
      <c r="S345" s="1416"/>
      <c r="T345" s="1416"/>
      <c r="U345" s="1416"/>
      <c r="V345" s="1416"/>
      <c r="W345" s="1416"/>
      <c r="X345" s="1416"/>
      <c r="Y345" s="1416"/>
      <c r="Z345" s="1416"/>
      <c r="AA345" s="1416"/>
      <c r="AB345" s="1416"/>
      <c r="AC345" s="1416"/>
      <c r="AD345" s="1416"/>
      <c r="AE345" s="1416"/>
    </row>
    <row r="346" spans="1:66" ht="12.95" customHeight="1">
      <c r="B346" s="4"/>
      <c r="C346" s="4"/>
      <c r="D346" s="4"/>
      <c r="E346" s="4"/>
      <c r="F346" s="4"/>
      <c r="G346" s="4"/>
      <c r="I346" s="4" t="s">
        <v>87</v>
      </c>
      <c r="P346" s="1416"/>
      <c r="Q346" s="1416"/>
      <c r="R346" s="1416"/>
      <c r="S346" s="1416"/>
      <c r="T346" s="1416"/>
      <c r="U346" s="1416"/>
      <c r="V346" s="1416"/>
      <c r="W346" s="1416"/>
      <c r="X346" s="1416"/>
      <c r="Y346" s="1416"/>
      <c r="Z346" s="1416"/>
      <c r="AA346" s="1416"/>
      <c r="AB346" s="1416"/>
      <c r="AC346" s="1416"/>
      <c r="AD346" s="1416"/>
      <c r="AE346" s="1416"/>
    </row>
    <row r="347" spans="1:66" ht="12.95" customHeight="1">
      <c r="B347" s="4"/>
      <c r="C347" s="4"/>
      <c r="D347" s="4"/>
      <c r="E347" s="4"/>
      <c r="F347" s="4"/>
      <c r="G347" s="4"/>
      <c r="H347" s="303"/>
      <c r="I347" s="4" t="s">
        <v>88</v>
      </c>
      <c r="P347" s="1464"/>
      <c r="Q347" s="1464"/>
      <c r="R347" s="1464"/>
      <c r="S347" s="1464"/>
      <c r="T347" s="1464"/>
      <c r="U347" s="1464"/>
      <c r="V347" s="1464"/>
      <c r="W347" s="1464"/>
      <c r="X347" s="1464"/>
      <c r="Y347" s="1464"/>
      <c r="Z347" s="1464"/>
      <c r="AA347" s="4" t="s">
        <v>205</v>
      </c>
      <c r="AB347" s="4"/>
      <c r="AC347" s="1459"/>
      <c r="AD347" s="1459"/>
      <c r="AE347" s="1459"/>
      <c r="AF347" s="303"/>
      <c r="AG347" s="4"/>
      <c r="AH347" s="4"/>
      <c r="AI347" s="4"/>
      <c r="AJ347" s="4"/>
      <c r="AK347" s="4"/>
    </row>
    <row r="348" spans="1:66" ht="12.95" customHeight="1">
      <c r="B348" s="4"/>
      <c r="C348" s="4"/>
      <c r="D348" s="4"/>
      <c r="E348" s="4"/>
      <c r="F348" s="4"/>
      <c r="G348" s="4"/>
      <c r="H348" s="303"/>
      <c r="I348" s="4" t="s">
        <v>89</v>
      </c>
      <c r="P348" s="1464"/>
      <c r="Q348" s="1464"/>
      <c r="R348" s="1464"/>
      <c r="S348" s="1464"/>
      <c r="T348" s="1464"/>
      <c r="U348" s="1464"/>
      <c r="V348" s="1464"/>
      <c r="W348" s="1464"/>
      <c r="X348" s="1464"/>
      <c r="Y348" s="1464"/>
      <c r="Z348" s="1464"/>
      <c r="AF348" s="303"/>
      <c r="AG348" s="4"/>
      <c r="AH348" s="4"/>
      <c r="AI348" s="35"/>
      <c r="AJ348" s="35"/>
      <c r="AK348" s="35"/>
    </row>
    <row r="349" spans="1:66" ht="12.95" customHeight="1">
      <c r="B349" s="4"/>
      <c r="C349" s="4"/>
      <c r="D349" s="4"/>
      <c r="E349" s="4"/>
      <c r="F349" s="4"/>
      <c r="G349" s="4"/>
      <c r="I349" s="4" t="s">
        <v>76</v>
      </c>
      <c r="P349" s="1457"/>
      <c r="Q349" s="1457"/>
      <c r="R349" s="1457"/>
      <c r="S349" s="1457"/>
      <c r="T349" s="1457"/>
      <c r="U349" s="1457"/>
      <c r="V349" s="1457"/>
      <c r="W349" s="1457"/>
      <c r="X349" s="1457"/>
      <c r="Y349" s="1457"/>
      <c r="Z349" s="1457"/>
      <c r="AA349" s="1457"/>
      <c r="AB349" s="1457"/>
      <c r="AC349" s="1457"/>
      <c r="AD349" s="1457"/>
      <c r="AE349" s="1457"/>
    </row>
    <row r="350" spans="1:66" ht="12.95" customHeight="1">
      <c r="T350" s="8"/>
      <c r="U350" s="8"/>
      <c r="V350" s="8"/>
      <c r="W350" s="8"/>
      <c r="X350" s="8"/>
      <c r="Y350" s="8"/>
      <c r="Z350" s="8"/>
      <c r="AU350" s="95"/>
      <c r="AV350" s="95"/>
      <c r="AW350" s="95"/>
      <c r="AX350" s="95"/>
      <c r="AY350" s="95"/>
    </row>
    <row r="351" spans="1:66" ht="12.95" customHeight="1">
      <c r="A351" s="1556" t="s">
        <v>542</v>
      </c>
      <c r="B351" s="1556"/>
      <c r="C351" s="1556"/>
      <c r="D351" s="1556"/>
      <c r="E351" s="1556"/>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556"/>
      <c r="AM351" s="1556"/>
      <c r="AN351" s="1556"/>
      <c r="AO351" s="1556"/>
      <c r="AP351" s="1556"/>
      <c r="AQ351" s="1556"/>
      <c r="AR351" s="1556"/>
      <c r="AS351" s="1556"/>
      <c r="AT351" s="1556"/>
      <c r="AU351" s="95"/>
      <c r="AV351" s="95"/>
      <c r="AW351" s="95"/>
      <c r="AX351" s="95"/>
      <c r="AY351" s="95"/>
    </row>
    <row r="352" spans="1:66" ht="12.95" customHeight="1">
      <c r="A352" s="1556"/>
      <c r="B352" s="1556"/>
      <c r="C352" s="1556"/>
      <c r="D352" s="1556"/>
      <c r="E352" s="1556"/>
      <c r="F352" s="1556"/>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556"/>
      <c r="AM352" s="1556"/>
      <c r="AN352" s="1556"/>
      <c r="AO352" s="1556"/>
      <c r="AP352" s="1556"/>
      <c r="AQ352" s="1556"/>
      <c r="AR352" s="1556"/>
      <c r="AS352" s="1556"/>
      <c r="AT352" s="15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2100</v>
      </c>
      <c r="M355" s="1398" t="s">
        <v>545</v>
      </c>
      <c r="N355" s="1398"/>
      <c r="P355" t="s">
        <v>1650</v>
      </c>
      <c r="AJ355" s="1398" t="s">
        <v>591</v>
      </c>
      <c r="AK355" s="1398"/>
    </row>
    <row r="356" spans="1:46" ht="12.95" customHeight="1">
      <c r="D356" s="3" t="s">
        <v>1639</v>
      </c>
      <c r="M356" s="1398" t="s">
        <v>591</v>
      </c>
      <c r="N356" s="1398"/>
      <c r="P356" s="3" t="s">
        <v>1719</v>
      </c>
      <c r="AJ356" s="1405"/>
      <c r="AK356" s="1405"/>
    </row>
    <row r="357" spans="1:46" ht="12.95" customHeight="1">
      <c r="D357" s="3" t="s">
        <v>704</v>
      </c>
      <c r="M357" s="1398" t="s">
        <v>591</v>
      </c>
      <c r="N357" s="1398"/>
      <c r="P357" t="s">
        <v>1649</v>
      </c>
      <c r="AJ357" s="1398" t="s">
        <v>591</v>
      </c>
      <c r="AK357" s="1398"/>
    </row>
    <row r="358" spans="1:46" ht="12.95" customHeight="1">
      <c r="D358" s="3" t="s">
        <v>705</v>
      </c>
      <c r="M358" s="1398" t="s">
        <v>591</v>
      </c>
      <c r="N358" s="139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98" t="s">
        <v>591</v>
      </c>
      <c r="O363" s="1398"/>
      <c r="P363" s="40"/>
      <c r="Q363" s="40"/>
      <c r="R363" s="40"/>
      <c r="S363" s="40"/>
      <c r="T363" s="40"/>
      <c r="U363" s="40"/>
      <c r="V363" s="40"/>
      <c r="W363" s="40"/>
      <c r="X363" s="40"/>
      <c r="Y363" s="40"/>
      <c r="Z363" s="40"/>
      <c r="AC363" s="40"/>
      <c r="AD363" s="40"/>
      <c r="AE363" s="40"/>
    </row>
    <row r="364" spans="1:46" ht="12.95" customHeight="1">
      <c r="E364" t="s">
        <v>369</v>
      </c>
      <c r="Y364" s="1398" t="s">
        <v>591</v>
      </c>
      <c r="Z364" s="1398"/>
    </row>
    <row r="365" spans="1:46" ht="12.95" customHeight="1">
      <c r="D365" s="4" t="s">
        <v>978</v>
      </c>
      <c r="Q365" s="1457"/>
      <c r="R365" s="1457"/>
      <c r="S365" s="1457"/>
      <c r="T365" s="1457"/>
      <c r="U365" s="1457"/>
      <c r="V365" s="1457"/>
      <c r="W365" s="1457"/>
      <c r="X365" s="1457"/>
      <c r="Y365" s="1457"/>
      <c r="Z365" s="1457"/>
      <c r="AA365" s="1457"/>
      <c r="AB365" s="1457"/>
      <c r="AC365" s="1457"/>
      <c r="AD365" s="1457"/>
      <c r="AE365" s="1457"/>
      <c r="AF365" s="1457"/>
      <c r="AG365" s="1457"/>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98" t="s">
        <v>591</v>
      </c>
      <c r="K367" s="1398"/>
      <c r="L367" s="40"/>
      <c r="M367" s="40"/>
      <c r="N367" s="40"/>
      <c r="O367" s="40"/>
      <c r="P367" s="40"/>
      <c r="Q367" s="40"/>
      <c r="R367" s="40"/>
      <c r="S367" s="40"/>
      <c r="T367" s="40"/>
      <c r="U367" s="40"/>
      <c r="V367" s="40"/>
      <c r="W367" s="40"/>
      <c r="X367" s="40"/>
      <c r="Y367" s="40"/>
      <c r="Z367" s="40"/>
      <c r="AC367" s="40"/>
      <c r="AD367" s="40"/>
      <c r="AE367" s="40"/>
    </row>
    <row r="368" spans="1:46" ht="12.95" customHeight="1">
      <c r="E368" s="1480" t="s">
        <v>706</v>
      </c>
      <c r="F368" s="1480"/>
      <c r="G368" s="1480"/>
      <c r="H368" s="1480"/>
      <c r="I368" s="1480"/>
      <c r="J368" s="1480"/>
      <c r="K368" s="1480"/>
      <c r="L368" s="1480"/>
      <c r="M368" s="1480"/>
      <c r="N368" s="1480"/>
      <c r="O368" s="1480"/>
      <c r="P368" s="1480"/>
      <c r="Q368" s="1480"/>
      <c r="R368" s="1480"/>
      <c r="S368" s="1480"/>
      <c r="T368" s="1480"/>
      <c r="U368" s="1480"/>
      <c r="V368" s="1480"/>
      <c r="W368" s="1480"/>
      <c r="X368" s="1480"/>
      <c r="Y368" s="1480"/>
      <c r="Z368" s="1480"/>
      <c r="AA368" s="1480"/>
      <c r="AB368" s="1480"/>
      <c r="AC368" s="1480"/>
      <c r="AD368" s="1480"/>
      <c r="AE368" s="1480"/>
      <c r="AF368" s="1480"/>
      <c r="AG368" s="1480"/>
      <c r="AH368" s="1480"/>
    </row>
    <row r="369" spans="1:34" ht="12.95" customHeight="1">
      <c r="E369" s="1480"/>
      <c r="F369" s="1480"/>
      <c r="G369" s="1480"/>
      <c r="H369" s="1480"/>
      <c r="I369" s="1480"/>
      <c r="J369" s="1480"/>
      <c r="K369" s="1480"/>
      <c r="L369" s="1480"/>
      <c r="M369" s="1480"/>
      <c r="N369" s="1480"/>
      <c r="O369" s="1480"/>
      <c r="P369" s="1480"/>
      <c r="Q369" s="1480"/>
      <c r="R369" s="1480"/>
      <c r="S369" s="1480"/>
      <c r="T369" s="1480"/>
      <c r="U369" s="1480"/>
      <c r="V369" s="1480"/>
      <c r="W369" s="1480"/>
      <c r="X369" s="1480"/>
      <c r="Y369" s="1480"/>
      <c r="Z369" s="1480"/>
      <c r="AA369" s="1480"/>
      <c r="AB369" s="1480"/>
      <c r="AC369" s="1480"/>
      <c r="AD369" s="1480"/>
      <c r="AE369" s="1480"/>
      <c r="AF369" s="1480"/>
      <c r="AG369" s="1480"/>
      <c r="AH369" s="1480"/>
    </row>
    <row r="370" spans="1:34" ht="12.95" customHeight="1">
      <c r="E370" s="4" t="s">
        <v>448</v>
      </c>
      <c r="F370" s="4"/>
      <c r="G370" s="4"/>
      <c r="H370" s="4"/>
      <c r="I370" s="4"/>
      <c r="J370" s="4"/>
      <c r="K370" s="4"/>
      <c r="L370" s="4"/>
      <c r="N370" s="1397"/>
      <c r="O370" s="1397"/>
      <c r="P370" s="1397"/>
      <c r="Q370" s="1397"/>
      <c r="R370" s="4"/>
      <c r="U370" s="4" t="s">
        <v>449</v>
      </c>
      <c r="V370" s="4"/>
      <c r="W370" s="4"/>
      <c r="X370" s="4"/>
      <c r="Y370" s="4"/>
      <c r="Z370" s="4"/>
      <c r="AA370" s="4"/>
      <c r="AB370" s="4"/>
      <c r="AC370" s="1397"/>
      <c r="AD370" s="1397"/>
      <c r="AE370" s="1397"/>
      <c r="AF370" s="1397"/>
    </row>
    <row r="371" spans="1:34" ht="12.95" customHeight="1">
      <c r="E371" s="4" t="s">
        <v>450</v>
      </c>
      <c r="F371" s="4"/>
      <c r="G371" s="4"/>
      <c r="H371" s="4"/>
      <c r="I371" s="4"/>
      <c r="J371" s="4"/>
      <c r="K371" s="4"/>
      <c r="L371" s="4"/>
      <c r="N371" s="1397"/>
      <c r="O371" s="1397"/>
      <c r="P371" s="1397"/>
      <c r="Q371" s="1397"/>
      <c r="R371" s="4"/>
      <c r="U371" s="4" t="s">
        <v>0</v>
      </c>
      <c r="V371" s="4"/>
      <c r="W371" s="4"/>
      <c r="X371" s="4"/>
      <c r="Y371" s="4"/>
      <c r="Z371" s="4"/>
      <c r="AA371" s="4"/>
      <c r="AB371" s="4"/>
      <c r="AC371" s="1397"/>
      <c r="AD371" s="1397"/>
      <c r="AE371" s="1397"/>
      <c r="AF371" s="1397"/>
    </row>
    <row r="372" spans="1:34" ht="12.95" customHeight="1">
      <c r="E372" s="4" t="s">
        <v>1</v>
      </c>
      <c r="F372" s="4"/>
      <c r="G372" s="4"/>
      <c r="H372" s="4"/>
      <c r="I372" s="4"/>
      <c r="J372" s="4"/>
      <c r="K372" s="4"/>
      <c r="L372" s="4"/>
      <c r="N372" s="1397"/>
      <c r="O372" s="1397"/>
      <c r="P372" s="1397"/>
      <c r="Q372" s="1397"/>
      <c r="R372" s="4"/>
      <c r="V372" s="4"/>
      <c r="W372" s="4"/>
      <c r="X372" s="4"/>
      <c r="Y372" s="4"/>
      <c r="Z372" s="4"/>
      <c r="AA372" s="4"/>
      <c r="AB372" s="4"/>
    </row>
    <row r="373" spans="1:34" ht="12.95" customHeight="1">
      <c r="E373" s="4" t="s">
        <v>2</v>
      </c>
      <c r="F373" s="4"/>
      <c r="G373" s="4"/>
      <c r="H373" s="4"/>
      <c r="I373" s="4"/>
      <c r="J373" s="4"/>
      <c r="K373" s="4"/>
      <c r="L373" s="4"/>
      <c r="N373" s="1465"/>
      <c r="O373" s="1465"/>
      <c r="P373" s="1465"/>
      <c r="Q373" s="1465"/>
      <c r="R373" s="1465"/>
      <c r="S373" s="1465"/>
      <c r="T373" s="1465"/>
      <c r="U373" s="1465"/>
      <c r="V373" s="1465"/>
      <c r="W373" s="1465"/>
      <c r="X373" s="1465"/>
      <c r="Y373" s="1465"/>
      <c r="Z373" s="1465"/>
      <c r="AA373" s="1465"/>
      <c r="AB373" s="1465"/>
      <c r="AC373" s="1465"/>
      <c r="AD373" s="1465"/>
      <c r="AE373" s="1465"/>
      <c r="AF373" s="1465"/>
    </row>
    <row r="374" spans="1:34" ht="12.95" customHeight="1">
      <c r="E374" s="4"/>
      <c r="F374" s="4"/>
      <c r="G374" s="4"/>
      <c r="H374" s="4"/>
      <c r="I374" s="4"/>
      <c r="J374" s="4"/>
      <c r="K374" s="4"/>
      <c r="L374" s="4"/>
      <c r="N374" s="1466"/>
      <c r="O374" s="1466"/>
      <c r="P374" s="1466"/>
      <c r="Q374" s="1466"/>
      <c r="R374" s="1466"/>
      <c r="S374" s="1466"/>
      <c r="T374" s="1466"/>
      <c r="U374" s="1466"/>
      <c r="V374" s="1466"/>
      <c r="W374" s="1466"/>
      <c r="X374" s="1466"/>
      <c r="Y374" s="1466"/>
      <c r="Z374" s="1466"/>
      <c r="AA374" s="1466"/>
      <c r="AB374" s="1466"/>
      <c r="AC374" s="1466"/>
      <c r="AD374" s="1466"/>
      <c r="AE374" s="1466"/>
      <c r="AF374" s="1466"/>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304</v>
      </c>
      <c r="S377" s="1467"/>
      <c r="T377" s="1467"/>
      <c r="U377" s="1" t="s">
        <v>305</v>
      </c>
      <c r="V377" s="1467"/>
      <c r="W377" s="1467"/>
      <c r="Y377" t="s">
        <v>2081</v>
      </c>
      <c r="AC377" s="27" t="s">
        <v>304</v>
      </c>
      <c r="AD377" s="1467"/>
      <c r="AE377" s="1467"/>
      <c r="AF377" s="1" t="s">
        <v>305</v>
      </c>
      <c r="AG377" s="1467"/>
      <c r="AH377" s="1467"/>
    </row>
    <row r="378" spans="1:34" ht="12.95" customHeight="1">
      <c r="E378" s="4" t="s">
        <v>987</v>
      </c>
      <c r="F378" s="4"/>
      <c r="G378" s="4"/>
      <c r="H378" s="4"/>
      <c r="I378" s="4"/>
      <c r="J378" s="4"/>
      <c r="K378" s="4"/>
      <c r="L378" s="4"/>
      <c r="N378" s="1467"/>
      <c r="O378" s="1467"/>
      <c r="P378" s="1467"/>
    </row>
    <row r="379" spans="1:34" ht="12.95" customHeight="1">
      <c r="E379" s="205" t="s">
        <v>2087</v>
      </c>
      <c r="F379" s="4"/>
      <c r="G379" s="4"/>
      <c r="H379" s="4"/>
      <c r="I379" s="4"/>
      <c r="J379" s="4"/>
      <c r="K379" s="4"/>
      <c r="L379" s="4"/>
      <c r="AG379" s="1537" t="s">
        <v>591</v>
      </c>
      <c r="AH379" s="1537"/>
    </row>
    <row r="380" spans="1:34" ht="12.95" customHeight="1">
      <c r="E380" s="4"/>
      <c r="F380" s="4"/>
      <c r="G380" s="4" t="s">
        <v>2088</v>
      </c>
      <c r="H380" s="4"/>
      <c r="I380" s="4"/>
      <c r="J380" s="4"/>
      <c r="K380" s="4"/>
      <c r="L380" s="4"/>
      <c r="AG380" s="1537" t="s">
        <v>591</v>
      </c>
      <c r="AH380" s="1537"/>
    </row>
    <row r="381" spans="1:34" ht="12.95" customHeight="1">
      <c r="E381" s="4"/>
      <c r="F381" s="4"/>
      <c r="G381" s="321" t="s">
        <v>988</v>
      </c>
      <c r="H381" s="4"/>
      <c r="I381" s="4"/>
      <c r="J381" s="4"/>
      <c r="K381" s="4"/>
      <c r="L381" s="4"/>
      <c r="V381" s="1398" t="s">
        <v>591</v>
      </c>
      <c r="W381" s="1398"/>
      <c r="Y381" s="22" t="s">
        <v>980</v>
      </c>
    </row>
    <row r="382" spans="1:34" ht="12.95" customHeight="1">
      <c r="E382" s="4" t="s">
        <v>981</v>
      </c>
      <c r="F382" s="4"/>
      <c r="G382" s="4"/>
      <c r="H382" s="4"/>
      <c r="I382" s="4"/>
      <c r="J382" s="4"/>
      <c r="K382" s="4"/>
      <c r="L382" s="4"/>
      <c r="V382" s="1398" t="s">
        <v>591</v>
      </c>
      <c r="W382" s="1398"/>
      <c r="Y382" s="4" t="s">
        <v>982</v>
      </c>
    </row>
    <row r="383" spans="1:34" ht="12.95" customHeight="1"/>
    <row r="384" spans="1:34" ht="12.95" customHeight="1">
      <c r="A384" s="2" t="s">
        <v>78</v>
      </c>
      <c r="B384" s="2"/>
    </row>
    <row r="385" spans="4:36" ht="12.95" customHeight="1">
      <c r="D385" t="s">
        <v>427</v>
      </c>
      <c r="J385" s="1457" t="s">
        <v>2685</v>
      </c>
      <c r="K385" s="1457"/>
      <c r="L385" s="1457"/>
      <c r="M385" s="1457"/>
      <c r="N385" s="1457"/>
      <c r="O385" s="1457"/>
      <c r="P385" s="1457"/>
      <c r="Q385" s="1457"/>
      <c r="R385" s="1457"/>
      <c r="S385" s="1457"/>
      <c r="T385" s="1457"/>
      <c r="U385" s="1457"/>
      <c r="V385" s="8" t="s">
        <v>83</v>
      </c>
      <c r="W385" s="8"/>
      <c r="X385" s="8"/>
      <c r="Y385" s="8"/>
      <c r="Z385" s="8"/>
      <c r="AA385" s="8"/>
      <c r="AB385" s="8"/>
      <c r="AC385" s="1457"/>
      <c r="AD385" s="1457"/>
      <c r="AE385" s="1457"/>
      <c r="AF385" s="1457"/>
      <c r="AG385" s="1457"/>
      <c r="AH385" s="1457"/>
      <c r="AI385" s="1457"/>
      <c r="AJ385" s="1457"/>
    </row>
    <row r="386" spans="4:36" ht="12.95" customHeight="1">
      <c r="D386" s="3" t="s">
        <v>1182</v>
      </c>
      <c r="J386" s="1416" t="s">
        <v>2628</v>
      </c>
      <c r="K386" s="1416"/>
      <c r="L386" s="1416"/>
      <c r="M386" s="1416"/>
      <c r="N386" s="1416"/>
      <c r="O386" s="1416"/>
      <c r="P386" s="1416"/>
      <c r="Q386" s="1416"/>
      <c r="R386" s="1416"/>
      <c r="S386" s="1416"/>
      <c r="T386" s="1416"/>
      <c r="U386" s="1416"/>
      <c r="V386" s="3" t="s">
        <v>1182</v>
      </c>
      <c r="W386" s="8"/>
      <c r="X386" s="8"/>
      <c r="Y386" s="8"/>
      <c r="Z386" s="8"/>
      <c r="AA386" s="8"/>
      <c r="AB386" s="8"/>
      <c r="AC386" s="1457"/>
      <c r="AD386" s="1457"/>
      <c r="AE386" s="1457"/>
      <c r="AF386" s="1457"/>
      <c r="AG386" s="1457"/>
      <c r="AH386" s="1457"/>
      <c r="AI386" s="1457"/>
      <c r="AJ386" s="1457"/>
    </row>
    <row r="387" spans="4:36" ht="12.95" customHeight="1">
      <c r="D387" s="3" t="s">
        <v>441</v>
      </c>
      <c r="J387" s="1416" t="s">
        <v>2686</v>
      </c>
      <c r="K387" s="1416"/>
      <c r="L387" s="1416"/>
      <c r="M387" s="1416"/>
      <c r="N387" s="1416"/>
      <c r="O387" s="1416"/>
      <c r="P387" s="1416"/>
      <c r="Q387" s="1416"/>
      <c r="R387" s="1416"/>
      <c r="S387" s="1416"/>
      <c r="T387" s="1416"/>
      <c r="U387" s="1416"/>
      <c r="V387" s="3" t="s">
        <v>441</v>
      </c>
      <c r="W387" s="8"/>
      <c r="X387" s="8"/>
      <c r="Y387" s="8"/>
      <c r="Z387" s="8"/>
      <c r="AA387" s="8"/>
      <c r="AB387" s="8"/>
      <c r="AC387" s="1457"/>
      <c r="AD387" s="1457"/>
      <c r="AE387" s="1457"/>
      <c r="AF387" s="1457"/>
      <c r="AG387" s="1457"/>
      <c r="AH387" s="1457"/>
      <c r="AI387" s="1457"/>
      <c r="AJ387" s="1457"/>
    </row>
    <row r="388" spans="4:36" ht="12.95" customHeight="1">
      <c r="D388" t="s">
        <v>1178</v>
      </c>
      <c r="J388" s="1418" t="s">
        <v>2687</v>
      </c>
      <c r="K388" s="1418"/>
      <c r="L388" s="1418"/>
      <c r="M388" s="1418"/>
      <c r="N388" s="1418"/>
      <c r="O388" s="1418"/>
      <c r="P388" s="1418"/>
      <c r="Q388" s="1418"/>
      <c r="R388" s="1418"/>
      <c r="S388" s="1418"/>
      <c r="T388" s="1418"/>
      <c r="U388" s="1418"/>
      <c r="V388" s="1457"/>
      <c r="W388" s="1457"/>
      <c r="X388" s="1457"/>
      <c r="Y388" s="1457"/>
      <c r="Z388" s="1457"/>
      <c r="AA388" s="1457"/>
      <c r="AB388" s="1457"/>
      <c r="AC388" s="1457"/>
      <c r="AD388" s="1457"/>
      <c r="AE388" s="1457"/>
      <c r="AF388" s="1457"/>
      <c r="AG388" s="1457"/>
      <c r="AH388" s="1457"/>
      <c r="AI388" s="1457"/>
      <c r="AJ388" s="1457"/>
    </row>
    <row r="389" spans="4:36" ht="12.95" customHeight="1">
      <c r="D389" t="s">
        <v>4</v>
      </c>
      <c r="Q389" s="1681">
        <v>44317</v>
      </c>
      <c r="R389" s="1681"/>
      <c r="S389" s="1681"/>
      <c r="T389" s="1681"/>
      <c r="U389" s="1681"/>
      <c r="V389" t="s">
        <v>308</v>
      </c>
      <c r="AI389" s="1398" t="s">
        <v>545</v>
      </c>
      <c r="AJ389" s="1398"/>
    </row>
    <row r="390" spans="4:36" ht="12.95" customHeight="1">
      <c r="D390" t="s">
        <v>5</v>
      </c>
      <c r="Q390" s="1474">
        <v>46203</v>
      </c>
      <c r="R390" s="1475"/>
      <c r="S390" s="1475"/>
      <c r="T390" s="1475"/>
      <c r="U390" s="1475"/>
      <c r="W390" s="21" t="s">
        <v>74</v>
      </c>
      <c r="AG390" s="1463"/>
      <c r="AH390" s="1463"/>
      <c r="AI390" s="1463"/>
      <c r="AJ390" s="1463"/>
    </row>
    <row r="391" spans="4:36" ht="12.95" customHeight="1">
      <c r="D391" t="s">
        <v>426</v>
      </c>
      <c r="Q391" s="1481">
        <v>1</v>
      </c>
      <c r="R391" s="1481"/>
      <c r="S391" s="1481"/>
      <c r="T391" s="1481"/>
      <c r="U391" s="1481"/>
      <c r="V391" s="3" t="s">
        <v>1181</v>
      </c>
      <c r="AG391" s="1471" t="s">
        <v>591</v>
      </c>
      <c r="AH391" s="1471"/>
      <c r="AI391" s="1471"/>
      <c r="AJ391" s="1471"/>
    </row>
    <row r="392" spans="4:36" ht="12.95" customHeight="1">
      <c r="D392" t="s">
        <v>88</v>
      </c>
      <c r="I392" s="1585" t="s">
        <v>2629</v>
      </c>
      <c r="J392" s="1586"/>
      <c r="K392" s="1586"/>
      <c r="L392" s="1586"/>
      <c r="M392" s="1586"/>
      <c r="N392" s="1586"/>
      <c r="Q392" s="4" t="s">
        <v>205</v>
      </c>
      <c r="S392" s="1542"/>
      <c r="T392" s="1542"/>
      <c r="U392" s="1542"/>
      <c r="V392" t="s">
        <v>73</v>
      </c>
      <c r="AI392" s="1398" t="s">
        <v>669</v>
      </c>
      <c r="AJ392" s="1398"/>
    </row>
    <row r="393" spans="4:36" ht="12.95" customHeight="1">
      <c r="D393" t="s">
        <v>309</v>
      </c>
      <c r="Q393" s="1473"/>
      <c r="R393" s="1473"/>
      <c r="S393" s="1473"/>
      <c r="T393" s="1473"/>
      <c r="U393" s="1473"/>
      <c r="V393" t="s">
        <v>310</v>
      </c>
      <c r="AG393" s="1463">
        <v>0</v>
      </c>
      <c r="AH393" s="1463"/>
      <c r="AI393" s="1463"/>
      <c r="AJ393" s="1463"/>
    </row>
    <row r="394" spans="4:36" ht="12.95" customHeight="1">
      <c r="D394" t="s">
        <v>311</v>
      </c>
      <c r="Q394" s="1596"/>
      <c r="R394" s="1596"/>
      <c r="S394" s="1596"/>
      <c r="T394" s="1596"/>
      <c r="U394" s="1596"/>
      <c r="V394" t="s">
        <v>1163</v>
      </c>
      <c r="AG394" s="1463">
        <v>0</v>
      </c>
      <c r="AH394" s="1463"/>
      <c r="AI394" s="1463"/>
      <c r="AJ394" s="1463"/>
    </row>
    <row r="395" spans="4:36" ht="12.95" customHeight="1">
      <c r="D395" t="s">
        <v>1162</v>
      </c>
      <c r="AG395" s="1463"/>
      <c r="AH395" s="1463"/>
      <c r="AI395" s="1463"/>
      <c r="AJ395" s="1463"/>
    </row>
    <row r="396" spans="4:36" ht="12.95" customHeight="1">
      <c r="AG396" s="457"/>
      <c r="AH396" s="457"/>
      <c r="AI396" s="457"/>
      <c r="AJ396" s="457"/>
    </row>
    <row r="397" spans="4:36" ht="12.95" customHeight="1">
      <c r="D397" s="3" t="s">
        <v>2144</v>
      </c>
      <c r="AG397" s="457"/>
      <c r="AH397" s="457"/>
      <c r="AI397" s="1398" t="s">
        <v>669</v>
      </c>
      <c r="AJ397" s="1398"/>
    </row>
    <row r="398" spans="4:36" ht="12.95" customHeight="1">
      <c r="D398" s="3" t="s">
        <v>1667</v>
      </c>
      <c r="T398" s="1395"/>
      <c r="U398" s="1395"/>
      <c r="V398" s="1395"/>
      <c r="W398" s="1395"/>
      <c r="X398" s="1395"/>
      <c r="Y398" s="1395"/>
      <c r="Z398" s="1395"/>
      <c r="AA398" s="1395"/>
      <c r="AB398" s="1395"/>
      <c r="AC398" s="1395"/>
      <c r="AD398" s="1395"/>
      <c r="AE398" s="1395"/>
      <c r="AF398" s="1395"/>
      <c r="AG398" s="1395"/>
      <c r="AH398" s="1395"/>
      <c r="AI398" s="1395"/>
      <c r="AJ398" s="1395"/>
    </row>
    <row r="399" spans="4:36" ht="12.95" customHeight="1">
      <c r="D399" s="3" t="s">
        <v>1666</v>
      </c>
      <c r="T399" s="1395"/>
      <c r="U399" s="1395"/>
      <c r="V399" s="1395"/>
      <c r="W399" s="1395"/>
      <c r="X399" s="1395"/>
      <c r="Y399" s="1395"/>
      <c r="Z399" s="1395"/>
      <c r="AA399" s="1395"/>
      <c r="AB399" s="1395"/>
      <c r="AC399" s="1395"/>
      <c r="AD399" s="1395"/>
      <c r="AE399" s="1395"/>
      <c r="AF399" s="1395"/>
      <c r="AG399" s="1395"/>
      <c r="AH399" s="1395"/>
      <c r="AI399" s="1395"/>
      <c r="AJ399" s="1395"/>
    </row>
    <row r="400" spans="4:36" ht="12.95" customHeight="1">
      <c r="AG400" s="457"/>
      <c r="AH400" s="457"/>
      <c r="AI400" s="457"/>
      <c r="AJ400" s="457"/>
    </row>
    <row r="401" spans="1:36" ht="12.95" customHeight="1">
      <c r="D401" s="3" t="s">
        <v>1660</v>
      </c>
      <c r="S401" s="1395" t="s">
        <v>669</v>
      </c>
      <c r="T401" s="1395"/>
      <c r="U401" s="1395"/>
      <c r="V401" t="s">
        <v>1661</v>
      </c>
      <c r="AG401" s="1462"/>
      <c r="AH401" s="1462"/>
      <c r="AI401" s="1462"/>
      <c r="AJ401" s="1462"/>
    </row>
    <row r="402" spans="1:36" ht="12.95" customHeight="1">
      <c r="D402" s="3" t="s">
        <v>1658</v>
      </c>
      <c r="S402" s="1395" t="s">
        <v>591</v>
      </c>
      <c r="T402" s="1395"/>
      <c r="U402" s="1395"/>
      <c r="V402" t="s">
        <v>1663</v>
      </c>
      <c r="AE402" s="1539"/>
      <c r="AF402" s="1539"/>
      <c r="AG402" s="1539"/>
      <c r="AH402" s="1539"/>
      <c r="AI402" s="1539"/>
      <c r="AJ402" s="1539"/>
    </row>
    <row r="403" spans="1:36" ht="12.95" customHeight="1">
      <c r="D403" s="3" t="s">
        <v>1659</v>
      </c>
      <c r="K403" s="1472"/>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2.95" customHeight="1">
      <c r="D404" s="3" t="s">
        <v>1662</v>
      </c>
      <c r="K404" s="1472"/>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2.95" customHeight="1">
      <c r="D405" s="3" t="s">
        <v>1665</v>
      </c>
      <c r="E405" s="478"/>
      <c r="F405" s="478"/>
      <c r="G405" s="478"/>
      <c r="H405" s="478"/>
      <c r="I405" s="478"/>
      <c r="J405" s="478"/>
      <c r="K405" s="478"/>
      <c r="L405" s="478"/>
      <c r="M405" s="478"/>
      <c r="N405" s="478"/>
      <c r="O405" s="478"/>
      <c r="P405" s="478"/>
      <c r="Q405" s="478"/>
      <c r="R405" s="478"/>
      <c r="S405" s="1599" t="s">
        <v>2755</v>
      </c>
      <c r="T405" s="1599"/>
      <c r="U405" s="1599"/>
      <c r="V405" s="1599"/>
      <c r="W405" s="1599"/>
      <c r="X405" s="1599"/>
      <c r="Y405" s="1599"/>
      <c r="Z405" s="1599"/>
      <c r="AA405" s="1599"/>
      <c r="AB405" s="1599"/>
      <c r="AC405" s="1599"/>
      <c r="AD405" s="1599"/>
      <c r="AE405" s="1599"/>
      <c r="AF405" s="1599"/>
      <c r="AG405" s="1599"/>
      <c r="AH405" s="1599"/>
      <c r="AI405" s="1599"/>
      <c r="AJ405" s="1599"/>
    </row>
    <row r="406" spans="1:36" ht="12.95" customHeight="1">
      <c r="D406" s="1281" t="s">
        <v>1664</v>
      </c>
      <c r="E406" s="1281"/>
      <c r="F406" s="1281"/>
      <c r="G406" s="1281"/>
      <c r="H406" s="1281"/>
      <c r="I406" s="1281"/>
      <c r="J406" s="1281"/>
      <c r="K406" s="1281"/>
      <c r="L406" s="1281"/>
      <c r="M406" s="1281"/>
      <c r="N406" s="1281"/>
      <c r="O406" s="1281"/>
      <c r="P406" s="1281"/>
      <c r="Q406" s="1281"/>
      <c r="R406" s="1281"/>
      <c r="S406" s="1281"/>
      <c r="T406" s="1281"/>
      <c r="U406" s="1281"/>
      <c r="V406" s="1281"/>
      <c r="W406" s="1281"/>
      <c r="X406" s="1281"/>
      <c r="Y406" s="1281"/>
      <c r="Z406" s="1281"/>
      <c r="AA406" s="1281"/>
      <c r="AB406" s="1281"/>
      <c r="AC406" s="1281"/>
      <c r="AD406" s="1281"/>
      <c r="AE406" s="1281"/>
      <c r="AF406" s="1281"/>
      <c r="AG406" s="1281"/>
      <c r="AH406" s="1281"/>
      <c r="AI406" s="1281"/>
      <c r="AJ406" s="1281"/>
    </row>
    <row r="407" spans="1:36" ht="12.95" customHeight="1">
      <c r="D407" s="1281"/>
      <c r="E407" s="1281"/>
      <c r="F407" s="1281"/>
      <c r="G407" s="1281"/>
      <c r="H407" s="1281"/>
      <c r="I407" s="1281"/>
      <c r="J407" s="1281"/>
      <c r="K407" s="1281"/>
      <c r="L407" s="1281"/>
      <c r="M407" s="1281"/>
      <c r="N407" s="1281"/>
      <c r="O407" s="1281"/>
      <c r="P407" s="1281"/>
      <c r="Q407" s="1281"/>
      <c r="R407" s="1281"/>
      <c r="S407" s="1281"/>
      <c r="T407" s="1281"/>
      <c r="U407" s="1281"/>
      <c r="V407" s="1281"/>
      <c r="W407" s="1281"/>
      <c r="X407" s="1281"/>
      <c r="Y407" s="1281"/>
      <c r="Z407" s="1281"/>
      <c r="AA407" s="1281"/>
      <c r="AB407" s="1281"/>
      <c r="AC407" s="1281"/>
      <c r="AD407" s="1281"/>
      <c r="AE407" s="1281"/>
      <c r="AF407" s="1281"/>
      <c r="AG407" s="1281"/>
      <c r="AH407" s="1281"/>
      <c r="AI407" s="1281"/>
      <c r="AJ407" s="1281"/>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1204</v>
      </c>
      <c r="I410" s="1476" t="s">
        <v>2688</v>
      </c>
      <c r="J410" s="1476"/>
      <c r="K410" s="1476"/>
      <c r="L410" s="1476"/>
      <c r="M410" s="1476"/>
      <c r="N410" s="1476"/>
      <c r="O410" s="1476"/>
      <c r="P410" s="1476"/>
      <c r="Q410" s="1476"/>
      <c r="R410" s="1476"/>
      <c r="S410" s="1476"/>
      <c r="T410" s="1476"/>
      <c r="U410" s="1476"/>
      <c r="V410" s="1476"/>
      <c r="W410" s="1476"/>
      <c r="X410" s="1476"/>
      <c r="Y410" s="1476"/>
      <c r="Z410" s="1476"/>
      <c r="AA410" s="1476"/>
      <c r="AB410" s="1476"/>
      <c r="AC410" s="1476"/>
      <c r="AD410" s="1476"/>
      <c r="AE410" s="1476"/>
    </row>
    <row r="411" spans="1:36" ht="12.95" customHeight="1">
      <c r="E411" t="s">
        <v>106</v>
      </c>
      <c r="R411" s="1398" t="s">
        <v>545</v>
      </c>
      <c r="S411" s="1398"/>
      <c r="AC411" s="27" t="s">
        <v>570</v>
      </c>
      <c r="AD411" s="1397">
        <v>8</v>
      </c>
      <c r="AE411" s="1397"/>
    </row>
    <row r="412" spans="1:36" ht="12.95" customHeight="1">
      <c r="E412" t="s">
        <v>107</v>
      </c>
      <c r="R412" s="1398" t="s">
        <v>591</v>
      </c>
      <c r="S412" s="1398"/>
      <c r="AC412" s="27" t="s">
        <v>570</v>
      </c>
      <c r="AD412" s="1397"/>
      <c r="AE412" s="1397"/>
    </row>
    <row r="413" spans="1:36" ht="12.95" customHeight="1">
      <c r="E413" t="s">
        <v>108</v>
      </c>
      <c r="S413" s="1398" t="s">
        <v>591</v>
      </c>
      <c r="T413" s="1398"/>
    </row>
    <row r="414" spans="1:36" ht="12.95" customHeight="1">
      <c r="E414" t="s">
        <v>169</v>
      </c>
      <c r="H414" s="1597" t="s">
        <v>333</v>
      </c>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2.95" customHeight="1">
      <c r="H415" s="1598"/>
      <c r="I415" s="1598"/>
      <c r="J415" s="1598"/>
      <c r="K415" s="1598"/>
      <c r="L415" s="1598"/>
      <c r="M415" s="1598"/>
      <c r="N415" s="1598"/>
      <c r="O415" s="1598"/>
      <c r="P415" s="1598"/>
      <c r="Q415" s="1598"/>
      <c r="R415" s="1598"/>
      <c r="S415" s="1598"/>
      <c r="T415" s="1598"/>
      <c r="U415" s="1598"/>
      <c r="V415" s="1598"/>
      <c r="W415" s="1598"/>
      <c r="X415" s="1598"/>
      <c r="Y415" s="1598"/>
      <c r="Z415" s="1598"/>
      <c r="AA415" s="1598"/>
      <c r="AB415" s="1598"/>
      <c r="AC415" s="1598"/>
      <c r="AD415" s="1598"/>
      <c r="AE415" s="1598"/>
    </row>
    <row r="416" spans="1:36" ht="12.95" customHeight="1"/>
    <row r="417" spans="1:39" ht="12.95" customHeight="1">
      <c r="A417" s="2" t="s">
        <v>590</v>
      </c>
      <c r="B417" s="2"/>
      <c r="C417" s="2"/>
      <c r="D417" s="2" t="s">
        <v>114</v>
      </c>
      <c r="AF417" s="2" t="s">
        <v>957</v>
      </c>
    </row>
    <row r="418" spans="1:39" ht="12.95" customHeight="1">
      <c r="E418" s="1467"/>
      <c r="F418" s="1467"/>
      <c r="G418" s="1467"/>
      <c r="H418" s="13" t="s">
        <v>115</v>
      </c>
      <c r="I418" s="1467"/>
      <c r="J418" s="1467"/>
      <c r="K418" s="1467"/>
      <c r="L418" t="s">
        <v>116</v>
      </c>
      <c r="N418" s="27" t="s">
        <v>575</v>
      </c>
      <c r="P418" s="1478">
        <v>0.21942999999999999</v>
      </c>
      <c r="Q418" s="1478"/>
      <c r="R418" s="1478"/>
      <c r="S418" t="s">
        <v>117</v>
      </c>
      <c r="W418" s="1543">
        <f>IF(E418&gt;0,(E418*I418),(P418*43560))</f>
        <v>9558.3707999999988</v>
      </c>
      <c r="X418" s="1543"/>
      <c r="Y418" s="1543"/>
      <c r="Z418" t="s">
        <v>118</v>
      </c>
      <c r="AF418" s="1479">
        <f>IFERROR(IF(P418&gt;0,(AG437/P418),(AG437/(W418/43560))),0)</f>
        <v>442.05441370824411</v>
      </c>
      <c r="AG418" s="1479"/>
      <c r="AH418" s="1479"/>
      <c r="AM418" s="3"/>
    </row>
    <row r="419" spans="1:39" ht="12.95" customHeight="1">
      <c r="E419" t="s">
        <v>51</v>
      </c>
    </row>
    <row r="420" spans="1:39" ht="12.95" customHeight="1">
      <c r="E420" s="1538"/>
      <c r="F420" s="1538"/>
      <c r="G420" s="1538"/>
      <c r="H420" s="1538"/>
      <c r="I420" s="1538"/>
      <c r="J420" s="1538"/>
      <c r="K420" s="1538"/>
      <c r="L420" s="1538"/>
      <c r="M420" s="1538"/>
      <c r="N420" s="1538"/>
      <c r="O420" s="1538"/>
      <c r="P420" s="1538"/>
      <c r="Q420" s="1538"/>
      <c r="R420" s="1538"/>
      <c r="S420" s="1538"/>
      <c r="T420" s="1538"/>
      <c r="U420" s="1538"/>
      <c r="V420" s="1538"/>
      <c r="W420" s="1538"/>
      <c r="X420" s="1538"/>
      <c r="Y420" s="1538"/>
      <c r="Z420" s="1538"/>
      <c r="AA420" s="1538"/>
      <c r="AB420" s="1538"/>
      <c r="AC420" s="1538"/>
      <c r="AD420" s="1538"/>
      <c r="AE420" s="1538"/>
      <c r="AF420" s="1538"/>
      <c r="AG420" s="1538"/>
      <c r="AH420" s="1538"/>
      <c r="AI420" s="1538"/>
      <c r="AJ420" s="1538"/>
    </row>
    <row r="421" spans="1:39" ht="12.95" customHeight="1">
      <c r="E421" s="118" t="s">
        <v>1736</v>
      </c>
      <c r="F421" s="1014"/>
      <c r="G421" s="1014"/>
      <c r="H421" s="1014"/>
      <c r="I421" s="1477">
        <v>0.22</v>
      </c>
      <c r="J421" s="1477"/>
      <c r="K421" s="1477"/>
      <c r="L421" s="1014"/>
      <c r="M421" s="118"/>
      <c r="N421" s="1014"/>
      <c r="O421" s="1014"/>
      <c r="P421" s="1841">
        <f>(DU755+DU778+DU800)/I421</f>
        <v>445.45454545454544</v>
      </c>
      <c r="Q421" s="1841"/>
      <c r="R421" s="18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98">
        <v>1</v>
      </c>
      <c r="Q424" s="1398"/>
      <c r="S424" t="s">
        <v>188</v>
      </c>
      <c r="AE424" s="1398">
        <v>1</v>
      </c>
      <c r="AF424" s="1398"/>
    </row>
    <row r="425" spans="1:39" ht="12.95" customHeight="1">
      <c r="E425" t="s">
        <v>189</v>
      </c>
      <c r="P425" s="1398">
        <v>0</v>
      </c>
      <c r="Q425" s="1398"/>
      <c r="S425" t="s">
        <v>131</v>
      </c>
      <c r="AE425" s="1398" t="s">
        <v>591</v>
      </c>
      <c r="AF425" s="1398"/>
    </row>
    <row r="426" spans="1:39" ht="12.95" customHeight="1">
      <c r="F426" s="28" t="s">
        <v>132</v>
      </c>
    </row>
    <row r="427" spans="1:39" ht="12.95" customHeight="1">
      <c r="F427" s="1468"/>
      <c r="G427" s="1468"/>
      <c r="H427" s="1468"/>
      <c r="I427" s="1468"/>
      <c r="J427" s="1468"/>
      <c r="K427" s="1468"/>
      <c r="L427" s="1468"/>
      <c r="M427" s="1468"/>
      <c r="N427" s="1468"/>
      <c r="O427" s="1468"/>
      <c r="P427" s="1468"/>
      <c r="Q427" s="1468"/>
      <c r="R427" s="1468"/>
      <c r="S427" s="1468"/>
      <c r="T427" s="1468"/>
      <c r="U427" s="1468"/>
      <c r="V427" s="1468"/>
      <c r="W427" s="1468"/>
      <c r="X427" s="1468"/>
      <c r="Y427" s="1468"/>
      <c r="Z427" s="1468"/>
      <c r="AA427" s="1468"/>
      <c r="AB427" s="1468"/>
      <c r="AC427" s="1468"/>
      <c r="AD427" s="1468"/>
      <c r="AE427" s="1468"/>
      <c r="AF427" s="1468"/>
      <c r="AG427" s="1468"/>
      <c r="AH427" s="1468"/>
    </row>
    <row r="428" spans="1:39" ht="12.95" customHeight="1">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c r="AA428" s="1469"/>
      <c r="AB428" s="1469"/>
      <c r="AC428" s="1469"/>
      <c r="AD428" s="1469"/>
      <c r="AE428" s="1469"/>
      <c r="AF428" s="1469"/>
      <c r="AG428" s="1469"/>
      <c r="AH428" s="1469"/>
    </row>
    <row r="429" spans="1:39" ht="12.95" customHeight="1">
      <c r="E429" t="s">
        <v>608</v>
      </c>
      <c r="P429" s="1"/>
      <c r="Q429" s="1398" t="s">
        <v>545</v>
      </c>
      <c r="R429" s="1398"/>
    </row>
    <row r="430" spans="1:39" ht="12.95" customHeight="1">
      <c r="F430" t="s">
        <v>609</v>
      </c>
      <c r="P430" s="1"/>
      <c r="Q430" s="1"/>
      <c r="AF430" s="1398" t="s">
        <v>591</v>
      </c>
      <c r="AG430" s="1470"/>
    </row>
    <row r="431" spans="1:39" ht="12.95" customHeight="1"/>
    <row r="432" spans="1:39" ht="12.95" customHeight="1">
      <c r="A432" s="2"/>
      <c r="B432" s="2"/>
      <c r="C432" s="2"/>
      <c r="E432" s="4" t="s">
        <v>307</v>
      </c>
      <c r="Z432" s="1398" t="s">
        <v>669</v>
      </c>
      <c r="AA432" s="139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98" t="s">
        <v>591</v>
      </c>
      <c r="AA434" s="1398"/>
    </row>
    <row r="435" spans="1:55" ht="12.95" customHeight="1"/>
    <row r="436" spans="1:55" ht="12.95" customHeight="1">
      <c r="A436" s="2" t="s">
        <v>467</v>
      </c>
      <c r="B436" s="2"/>
      <c r="C436" s="2"/>
      <c r="D436" s="2" t="s">
        <v>764</v>
      </c>
      <c r="AF436" s="48"/>
    </row>
    <row r="437" spans="1:55" ht="12.95" customHeight="1">
      <c r="D437" s="1437" t="s">
        <v>43</v>
      </c>
      <c r="E437" s="1386"/>
      <c r="F437" s="1386"/>
      <c r="G437" s="1386"/>
      <c r="H437" s="1386"/>
      <c r="I437" s="1386"/>
      <c r="J437" s="1386"/>
      <c r="K437" s="1386"/>
      <c r="L437" s="1386"/>
      <c r="M437" s="1386"/>
      <c r="N437" s="1386"/>
      <c r="O437" s="1386"/>
      <c r="P437" s="1386"/>
      <c r="Q437" s="1386"/>
      <c r="R437" s="1386"/>
      <c r="S437" s="1386"/>
      <c r="T437" s="1386"/>
      <c r="U437" s="1386"/>
      <c r="V437" s="1386"/>
      <c r="W437" s="1386"/>
      <c r="X437" s="1386"/>
      <c r="Y437" s="1386"/>
      <c r="Z437" s="1386"/>
      <c r="AA437" s="1386"/>
      <c r="AB437" s="1386"/>
      <c r="AC437" s="1386"/>
      <c r="AD437" s="1386"/>
      <c r="AE437" s="1386"/>
      <c r="AF437" s="1387"/>
      <c r="AG437" s="1408">
        <v>97</v>
      </c>
      <c r="AH437" s="1408"/>
      <c r="AI437" s="1408"/>
      <c r="AJ437" s="1408"/>
    </row>
    <row r="438" spans="1:55" ht="12.95" customHeight="1">
      <c r="D438" s="1385"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544">
        <v>0</v>
      </c>
      <c r="AH438" s="1545"/>
      <c r="AI438" s="1545"/>
      <c r="AJ438" s="1545"/>
    </row>
    <row r="439" spans="1:55" ht="12.95" customHeight="1">
      <c r="D439" s="1385"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408">
        <v>96</v>
      </c>
      <c r="AH439" s="1408"/>
      <c r="AI439" s="1408"/>
      <c r="AJ439" s="1408"/>
    </row>
    <row r="440" spans="1:55" ht="12.95" customHeight="1">
      <c r="D440" s="1385"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408">
        <v>96</v>
      </c>
      <c r="AH440" s="1408"/>
      <c r="AI440" s="1408"/>
      <c r="AJ440" s="1408"/>
    </row>
    <row r="441" spans="1:55" ht="12.95" customHeight="1">
      <c r="D441" s="1385"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20">
        <f>IF(ISERROR(AG440/AG439),0,AG440/AG439)</f>
        <v>1</v>
      </c>
      <c r="AH441" s="1420"/>
      <c r="AI441" s="1420"/>
      <c r="AJ441" s="1420"/>
    </row>
    <row r="442" spans="1:55" ht="12.95" customHeight="1">
      <c r="D442" s="1385"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5">
        <v>29255</v>
      </c>
      <c r="AH442" s="1415"/>
      <c r="AI442" s="1415"/>
      <c r="AJ442" s="1415"/>
    </row>
    <row r="443" spans="1:55" ht="12.95" customHeight="1">
      <c r="D443" s="1385"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5">
        <v>29255</v>
      </c>
      <c r="AH443" s="1415"/>
      <c r="AI443" s="1415"/>
      <c r="AJ443" s="1415"/>
    </row>
    <row r="444" spans="1:55" ht="12.95" customHeight="1">
      <c r="D444" s="1385"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20">
        <f>IF(ISERROR(AG443/AG442),0,AG443/AG442)</f>
        <v>1</v>
      </c>
      <c r="AH444" s="1420"/>
      <c r="AI444" s="1420"/>
      <c r="AJ444" s="1420"/>
    </row>
    <row r="445" spans="1:55" ht="12.95" customHeight="1">
      <c r="D445" s="1385"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20">
        <f>MIN(IF(AG441&gt;AG444,AG444,AG441),1)</f>
        <v>1</v>
      </c>
      <c r="AH445" s="1420"/>
      <c r="AI445" s="1420"/>
      <c r="AJ445" s="1420"/>
    </row>
    <row r="446" spans="1:55" ht="12.95" customHeight="1">
      <c r="D446" s="1385" t="s">
        <v>2089</v>
      </c>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7"/>
      <c r="AG446" s="1415">
        <v>2941</v>
      </c>
      <c r="AH446" s="1415"/>
      <c r="AI446" s="1415"/>
      <c r="AJ446" s="1415"/>
      <c r="AZ446" s="34"/>
      <c r="BA446" s="34"/>
      <c r="BB446" s="34"/>
      <c r="BC446" s="34"/>
    </row>
    <row r="447" spans="1:55" ht="12.95" customHeight="1">
      <c r="D447" s="1437" t="s">
        <v>569</v>
      </c>
      <c r="E447" s="1386"/>
      <c r="F447" s="1386"/>
      <c r="G447" s="1386"/>
      <c r="H447" s="1386"/>
      <c r="I447" s="1386"/>
      <c r="J447" s="1386"/>
      <c r="K447" s="1386"/>
      <c r="L447" s="1386"/>
      <c r="M447" s="1386"/>
      <c r="N447" s="1386"/>
      <c r="O447" s="1386"/>
      <c r="P447" s="1386"/>
      <c r="Q447" s="1386"/>
      <c r="R447" s="1386"/>
      <c r="S447" s="1386"/>
      <c r="T447" s="1386"/>
      <c r="U447" s="1386"/>
      <c r="V447" s="1386"/>
      <c r="W447" s="1386"/>
      <c r="X447" s="1386"/>
      <c r="Y447" s="1386"/>
      <c r="Z447" s="1386"/>
      <c r="AA447" s="1386"/>
      <c r="AB447" s="1386"/>
      <c r="AC447" s="1386"/>
      <c r="AD447" s="1386"/>
      <c r="AE447" s="1386"/>
      <c r="AF447" s="1387"/>
      <c r="AG447" s="1415">
        <v>0</v>
      </c>
      <c r="AH447" s="1415"/>
      <c r="AI447" s="1415"/>
      <c r="AJ447" s="1415"/>
      <c r="AZ447" s="3"/>
      <c r="BA447" s="3"/>
      <c r="BB447" s="3"/>
      <c r="BC447" s="3"/>
    </row>
    <row r="448" spans="1:55" ht="12.95" customHeight="1">
      <c r="D448" s="1385" t="s">
        <v>1205</v>
      </c>
      <c r="E448" s="1386"/>
      <c r="F448" s="1386"/>
      <c r="G448" s="1386"/>
      <c r="H448" s="1386"/>
      <c r="I448" s="1386"/>
      <c r="J448" s="1386"/>
      <c r="K448" s="1386"/>
      <c r="L448" s="1386"/>
      <c r="M448" s="1386"/>
      <c r="N448" s="1386"/>
      <c r="O448" s="1386"/>
      <c r="P448" s="1386"/>
      <c r="Q448" s="1386"/>
      <c r="R448" s="1386"/>
      <c r="S448" s="1386"/>
      <c r="T448" s="1386"/>
      <c r="U448" s="1386"/>
      <c r="V448" s="1386"/>
      <c r="W448" s="1386"/>
      <c r="X448" s="1386"/>
      <c r="Y448" s="1386"/>
      <c r="Z448" s="1386"/>
      <c r="AA448" s="1386"/>
      <c r="AB448" s="1386"/>
      <c r="AC448" s="1386"/>
      <c r="AD448" s="1386"/>
      <c r="AE448" s="1386"/>
      <c r="AF448" s="1387"/>
      <c r="AG448" s="1415">
        <v>15528</v>
      </c>
      <c r="AH448" s="1415"/>
      <c r="AI448" s="1415"/>
      <c r="AJ448" s="1415"/>
      <c r="AZ448" s="3"/>
      <c r="BA448" s="3"/>
      <c r="BB448" s="3"/>
      <c r="BC448" s="3"/>
    </row>
    <row r="449" spans="1:55" ht="12.95" customHeight="1">
      <c r="D449" s="1385" t="s">
        <v>1038</v>
      </c>
      <c r="E449" s="1386"/>
      <c r="F449" s="1386"/>
      <c r="G449" s="1386"/>
      <c r="H449" s="1386"/>
      <c r="I449" s="1386"/>
      <c r="J449" s="1386"/>
      <c r="K449" s="1386"/>
      <c r="L449" s="1386"/>
      <c r="M449" s="1386"/>
      <c r="N449" s="1386"/>
      <c r="O449" s="1386"/>
      <c r="P449" s="1386"/>
      <c r="Q449" s="1386"/>
      <c r="R449" s="1386"/>
      <c r="S449" s="1386"/>
      <c r="T449" s="1386"/>
      <c r="U449" s="1386"/>
      <c r="V449" s="1386"/>
      <c r="W449" s="1386"/>
      <c r="X449" s="1386"/>
      <c r="Y449" s="1386"/>
      <c r="Z449" s="1386"/>
      <c r="AA449" s="1386"/>
      <c r="AB449" s="1386"/>
      <c r="AC449" s="1386"/>
      <c r="AD449" s="1386"/>
      <c r="AE449" s="1386"/>
      <c r="AF449" s="1387"/>
      <c r="AG449" s="1415">
        <v>0</v>
      </c>
      <c r="AH449" s="1415"/>
      <c r="AI449" s="1415"/>
      <c r="AJ449" s="1415"/>
      <c r="BB449" s="3"/>
      <c r="BC449" s="3"/>
    </row>
    <row r="450" spans="1:55" ht="12.95" customHeight="1">
      <c r="D450" s="1591" t="s">
        <v>1039</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23">
        <f>AG442+AG446+AG448+AG449</f>
        <v>47724</v>
      </c>
      <c r="AH450" s="1423"/>
      <c r="AI450" s="1423"/>
      <c r="AJ450" s="1423"/>
      <c r="AZ450" s="3"/>
      <c r="BA450" s="3"/>
      <c r="BB450" s="3"/>
      <c r="BC450" s="3"/>
    </row>
    <row r="451" spans="1:55" ht="12.95" customHeight="1">
      <c r="D451" s="1540" t="s">
        <v>1206</v>
      </c>
      <c r="E451" s="1540"/>
      <c r="F451" s="1540"/>
      <c r="G451" s="1540"/>
      <c r="H451" s="1540"/>
      <c r="I451" s="1540"/>
      <c r="J451" s="1540"/>
      <c r="K451" s="1540"/>
      <c r="L451" s="1540"/>
      <c r="M451" s="1540"/>
      <c r="N451" s="1540"/>
      <c r="O451" s="1540"/>
      <c r="P451" s="1540"/>
      <c r="Q451" s="1540"/>
      <c r="R451" s="1540"/>
      <c r="S451" s="1540"/>
      <c r="T451" s="1540"/>
      <c r="U451" s="1540"/>
      <c r="V451" s="1540"/>
      <c r="W451" s="1540"/>
      <c r="X451" s="1540"/>
      <c r="Y451" s="1540"/>
      <c r="Z451" s="1540"/>
      <c r="AA451" s="1540"/>
      <c r="AB451" s="1540"/>
      <c r="AC451" s="1540"/>
      <c r="AD451" s="1540"/>
      <c r="AE451" s="1540"/>
      <c r="AF451" s="1540"/>
      <c r="AG451" s="1540"/>
      <c r="AH451" s="1540"/>
      <c r="AI451" s="1540"/>
      <c r="AJ451" s="1540"/>
      <c r="AZ451" s="3"/>
      <c r="BA451" s="3"/>
      <c r="BB451" s="3"/>
      <c r="BC451" s="3"/>
    </row>
    <row r="452" spans="1:55" ht="12.95" customHeight="1">
      <c r="D452" s="1541"/>
      <c r="E452" s="1541"/>
      <c r="F452" s="1541"/>
      <c r="G452" s="1541"/>
      <c r="H452" s="1541"/>
      <c r="I452" s="1541"/>
      <c r="J452" s="1541"/>
      <c r="K452" s="1541"/>
      <c r="L452" s="1541"/>
      <c r="M452" s="1541"/>
      <c r="N452" s="1541"/>
      <c r="O452" s="1541"/>
      <c r="P452" s="1541"/>
      <c r="Q452" s="1541"/>
      <c r="R452" s="1541"/>
      <c r="S452" s="1541"/>
      <c r="T452" s="1541"/>
      <c r="U452" s="1541"/>
      <c r="V452" s="1541"/>
      <c r="W452" s="1541"/>
      <c r="X452" s="1541"/>
      <c r="Y452" s="1541"/>
      <c r="Z452" s="1541"/>
      <c r="AA452" s="1541"/>
      <c r="AB452" s="1541"/>
      <c r="AC452" s="1541"/>
      <c r="AD452" s="1541"/>
      <c r="AE452" s="1541"/>
      <c r="AF452" s="1541"/>
      <c r="AG452" s="1541"/>
      <c r="AH452" s="1541"/>
      <c r="AI452" s="1541"/>
      <c r="AJ452" s="1541"/>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99">
        <f>IF(AG437=0,"",'Sources and Uses Budget'!B105/Application!AG437)</f>
        <v>887076.93814432994</v>
      </c>
      <c r="AD454" s="1399"/>
      <c r="AE454" s="1399"/>
      <c r="AF454" s="1399"/>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99">
        <f>IF(AG437=0,"",'Sources and Uses Budget'!C105/Application!AG437)</f>
        <v>887076.93814432994</v>
      </c>
      <c r="AD455" s="1399"/>
      <c r="AE455" s="1399"/>
      <c r="AF455" s="1399"/>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99">
        <f>IF(AG437=0,"",('Sources and Uses Budget'!$S$107+'Sources and Uses Budget'!$T$107)/Application!AG437)</f>
        <v>795786.21649484534</v>
      </c>
      <c r="AD456" s="1399"/>
      <c r="AE456" s="1399"/>
      <c r="AF456" s="1399"/>
      <c r="AG456" s="177"/>
      <c r="AH456" s="177"/>
      <c r="AI456" s="177"/>
      <c r="AJ456" s="183"/>
      <c r="AZ456" s="3"/>
      <c r="BA456" s="3"/>
      <c r="BB456" s="3"/>
      <c r="BC456" s="3"/>
    </row>
    <row r="457" spans="1:55" ht="12.95" customHeight="1">
      <c r="D457" s="177"/>
      <c r="E457" s="177"/>
      <c r="F457" s="140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516"/>
      <c r="AD457" s="177"/>
      <c r="AE457" s="177"/>
      <c r="AF457" s="177"/>
      <c r="AG457" s="177"/>
      <c r="AH457" s="177"/>
      <c r="AI457" s="177"/>
      <c r="AJ457" s="183"/>
      <c r="AZ457" s="3"/>
      <c r="BA457" s="3"/>
      <c r="BB457" s="3"/>
      <c r="BC457" s="3"/>
    </row>
    <row r="458" spans="1:55" ht="12.95" customHeight="1">
      <c r="A458" s="2"/>
      <c r="D458" s="2"/>
      <c r="E458" s="177"/>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407" t="s">
        <v>2101</v>
      </c>
      <c r="E465" s="1402"/>
      <c r="F465" s="1402"/>
      <c r="G465" s="1402"/>
      <c r="H465" s="1402"/>
      <c r="I465" s="1402"/>
      <c r="J465" s="1402"/>
      <c r="K465" s="1402"/>
      <c r="L465" s="1402"/>
      <c r="M465" s="1402"/>
      <c r="N465" s="1402"/>
      <c r="O465" s="1402"/>
      <c r="P465" s="1402"/>
      <c r="Q465" s="1402"/>
      <c r="R465" s="1402"/>
      <c r="S465" s="1402"/>
      <c r="T465" s="1402"/>
      <c r="U465" s="1402"/>
      <c r="V465" s="1403"/>
      <c r="W465" s="1438">
        <v>20</v>
      </c>
      <c r="X465" s="1439"/>
      <c r="Y465" s="1440"/>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401" t="s">
        <v>693</v>
      </c>
      <c r="E466" s="1402"/>
      <c r="F466" s="1402"/>
      <c r="G466" s="1402"/>
      <c r="H466" s="1402"/>
      <c r="I466" s="1402"/>
      <c r="J466" s="1402"/>
      <c r="K466" s="1402"/>
      <c r="L466" s="1402"/>
      <c r="M466" s="1402"/>
      <c r="N466" s="1402"/>
      <c r="O466" s="1402"/>
      <c r="P466" s="1402"/>
      <c r="Q466" s="1402"/>
      <c r="R466" s="1402"/>
      <c r="S466" s="1402"/>
      <c r="T466" s="1402"/>
      <c r="U466" s="1402"/>
      <c r="V466" s="1403"/>
      <c r="W466" s="1438">
        <v>0</v>
      </c>
      <c r="X466" s="1439"/>
      <c r="Y466" s="1440"/>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401" t="s">
        <v>694</v>
      </c>
      <c r="E467" s="1402"/>
      <c r="F467" s="1402"/>
      <c r="G467" s="1402"/>
      <c r="H467" s="1402"/>
      <c r="I467" s="1402"/>
      <c r="J467" s="1402"/>
      <c r="K467" s="1402"/>
      <c r="L467" s="1402"/>
      <c r="M467" s="1402"/>
      <c r="N467" s="1402"/>
      <c r="O467" s="1402"/>
      <c r="P467" s="1402"/>
      <c r="Q467" s="1402"/>
      <c r="R467" s="1402"/>
      <c r="S467" s="1402"/>
      <c r="T467" s="1402"/>
      <c r="U467" s="1402"/>
      <c r="V467" s="1403"/>
      <c r="W467" s="1438">
        <v>0</v>
      </c>
      <c r="X467" s="1439"/>
      <c r="Y467" s="1440"/>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401" t="s">
        <v>695</v>
      </c>
      <c r="E468" s="1402"/>
      <c r="F468" s="1402"/>
      <c r="G468" s="1402"/>
      <c r="H468" s="1402"/>
      <c r="I468" s="1402"/>
      <c r="J468" s="1402"/>
      <c r="K468" s="1402"/>
      <c r="L468" s="1402"/>
      <c r="M468" s="1402"/>
      <c r="N468" s="1402"/>
      <c r="O468" s="1402"/>
      <c r="P468" s="1402"/>
      <c r="Q468" s="1402"/>
      <c r="R468" s="1402"/>
      <c r="S468" s="1402"/>
      <c r="T468" s="1402"/>
      <c r="U468" s="1402"/>
      <c r="V468" s="1403"/>
      <c r="W468" s="1438">
        <v>0</v>
      </c>
      <c r="X468" s="1439"/>
      <c r="Y468" s="1440"/>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401" t="s">
        <v>881</v>
      </c>
      <c r="E469" s="1402"/>
      <c r="F469" s="1402"/>
      <c r="G469" s="1402"/>
      <c r="H469" s="1402"/>
      <c r="I469" s="1402"/>
      <c r="J469" s="1402"/>
      <c r="K469" s="1402"/>
      <c r="L469" s="1402"/>
      <c r="M469" s="1402"/>
      <c r="N469" s="1402"/>
      <c r="O469" s="1402"/>
      <c r="P469" s="1402"/>
      <c r="Q469" s="1402"/>
      <c r="R469" s="1402"/>
      <c r="S469" s="1402"/>
      <c r="T469" s="1402"/>
      <c r="U469" s="1402"/>
      <c r="V469" s="1403"/>
      <c r="W469" s="1438">
        <v>0</v>
      </c>
      <c r="X469" s="1439"/>
      <c r="Y469" s="1440"/>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401" t="s">
        <v>696</v>
      </c>
      <c r="E470" s="1402"/>
      <c r="F470" s="1402"/>
      <c r="G470" s="1402"/>
      <c r="H470" s="1402"/>
      <c r="I470" s="1402"/>
      <c r="J470" s="1402"/>
      <c r="K470" s="1402"/>
      <c r="L470" s="1402"/>
      <c r="M470" s="1402"/>
      <c r="N470" s="1402"/>
      <c r="O470" s="1402"/>
      <c r="P470" s="1402"/>
      <c r="Q470" s="1402"/>
      <c r="R470" s="1402"/>
      <c r="S470" s="1402"/>
      <c r="T470" s="1402"/>
      <c r="U470" s="1402"/>
      <c r="V470" s="1403"/>
      <c r="W470" s="1438">
        <v>0</v>
      </c>
      <c r="X470" s="1439"/>
      <c r="Y470" s="1440"/>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401" t="s">
        <v>1012</v>
      </c>
      <c r="E471" s="1402"/>
      <c r="F471" s="1402"/>
      <c r="G471" s="1402"/>
      <c r="H471" s="1402"/>
      <c r="I471" s="1402"/>
      <c r="J471" s="1402"/>
      <c r="K471" s="1402"/>
      <c r="L471" s="1402"/>
      <c r="M471" s="1402"/>
      <c r="N471" s="1402"/>
      <c r="O471" s="1402"/>
      <c r="P471" s="1402"/>
      <c r="Q471" s="1402"/>
      <c r="R471" s="1402"/>
      <c r="S471" s="1402"/>
      <c r="T471" s="1402"/>
      <c r="U471" s="1402"/>
      <c r="V471" s="1403"/>
      <c r="W471" s="1438">
        <v>0</v>
      </c>
      <c r="X471" s="1439"/>
      <c r="Y471" s="1440"/>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407" t="s">
        <v>2192</v>
      </c>
      <c r="E472" s="1441"/>
      <c r="F472" s="1441"/>
      <c r="G472" s="1441"/>
      <c r="H472" s="1441"/>
      <c r="I472" s="1441"/>
      <c r="J472" s="1441"/>
      <c r="K472" s="1441"/>
      <c r="L472" s="1441"/>
      <c r="M472" s="1441"/>
      <c r="N472" s="1441"/>
      <c r="O472" s="1441"/>
      <c r="P472" s="1441"/>
      <c r="Q472" s="1441"/>
      <c r="R472" s="1441"/>
      <c r="S472" s="1441"/>
      <c r="T472" s="1441"/>
      <c r="U472" s="1441"/>
      <c r="V472" s="1442"/>
      <c r="W472" s="1438">
        <v>0</v>
      </c>
      <c r="X472" s="1439"/>
      <c r="Y472" s="1440"/>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7" t="s">
        <v>1654</v>
      </c>
      <c r="E473" s="1402"/>
      <c r="F473" s="1402"/>
      <c r="G473" s="1402"/>
      <c r="H473" s="1402"/>
      <c r="I473" s="1402"/>
      <c r="J473" s="1402"/>
      <c r="K473" s="1402"/>
      <c r="L473" s="1402"/>
      <c r="M473" s="1402"/>
      <c r="N473" s="1402"/>
      <c r="O473" s="1402"/>
      <c r="P473" s="1402"/>
      <c r="Q473" s="1402"/>
      <c r="R473" s="1402"/>
      <c r="S473" s="1402"/>
      <c r="T473" s="1402"/>
      <c r="U473" s="1402"/>
      <c r="V473" s="1403"/>
      <c r="W473" s="1438">
        <v>48</v>
      </c>
      <c r="X473" s="1439"/>
      <c r="Y473" s="144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169</v>
      </c>
      <c r="E474" s="245"/>
      <c r="F474" s="246"/>
      <c r="G474" s="1601" t="s">
        <v>2689</v>
      </c>
      <c r="H474" s="1602"/>
      <c r="I474" s="1602"/>
      <c r="J474" s="1602"/>
      <c r="K474" s="1602"/>
      <c r="L474" s="1602"/>
      <c r="M474" s="1602"/>
      <c r="N474" s="1602"/>
      <c r="O474" s="1602"/>
      <c r="P474" s="1602"/>
      <c r="Q474" s="1602"/>
      <c r="R474" s="1602"/>
      <c r="S474" s="1602"/>
      <c r="T474" s="1602"/>
      <c r="U474" s="1602"/>
      <c r="V474" s="1603"/>
      <c r="W474" s="1438">
        <v>10</v>
      </c>
      <c r="X474" s="1439"/>
      <c r="Y474" s="144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t="s">
        <v>249</v>
      </c>
      <c r="E476" s="252"/>
      <c r="F476" s="252" t="s">
        <v>249</v>
      </c>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Yes</v>
      </c>
      <c r="BB479" s="3"/>
      <c r="BC479" s="3"/>
    </row>
    <row r="480" spans="1:55" ht="12.95" customHeight="1">
      <c r="A480" s="1556" t="s">
        <v>810</v>
      </c>
      <c r="B480" s="1556"/>
      <c r="C480" s="1556"/>
      <c r="D480" s="1556"/>
      <c r="E480" s="1556"/>
      <c r="F480" s="1556"/>
      <c r="G480" s="1556"/>
      <c r="H480" s="1556"/>
      <c r="I480" s="1556"/>
      <c r="J480" s="1556"/>
      <c r="K480" s="1556"/>
      <c r="L480" s="1556"/>
      <c r="M480" s="1556"/>
      <c r="N480" s="1556"/>
      <c r="O480" s="1556"/>
      <c r="P480" s="1556"/>
      <c r="Q480" s="1556"/>
      <c r="R480" s="1556"/>
      <c r="S480" s="1556"/>
      <c r="T480" s="1556"/>
      <c r="U480" s="1556"/>
      <c r="V480" s="1556"/>
      <c r="W480" s="1556"/>
      <c r="X480" s="1556"/>
      <c r="Y480" s="1556"/>
      <c r="Z480" s="1556"/>
      <c r="AA480" s="1556"/>
      <c r="AB480" s="1556"/>
      <c r="AC480" s="1556"/>
      <c r="AD480" s="1556"/>
      <c r="AE480" s="1556"/>
      <c r="AF480" s="1556"/>
      <c r="AG480" s="1556"/>
      <c r="AH480" s="1556"/>
      <c r="AI480" s="1556"/>
      <c r="AJ480" s="1556"/>
      <c r="AK480" s="1556"/>
      <c r="AL480" s="1556"/>
      <c r="AM480" s="1556"/>
      <c r="AN480" s="1556"/>
      <c r="AO480" s="1556"/>
      <c r="AP480" s="1556"/>
      <c r="AQ480" s="1556"/>
      <c r="AR480" s="1556"/>
      <c r="AS480" s="1556"/>
      <c r="AT480" s="1556"/>
      <c r="AU480" s="95"/>
      <c r="AV480" s="95"/>
      <c r="AW480" s="95"/>
      <c r="AX480" s="95"/>
      <c r="AY480" s="95"/>
      <c r="AZ480" s="3"/>
      <c r="BB480" s="3"/>
      <c r="BC480" s="3"/>
    </row>
    <row r="481" spans="1:55" ht="12.95" customHeight="1">
      <c r="A481" s="1556"/>
      <c r="B481" s="1556"/>
      <c r="C481" s="1556"/>
      <c r="D481" s="1556"/>
      <c r="E481" s="1556"/>
      <c r="F481" s="1556"/>
      <c r="G481" s="1556"/>
      <c r="H481" s="1556"/>
      <c r="I481" s="1556"/>
      <c r="J481" s="1556"/>
      <c r="K481" s="1556"/>
      <c r="L481" s="1556"/>
      <c r="M481" s="1556"/>
      <c r="N481" s="1556"/>
      <c r="O481" s="1556"/>
      <c r="P481" s="1556"/>
      <c r="Q481" s="1556"/>
      <c r="R481" s="1556"/>
      <c r="S481" s="1556"/>
      <c r="T481" s="1556"/>
      <c r="U481" s="1556"/>
      <c r="V481" s="1556"/>
      <c r="W481" s="1556"/>
      <c r="X481" s="1556"/>
      <c r="Y481" s="1556"/>
      <c r="Z481" s="1556"/>
      <c r="AA481" s="1556"/>
      <c r="AB481" s="1556"/>
      <c r="AC481" s="1556"/>
      <c r="AD481" s="1556"/>
      <c r="AE481" s="1556"/>
      <c r="AF481" s="1556"/>
      <c r="AG481" s="1556"/>
      <c r="AH481" s="1556"/>
      <c r="AI481" s="1556"/>
      <c r="AJ481" s="1556"/>
      <c r="AK481" s="1556"/>
      <c r="AL481" s="1556"/>
      <c r="AM481" s="1556"/>
      <c r="AN481" s="1556"/>
      <c r="AO481" s="1556"/>
      <c r="AP481" s="1556"/>
      <c r="AQ481" s="1556"/>
      <c r="AR481" s="1556"/>
      <c r="AS481" s="1556"/>
      <c r="AT481" s="1556"/>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09" t="s">
        <v>392</v>
      </c>
      <c r="R485" s="1410"/>
      <c r="S485" s="1410"/>
      <c r="T485" s="1410"/>
      <c r="U485" s="1410"/>
      <c r="V485" s="1410"/>
      <c r="W485" s="1410"/>
      <c r="X485" s="1410"/>
      <c r="Y485" s="1410"/>
      <c r="Z485" s="1410"/>
      <c r="AA485" s="1410"/>
      <c r="AB485" s="1410"/>
      <c r="AC485" s="1410"/>
      <c r="AD485" s="1410"/>
      <c r="AE485" s="1410"/>
      <c r="AF485" s="1410"/>
      <c r="AG485" s="1410"/>
      <c r="AH485" s="1410"/>
      <c r="AI485" s="1410"/>
      <c r="AJ485" s="1410"/>
      <c r="AK485" s="1411"/>
      <c r="AZ485" s="3"/>
      <c r="BB485" s="3"/>
      <c r="BC485" s="3"/>
    </row>
    <row r="486" spans="1:55" ht="12.95" customHeight="1">
      <c r="B486" s="45" t="s">
        <v>393</v>
      </c>
      <c r="C486" s="5"/>
      <c r="D486" s="5"/>
      <c r="E486" s="5"/>
      <c r="F486" s="5"/>
      <c r="G486" s="5"/>
      <c r="H486" s="5"/>
      <c r="I486" s="5"/>
      <c r="J486" s="5"/>
      <c r="K486" s="5"/>
      <c r="L486" s="5"/>
      <c r="M486" s="5"/>
      <c r="N486" s="5"/>
      <c r="O486" s="5"/>
      <c r="P486" s="5"/>
      <c r="Q486" s="251" t="s">
        <v>2690</v>
      </c>
      <c r="R486" s="252"/>
      <c r="S486" s="252"/>
      <c r="T486" s="252"/>
      <c r="U486" s="252"/>
      <c r="V486" s="252"/>
      <c r="W486" s="252"/>
      <c r="X486" s="252"/>
      <c r="Y486" s="252"/>
      <c r="Z486" s="252"/>
      <c r="AA486" s="252"/>
      <c r="AB486" s="252"/>
      <c r="AC486" s="252"/>
      <c r="AD486" s="252"/>
      <c r="AE486" s="252"/>
      <c r="AF486" s="252"/>
      <c r="AG486" s="252"/>
      <c r="AH486" s="252"/>
      <c r="AI486" s="252"/>
      <c r="AJ486" s="252"/>
      <c r="AK486" s="1260"/>
      <c r="AZ486" s="3"/>
      <c r="BB486" s="3"/>
      <c r="BC486" s="3"/>
    </row>
    <row r="487" spans="1:55" ht="12.95" customHeight="1">
      <c r="B487" s="45" t="s">
        <v>394</v>
      </c>
      <c r="C487" s="5"/>
      <c r="D487" s="5"/>
      <c r="E487" s="5"/>
      <c r="F487" s="5"/>
      <c r="G487" s="5"/>
      <c r="H487" s="5"/>
      <c r="I487" s="5"/>
      <c r="J487" s="5"/>
      <c r="K487" s="5"/>
      <c r="L487" s="5"/>
      <c r="M487" s="5"/>
      <c r="N487" s="5"/>
      <c r="O487" s="5"/>
      <c r="P487" s="5"/>
      <c r="Q487" s="251" t="s">
        <v>2691</v>
      </c>
      <c r="R487" s="252"/>
      <c r="S487" s="252"/>
      <c r="T487" s="252"/>
      <c r="U487" s="252"/>
      <c r="V487" s="252"/>
      <c r="W487" s="252"/>
      <c r="X487" s="252"/>
      <c r="Y487" s="252"/>
      <c r="Z487" s="252"/>
      <c r="AA487" s="252"/>
      <c r="AB487" s="252"/>
      <c r="AC487" s="252"/>
      <c r="AD487" s="252"/>
      <c r="AE487" s="252"/>
      <c r="AF487" s="252"/>
      <c r="AG487" s="252"/>
      <c r="AH487" s="252"/>
      <c r="AI487" s="252"/>
      <c r="AJ487" s="252"/>
      <c r="AK487" s="1260"/>
      <c r="AZ487" s="3"/>
      <c r="BB487" s="3"/>
      <c r="BC487" s="3"/>
    </row>
    <row r="488" spans="1:55" ht="12.95" customHeight="1">
      <c r="B488" s="45" t="s">
        <v>395</v>
      </c>
      <c r="C488" s="5"/>
      <c r="D488" s="5"/>
      <c r="E488" s="5"/>
      <c r="F488" s="5"/>
      <c r="G488" s="5"/>
      <c r="H488" s="5"/>
      <c r="I488" s="5"/>
      <c r="J488" s="5"/>
      <c r="K488" s="5"/>
      <c r="L488" s="5"/>
      <c r="M488" s="5"/>
      <c r="N488" s="5"/>
      <c r="O488" s="5"/>
      <c r="P488" s="5"/>
      <c r="Q488" s="251" t="s">
        <v>2692</v>
      </c>
      <c r="R488" s="252"/>
      <c r="S488" s="252"/>
      <c r="T488" s="252"/>
      <c r="U488" s="252"/>
      <c r="V488" s="252"/>
      <c r="W488" s="252"/>
      <c r="X488" s="252"/>
      <c r="Y488" s="252"/>
      <c r="Z488" s="252"/>
      <c r="AA488" s="252"/>
      <c r="AB488" s="252"/>
      <c r="AC488" s="252"/>
      <c r="AD488" s="252"/>
      <c r="AE488" s="252"/>
      <c r="AF488" s="252"/>
      <c r="AG488" s="252"/>
      <c r="AH488" s="252"/>
      <c r="AI488" s="252"/>
      <c r="AJ488" s="252"/>
      <c r="AK488" s="1260"/>
      <c r="AZ488" s="3"/>
      <c r="BA488" s="3"/>
      <c r="BB488" s="3"/>
      <c r="BC488" s="3"/>
    </row>
    <row r="489" spans="1:55" ht="12.95" customHeight="1">
      <c r="B489" s="1528" t="s">
        <v>396</v>
      </c>
      <c r="C489" s="1529"/>
      <c r="D489" s="1529"/>
      <c r="E489" s="1529"/>
      <c r="F489" s="1529"/>
      <c r="G489" s="1529"/>
      <c r="H489" s="1529"/>
      <c r="I489" s="1529"/>
      <c r="J489" s="1529"/>
      <c r="K489" s="1529"/>
      <c r="L489" s="1529"/>
      <c r="M489" s="1529"/>
      <c r="N489" s="1529"/>
      <c r="O489" s="1529"/>
      <c r="P489" s="1530"/>
      <c r="Q489" s="1266" t="s">
        <v>669</v>
      </c>
      <c r="R489" s="1267"/>
      <c r="S489" s="1270"/>
      <c r="T489" s="1271"/>
      <c r="U489" s="1271"/>
      <c r="V489" s="1271"/>
      <c r="W489" s="1271"/>
      <c r="X489" s="1271"/>
      <c r="Y489" s="1271"/>
      <c r="Z489" s="1271"/>
      <c r="AA489" s="1271"/>
      <c r="AB489" s="1271"/>
      <c r="AC489" s="1271"/>
      <c r="AD489" s="1271"/>
      <c r="AE489" s="1271"/>
      <c r="AF489" s="1271"/>
      <c r="AG489" s="1271"/>
      <c r="AH489" s="1271"/>
      <c r="AI489" s="1271"/>
      <c r="AJ489" s="1271"/>
      <c r="AK489" s="1272"/>
      <c r="AZ489" s="3"/>
      <c r="BA489" s="3"/>
      <c r="BB489" s="3"/>
      <c r="BC489" s="3"/>
    </row>
    <row r="490" spans="1:55" ht="12.95" customHeight="1">
      <c r="B490" s="1531"/>
      <c r="C490" s="1532"/>
      <c r="D490" s="1532"/>
      <c r="E490" s="1532"/>
      <c r="F490" s="1532"/>
      <c r="G490" s="1532"/>
      <c r="H490" s="1532"/>
      <c r="I490" s="1532"/>
      <c r="J490" s="1532"/>
      <c r="K490" s="1532"/>
      <c r="L490" s="1532"/>
      <c r="M490" s="1532"/>
      <c r="N490" s="1532"/>
      <c r="O490" s="1532"/>
      <c r="P490" s="1533"/>
      <c r="Q490" s="1268"/>
      <c r="R490" s="1269"/>
      <c r="S490" s="1273"/>
      <c r="T490" s="1261"/>
      <c r="U490" s="1261"/>
      <c r="V490" s="1261"/>
      <c r="W490" s="1261"/>
      <c r="X490" s="1261"/>
      <c r="Y490" s="1261"/>
      <c r="Z490" s="1261"/>
      <c r="AA490" s="1261"/>
      <c r="AB490" s="1261"/>
      <c r="AC490" s="1261"/>
      <c r="AD490" s="1261"/>
      <c r="AE490" s="1261"/>
      <c r="AF490" s="1261"/>
      <c r="AG490" s="1261"/>
      <c r="AH490" s="1261"/>
      <c r="AI490" s="1261"/>
      <c r="AJ490" s="1261"/>
      <c r="AK490" s="1274"/>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263" t="s">
        <v>2693</v>
      </c>
      <c r="R491" s="1264"/>
      <c r="S491" s="1264"/>
      <c r="T491" s="1264"/>
      <c r="U491" s="1264"/>
      <c r="V491" s="1264"/>
      <c r="W491" s="1264"/>
      <c r="X491" s="1264"/>
      <c r="Y491" s="1264"/>
      <c r="Z491" s="1264"/>
      <c r="AA491" s="1264"/>
      <c r="AB491" s="1264"/>
      <c r="AC491" s="1264"/>
      <c r="AD491" s="1264"/>
      <c r="AE491" s="1264"/>
      <c r="AF491" s="1264"/>
      <c r="AG491" s="1264"/>
      <c r="AH491" s="1264"/>
      <c r="AI491" s="1264"/>
      <c r="AJ491" s="1264"/>
      <c r="AK491" s="1265"/>
      <c r="AZ491" s="3"/>
      <c r="BA491" s="3"/>
      <c r="BB491" s="3"/>
      <c r="BC491" s="3"/>
    </row>
    <row r="492" spans="1:55" ht="12.95" customHeight="1">
      <c r="B492" s="45" t="s">
        <v>397</v>
      </c>
      <c r="C492" s="5"/>
      <c r="D492" s="5"/>
      <c r="E492" s="5"/>
      <c r="F492" s="5"/>
      <c r="G492" s="5"/>
      <c r="H492" s="5"/>
      <c r="I492" s="5"/>
      <c r="J492" s="5"/>
      <c r="K492" s="5"/>
      <c r="L492" s="5"/>
      <c r="M492" s="5"/>
      <c r="N492" s="5"/>
      <c r="O492" s="5"/>
      <c r="P492" s="5"/>
      <c r="Q492" s="251" t="s">
        <v>2694</v>
      </c>
      <c r="R492" s="252"/>
      <c r="S492" s="252"/>
      <c r="T492" s="252"/>
      <c r="U492" s="252"/>
      <c r="V492" s="252"/>
      <c r="W492" s="252"/>
      <c r="X492" s="252"/>
      <c r="Y492" s="252"/>
      <c r="Z492" s="252"/>
      <c r="AA492" s="252"/>
      <c r="AB492" s="252"/>
      <c r="AC492" s="252"/>
      <c r="AD492" s="252"/>
      <c r="AE492" s="252"/>
      <c r="AF492" s="252"/>
      <c r="AG492" s="252"/>
      <c r="AH492" s="252"/>
      <c r="AI492" s="252"/>
      <c r="AJ492" s="252"/>
      <c r="AK492" s="1260"/>
      <c r="AZ492" s="3"/>
      <c r="BA492" s="3"/>
      <c r="BB492" s="3"/>
      <c r="BC492" s="3"/>
    </row>
    <row r="493" spans="1:55" ht="12.95" customHeight="1">
      <c r="B493" s="45" t="s">
        <v>398</v>
      </c>
      <c r="C493" s="5"/>
      <c r="D493" s="5"/>
      <c r="E493" s="5"/>
      <c r="F493" s="5"/>
      <c r="G493" s="5"/>
      <c r="H493" s="5"/>
      <c r="I493" s="5"/>
      <c r="J493" s="5"/>
      <c r="K493" s="5"/>
      <c r="L493" s="5"/>
      <c r="M493" s="5"/>
      <c r="N493" s="5"/>
      <c r="O493" s="5"/>
      <c r="P493" s="5"/>
      <c r="Q493" s="251" t="s">
        <v>2695</v>
      </c>
      <c r="R493" s="252"/>
      <c r="S493" s="252"/>
      <c r="T493" s="252"/>
      <c r="U493" s="252"/>
      <c r="V493" s="252"/>
      <c r="W493" s="252"/>
      <c r="X493" s="252"/>
      <c r="Y493" s="252"/>
      <c r="Z493" s="252"/>
      <c r="AA493" s="252"/>
      <c r="AB493" s="252"/>
      <c r="AC493" s="252"/>
      <c r="AD493" s="252"/>
      <c r="AE493" s="252"/>
      <c r="AF493" s="252"/>
      <c r="AG493" s="252"/>
      <c r="AH493" s="252"/>
      <c r="AI493" s="252"/>
      <c r="AJ493" s="252"/>
      <c r="AK493" s="1260"/>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251" t="s">
        <v>2695</v>
      </c>
      <c r="R494" s="252"/>
      <c r="S494" s="252"/>
      <c r="T494" s="252"/>
      <c r="U494" s="252"/>
      <c r="V494" s="252"/>
      <c r="W494" s="252"/>
      <c r="X494" s="252"/>
      <c r="Y494" s="252"/>
      <c r="Z494" s="252"/>
      <c r="AA494" s="252"/>
      <c r="AB494" s="252"/>
      <c r="AC494" s="252"/>
      <c r="AD494" s="252"/>
      <c r="AE494" s="252"/>
      <c r="AF494" s="252"/>
      <c r="AG494" s="252"/>
      <c r="AH494" s="252"/>
      <c r="AI494" s="252"/>
      <c r="AJ494" s="252"/>
      <c r="AK494" s="1260"/>
      <c r="AZ494" s="3"/>
      <c r="BA494" s="3"/>
      <c r="BB494" s="3"/>
      <c r="BC494" s="3"/>
    </row>
    <row r="495" spans="1:55" ht="12.95" customHeight="1">
      <c r="B495" s="121" t="s">
        <v>1669</v>
      </c>
      <c r="C495" s="5"/>
      <c r="D495" s="5"/>
      <c r="E495" s="5"/>
      <c r="F495" s="5"/>
      <c r="G495" s="5"/>
      <c r="H495" s="5"/>
      <c r="I495" s="5"/>
      <c r="J495" s="5"/>
      <c r="K495" s="5"/>
      <c r="L495" s="5"/>
      <c r="M495" s="1404">
        <v>0</v>
      </c>
      <c r="N495" s="1405"/>
      <c r="O495" s="1405"/>
      <c r="P495" s="1406"/>
      <c r="Q495" s="121" t="s">
        <v>1670</v>
      </c>
      <c r="R495" s="5"/>
      <c r="S495" s="5"/>
      <c r="T495" s="5"/>
      <c r="U495" s="5"/>
      <c r="V495" s="5"/>
      <c r="W495" s="5"/>
      <c r="X495" s="5"/>
      <c r="Y495" s="5"/>
      <c r="Z495" s="5"/>
      <c r="AA495" s="5"/>
      <c r="AB495" s="5"/>
      <c r="AC495" s="5"/>
      <c r="AD495" s="5"/>
      <c r="AE495" s="5"/>
      <c r="AF495" s="5"/>
      <c r="AG495" s="5"/>
      <c r="AH495" s="1404">
        <v>0</v>
      </c>
      <c r="AI495" s="1405"/>
      <c r="AJ495" s="1405"/>
      <c r="AK495" s="1406"/>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9" t="s">
        <v>400</v>
      </c>
      <c r="AD499" s="1410"/>
      <c r="AE499" s="1410"/>
      <c r="AF499" s="1410"/>
      <c r="AG499" s="1410"/>
      <c r="AH499" s="1410"/>
      <c r="AI499" s="1410"/>
      <c r="AJ499" s="1410"/>
      <c r="AK499" s="141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9" t="s">
        <v>401</v>
      </c>
      <c r="AD500" s="1410"/>
      <c r="AE500" s="1410"/>
      <c r="AF500" s="1410"/>
      <c r="AG500" s="50" t="s">
        <v>402</v>
      </c>
      <c r="AH500" s="1410" t="s">
        <v>403</v>
      </c>
      <c r="AI500" s="1410"/>
      <c r="AJ500" s="1410"/>
      <c r="AK500" s="1411"/>
      <c r="AZ500" s="3"/>
      <c r="BA500" s="3"/>
      <c r="BB500" s="3"/>
      <c r="BC500" s="3"/>
      <c r="BD500" s="3"/>
      <c r="BE500" s="3"/>
      <c r="BF500" s="3"/>
      <c r="BG500" s="3"/>
      <c r="BH500" s="3"/>
      <c r="BI500" s="3"/>
      <c r="BJ500" s="3"/>
      <c r="BK500" s="3"/>
      <c r="BL500" s="3"/>
      <c r="BM500" s="3"/>
      <c r="BN500" s="3"/>
    </row>
    <row r="501" spans="1:66" ht="12.95" customHeight="1">
      <c r="B501" s="1388" t="s">
        <v>404</v>
      </c>
      <c r="C501" s="1389"/>
      <c r="D501" s="1389"/>
      <c r="E501" s="1389"/>
      <c r="F501" s="1389"/>
      <c r="G501" s="1389"/>
      <c r="H501" s="1390"/>
      <c r="I501" s="42" t="s">
        <v>405</v>
      </c>
      <c r="J501" s="42"/>
      <c r="K501" s="42"/>
      <c r="L501" s="42"/>
      <c r="M501" s="42"/>
      <c r="N501" s="42"/>
      <c r="O501" s="42"/>
      <c r="P501" s="42"/>
      <c r="Q501" s="42"/>
      <c r="R501" s="42"/>
      <c r="S501" s="42"/>
      <c r="T501" s="42"/>
      <c r="U501" s="42"/>
      <c r="V501" s="42"/>
      <c r="W501" s="42"/>
      <c r="AC501" s="1396">
        <v>9</v>
      </c>
      <c r="AD501" s="1397"/>
      <c r="AE501" s="1397"/>
      <c r="AF501" s="1397"/>
      <c r="AG501" s="13" t="s">
        <v>402</v>
      </c>
      <c r="AH501" s="1418">
        <v>2020</v>
      </c>
      <c r="AI501" s="1418"/>
      <c r="AJ501" s="1418"/>
      <c r="AK501" s="1419"/>
      <c r="AZ501" s="3"/>
      <c r="BA501" s="3"/>
      <c r="BB501" s="3"/>
      <c r="BC501" s="3"/>
      <c r="BD501" s="3"/>
      <c r="BE501" s="3"/>
      <c r="BF501" s="3"/>
      <c r="BG501" s="3"/>
      <c r="BH501" s="3"/>
      <c r="BI501" s="3"/>
      <c r="BJ501" s="3"/>
      <c r="BK501" s="3"/>
      <c r="BL501" s="3"/>
      <c r="BM501" s="3"/>
      <c r="BN501" s="3"/>
    </row>
    <row r="502" spans="1:66" ht="12.95" customHeight="1">
      <c r="B502" s="1391"/>
      <c r="C502" s="1392"/>
      <c r="D502" s="1392"/>
      <c r="E502" s="1392"/>
      <c r="F502" s="1392"/>
      <c r="G502" s="1392"/>
      <c r="H502" s="1393"/>
      <c r="I502" s="48" t="s">
        <v>406</v>
      </c>
      <c r="J502" s="48"/>
      <c r="K502" s="48"/>
      <c r="L502" s="48"/>
      <c r="M502" s="48"/>
      <c r="N502" s="48"/>
      <c r="O502" s="48"/>
      <c r="P502" s="48"/>
      <c r="Q502" s="48"/>
      <c r="R502" s="48"/>
      <c r="S502" s="48"/>
      <c r="T502" s="48"/>
      <c r="U502" s="48"/>
      <c r="V502" s="48"/>
      <c r="W502" s="48"/>
      <c r="X502" s="48"/>
      <c r="Y502" s="48"/>
      <c r="Z502" s="48"/>
      <c r="AA502" s="48"/>
      <c r="AB502" s="48"/>
      <c r="AC502" s="1396">
        <v>6</v>
      </c>
      <c r="AD502" s="1397"/>
      <c r="AE502" s="1397"/>
      <c r="AF502" s="1397"/>
      <c r="AG502" s="38" t="s">
        <v>402</v>
      </c>
      <c r="AH502" s="1418">
        <v>2025</v>
      </c>
      <c r="AI502" s="1418"/>
      <c r="AJ502" s="1418"/>
      <c r="AK502" s="1419"/>
      <c r="AZ502" s="3"/>
      <c r="BA502" s="3"/>
      <c r="BB502" s="3"/>
      <c r="BC502" s="3"/>
      <c r="BD502" s="3"/>
      <c r="BE502" s="3"/>
      <c r="BF502" s="3"/>
      <c r="BG502" s="3"/>
      <c r="BH502" s="3"/>
      <c r="BI502" s="3"/>
      <c r="BJ502" s="3"/>
      <c r="BK502" s="3"/>
      <c r="BL502" s="3"/>
      <c r="BM502" s="3"/>
      <c r="BN502" s="3"/>
    </row>
    <row r="503" spans="1:66" ht="12.95" customHeight="1">
      <c r="B503" s="1388" t="s">
        <v>407</v>
      </c>
      <c r="C503" s="1389"/>
      <c r="D503" s="1389"/>
      <c r="E503" s="1389"/>
      <c r="F503" s="1389"/>
      <c r="G503" s="1389"/>
      <c r="H503" s="1390"/>
      <c r="I503" s="42" t="s">
        <v>408</v>
      </c>
      <c r="J503" s="42"/>
      <c r="K503" s="42"/>
      <c r="L503" s="42"/>
      <c r="M503" s="42"/>
      <c r="N503" s="42"/>
      <c r="O503" s="42"/>
      <c r="P503" s="42"/>
      <c r="Q503" s="42"/>
      <c r="R503" s="42"/>
      <c r="S503" s="42"/>
      <c r="T503" s="42"/>
      <c r="U503" s="42"/>
      <c r="V503" s="42"/>
      <c r="W503" s="42"/>
      <c r="AC503" s="1396" t="s">
        <v>591</v>
      </c>
      <c r="AD503" s="1397"/>
      <c r="AE503" s="1397"/>
      <c r="AF503" s="1397"/>
      <c r="AG503" s="13" t="s">
        <v>402</v>
      </c>
      <c r="AH503" s="1418"/>
      <c r="AI503" s="1418"/>
      <c r="AJ503" s="1418"/>
      <c r="AK503" s="1419"/>
      <c r="AZ503" s="3"/>
      <c r="BA503" s="3"/>
      <c r="BB503" s="3"/>
      <c r="BC503" s="3"/>
      <c r="BD503" s="3"/>
      <c r="BE503" s="3"/>
      <c r="BF503" s="3"/>
      <c r="BG503" s="3"/>
      <c r="BH503" s="3"/>
      <c r="BI503" s="3"/>
      <c r="BJ503" s="3"/>
      <c r="BK503" s="3"/>
      <c r="BL503" s="3"/>
      <c r="BM503" s="3"/>
      <c r="BN503" s="3"/>
    </row>
    <row r="504" spans="1:66" ht="12.95" customHeight="1">
      <c r="B504" s="1391"/>
      <c r="C504" s="1392"/>
      <c r="D504" s="1392"/>
      <c r="E504" s="1392"/>
      <c r="F504" s="1392"/>
      <c r="G504" s="1392"/>
      <c r="H504" s="1393"/>
      <c r="I504" t="s">
        <v>409</v>
      </c>
      <c r="AC504" s="1396" t="s">
        <v>591</v>
      </c>
      <c r="AD504" s="1397"/>
      <c r="AE504" s="1397"/>
      <c r="AF504" s="1397"/>
      <c r="AG504" s="13" t="s">
        <v>402</v>
      </c>
      <c r="AH504" s="1418"/>
      <c r="AI504" s="1418"/>
      <c r="AJ504" s="1418"/>
      <c r="AK504" s="1419"/>
      <c r="AZ504" s="3"/>
      <c r="BA504" s="3"/>
      <c r="BB504" s="3"/>
      <c r="BC504" s="3"/>
      <c r="BD504" s="3"/>
      <c r="BE504" s="3"/>
      <c r="BF504" s="3"/>
      <c r="BG504" s="3"/>
      <c r="BH504" s="3"/>
      <c r="BI504" s="3"/>
      <c r="BJ504" s="3"/>
      <c r="BK504" s="3"/>
      <c r="BL504" s="3"/>
      <c r="BM504" s="3"/>
      <c r="BN504" s="3"/>
    </row>
    <row r="505" spans="1:66" ht="12.95" customHeight="1">
      <c r="B505" s="1391"/>
      <c r="C505" s="1392"/>
      <c r="D505" s="1392"/>
      <c r="E505" s="1392"/>
      <c r="F505" s="1392"/>
      <c r="G505" s="1392"/>
      <c r="H505" s="1393"/>
      <c r="I505" t="s">
        <v>410</v>
      </c>
      <c r="AC505" s="1396" t="s">
        <v>591</v>
      </c>
      <c r="AD505" s="1397"/>
      <c r="AE505" s="1397"/>
      <c r="AF505" s="1397"/>
      <c r="AG505" s="13" t="s">
        <v>402</v>
      </c>
      <c r="AH505" s="1418"/>
      <c r="AI505" s="1418"/>
      <c r="AJ505" s="1418"/>
      <c r="AK505" s="1419"/>
      <c r="AZ505" s="3"/>
      <c r="BA505" s="3"/>
      <c r="BB505" s="3"/>
      <c r="BC505" s="3"/>
      <c r="BD505" s="3"/>
      <c r="BE505" s="3"/>
      <c r="BF505" s="3"/>
      <c r="BG505" s="3"/>
      <c r="BH505" s="3"/>
      <c r="BI505" s="3"/>
      <c r="BJ505" s="3"/>
      <c r="BK505" s="3"/>
      <c r="BL505" s="3"/>
      <c r="BM505" s="3"/>
      <c r="BN505" s="3"/>
    </row>
    <row r="506" spans="1:66" ht="12.95" customHeight="1">
      <c r="B506" s="1391"/>
      <c r="C506" s="1392"/>
      <c r="D506" s="1392"/>
      <c r="E506" s="1392"/>
      <c r="F506" s="1392"/>
      <c r="G506" s="1392"/>
      <c r="H506" s="1393"/>
      <c r="I506" t="s">
        <v>411</v>
      </c>
      <c r="AC506" s="1396" t="s">
        <v>591</v>
      </c>
      <c r="AD506" s="1397"/>
      <c r="AE506" s="1397"/>
      <c r="AF506" s="1397"/>
      <c r="AG506" s="13" t="s">
        <v>402</v>
      </c>
      <c r="AH506" s="1418"/>
      <c r="AI506" s="1418"/>
      <c r="AJ506" s="1418"/>
      <c r="AK506" s="1419"/>
      <c r="AZ506" s="3"/>
      <c r="BA506" s="3"/>
      <c r="BB506" s="3"/>
      <c r="BC506" s="3"/>
      <c r="BD506" s="3"/>
      <c r="BE506" s="3"/>
      <c r="BF506" s="3"/>
      <c r="BG506" s="3"/>
      <c r="BH506" s="3"/>
      <c r="BI506" s="3"/>
      <c r="BJ506" s="3"/>
      <c r="BK506" s="3"/>
      <c r="BL506" s="3"/>
      <c r="BM506" s="3"/>
      <c r="BN506" s="3"/>
    </row>
    <row r="507" spans="1:66" ht="12.95" customHeight="1">
      <c r="B507" s="1391"/>
      <c r="C507" s="1392"/>
      <c r="D507" s="1392"/>
      <c r="E507" s="1392"/>
      <c r="F507" s="1392"/>
      <c r="G507" s="1392"/>
      <c r="H507" s="1393"/>
      <c r="I507" s="3" t="s">
        <v>412</v>
      </c>
      <c r="AC507" s="1370">
        <v>2</v>
      </c>
      <c r="AD507" s="1371"/>
      <c r="AE507" s="1371"/>
      <c r="AF507" s="1371"/>
      <c r="AG507" s="13" t="s">
        <v>402</v>
      </c>
      <c r="AH507" s="1418">
        <v>2025</v>
      </c>
      <c r="AI507" s="1418"/>
      <c r="AJ507" s="1418"/>
      <c r="AK507" s="1419"/>
      <c r="AZ507" s="3"/>
      <c r="BA507" s="3"/>
      <c r="BB507" s="3"/>
      <c r="BC507" s="3"/>
      <c r="BD507" s="3"/>
      <c r="BE507" s="3"/>
      <c r="BF507" s="3"/>
      <c r="BG507" s="3"/>
      <c r="BH507" s="3"/>
      <c r="BI507" s="3"/>
      <c r="BJ507" s="3"/>
      <c r="BK507" s="3"/>
      <c r="BL507" s="3"/>
      <c r="BM507" s="3"/>
      <c r="BN507" s="3"/>
    </row>
    <row r="508" spans="1:66" ht="12.95" customHeight="1">
      <c r="B508" s="1391"/>
      <c r="C508" s="1392"/>
      <c r="D508" s="1392"/>
      <c r="E508" s="1392"/>
      <c r="F508" s="1392"/>
      <c r="G508" s="1392"/>
      <c r="H508" s="1393"/>
      <c r="I508" s="897" t="s">
        <v>169</v>
      </c>
      <c r="J508" s="48"/>
      <c r="K508" s="48"/>
      <c r="L508" s="1394" t="s">
        <v>333</v>
      </c>
      <c r="M508" s="1395"/>
      <c r="N508" s="1395"/>
      <c r="O508" s="1395"/>
      <c r="P508" s="1395"/>
      <c r="Q508" s="1395"/>
      <c r="R508" s="1395"/>
      <c r="S508" s="1395"/>
      <c r="T508" s="1395"/>
      <c r="U508" s="1395"/>
      <c r="V508" s="1395"/>
      <c r="W508" s="1395"/>
      <c r="X508" s="1395"/>
      <c r="Y508" s="1395"/>
      <c r="Z508" s="1395"/>
      <c r="AA508" s="1395"/>
      <c r="AB508" s="1600"/>
      <c r="AC508" s="1396" t="s">
        <v>591</v>
      </c>
      <c r="AD508" s="1397"/>
      <c r="AE508" s="1397"/>
      <c r="AF508" s="1397"/>
      <c r="AG508" s="38" t="s">
        <v>402</v>
      </c>
      <c r="AH508" s="1418"/>
      <c r="AI508" s="1418"/>
      <c r="AJ508" s="1418"/>
      <c r="AK508" s="1419"/>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408" t="s">
        <v>545</v>
      </c>
      <c r="AD509" s="1408"/>
      <c r="AE509" s="1408"/>
      <c r="AF509" s="1408"/>
      <c r="AG509" s="13"/>
      <c r="AH509" s="1526"/>
      <c r="AI509" s="1526"/>
      <c r="AJ509" s="1526"/>
      <c r="AK509" s="1527"/>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525" t="s">
        <v>2735</v>
      </c>
      <c r="AD510" s="1371"/>
      <c r="AE510" s="1371"/>
      <c r="AF510" s="1372"/>
      <c r="AG510" s="13"/>
      <c r="AH510" s="1526"/>
      <c r="AI510" s="1526"/>
      <c r="AJ510" s="1526"/>
      <c r="AK510" s="1527"/>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534">
        <v>0.95</v>
      </c>
      <c r="AD512" s="1535"/>
      <c r="AE512" s="1535"/>
      <c r="AF512" s="1536"/>
      <c r="AG512" s="38"/>
      <c r="AH512" s="1594"/>
      <c r="AI512" s="1594"/>
      <c r="AJ512" s="1594"/>
      <c r="AK512" s="1595"/>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0" t="s">
        <v>401</v>
      </c>
      <c r="AD513" s="1455"/>
      <c r="AE513" s="1455"/>
      <c r="AF513" s="1455"/>
      <c r="AG513" s="38" t="s">
        <v>402</v>
      </c>
      <c r="AH513" s="1455" t="s">
        <v>403</v>
      </c>
      <c r="AI513" s="1455"/>
      <c r="AJ513" s="1455"/>
      <c r="AK513" s="1456"/>
      <c r="AZ513" s="3"/>
      <c r="BA513" s="3"/>
      <c r="BB513" s="3"/>
      <c r="BC513" s="3"/>
      <c r="BD513" s="3"/>
      <c r="BE513" s="3"/>
      <c r="BF513" s="3"/>
      <c r="BG513" s="3"/>
      <c r="BH513" s="3"/>
      <c r="BI513" s="3"/>
      <c r="BJ513" s="3"/>
      <c r="BK513" s="3"/>
      <c r="BL513" s="3"/>
      <c r="BM513" s="3"/>
      <c r="BN513" s="3" t="s">
        <v>2106</v>
      </c>
    </row>
    <row r="514" spans="2:66" ht="12.95" customHeight="1">
      <c r="B514" s="1388" t="s">
        <v>413</v>
      </c>
      <c r="C514" s="1389"/>
      <c r="D514" s="1389"/>
      <c r="E514" s="1389"/>
      <c r="F514" s="1389"/>
      <c r="G514" s="1389"/>
      <c r="H514" s="1390"/>
      <c r="I514" s="42" t="s">
        <v>414</v>
      </c>
      <c r="J514" s="42"/>
      <c r="K514" s="42"/>
      <c r="L514" s="42"/>
      <c r="M514" s="42"/>
      <c r="N514" s="42"/>
      <c r="O514" s="42"/>
      <c r="P514" s="42"/>
      <c r="Q514" s="42"/>
      <c r="R514" s="42"/>
      <c r="S514" s="42"/>
      <c r="T514" s="42"/>
      <c r="U514" s="42"/>
      <c r="V514" s="42"/>
      <c r="W514" s="42"/>
      <c r="AC514" s="1396">
        <v>1</v>
      </c>
      <c r="AD514" s="1397"/>
      <c r="AE514" s="1397"/>
      <c r="AF514" s="1397"/>
      <c r="AG514" s="13" t="s">
        <v>402</v>
      </c>
      <c r="AH514" s="1418">
        <v>2025</v>
      </c>
      <c r="AI514" s="1418"/>
      <c r="AJ514" s="1418"/>
      <c r="AK514" s="1419"/>
      <c r="AZ514" s="3"/>
      <c r="BA514" s="3"/>
      <c r="BB514" s="3"/>
      <c r="BC514" s="3"/>
      <c r="BD514" s="3"/>
      <c r="BE514" s="3"/>
      <c r="BF514" s="3"/>
      <c r="BG514" s="3"/>
      <c r="BH514" s="3"/>
      <c r="BI514" s="3"/>
      <c r="BJ514" s="3"/>
      <c r="BK514" s="3"/>
      <c r="BL514" s="3"/>
      <c r="BM514" s="3"/>
      <c r="BN514" s="3" t="s">
        <v>2107</v>
      </c>
    </row>
    <row r="515" spans="2:66" ht="12.95" customHeight="1">
      <c r="B515" s="1391"/>
      <c r="C515" s="1392"/>
      <c r="D515" s="1392"/>
      <c r="E515" s="1392"/>
      <c r="F515" s="1392"/>
      <c r="G515" s="1392"/>
      <c r="H515" s="1393"/>
      <c r="I515" t="s">
        <v>415</v>
      </c>
      <c r="AC515" s="1396">
        <v>1</v>
      </c>
      <c r="AD515" s="1397"/>
      <c r="AE515" s="1397"/>
      <c r="AF515" s="1397"/>
      <c r="AG515" s="13" t="s">
        <v>402</v>
      </c>
      <c r="AH515" s="1418">
        <v>2025</v>
      </c>
      <c r="AI515" s="1418"/>
      <c r="AJ515" s="1418"/>
      <c r="AK515" s="1419"/>
      <c r="AZ515" s="3"/>
      <c r="BA515" s="3"/>
      <c r="BB515" s="3"/>
      <c r="BC515" s="3"/>
      <c r="BD515" s="3"/>
      <c r="BE515" s="3"/>
      <c r="BF515" s="3"/>
      <c r="BG515" s="3"/>
      <c r="BH515" s="3"/>
      <c r="BI515" s="3"/>
      <c r="BJ515" s="3"/>
      <c r="BK515" s="3"/>
      <c r="BL515" s="3"/>
      <c r="BM515" s="3"/>
      <c r="BN515" s="3" t="s">
        <v>2108</v>
      </c>
    </row>
    <row r="516" spans="2:66" ht="12.95" customHeight="1">
      <c r="B516" s="1391"/>
      <c r="C516" s="1392"/>
      <c r="D516" s="1392"/>
      <c r="E516" s="1392"/>
      <c r="F516" s="1392"/>
      <c r="G516" s="1392"/>
      <c r="H516" s="1393"/>
      <c r="I516" s="48" t="s">
        <v>416</v>
      </c>
      <c r="J516" s="48"/>
      <c r="K516" s="48"/>
      <c r="L516" s="48"/>
      <c r="M516" s="48"/>
      <c r="N516" s="48"/>
      <c r="O516" s="48"/>
      <c r="P516" s="48"/>
      <c r="Q516" s="48"/>
      <c r="R516" s="48"/>
      <c r="S516" s="48"/>
      <c r="T516" s="48"/>
      <c r="U516" s="48"/>
      <c r="V516" s="48"/>
      <c r="W516" s="48"/>
      <c r="X516" s="48"/>
      <c r="Y516" s="48"/>
      <c r="Z516" s="48"/>
      <c r="AA516" s="48"/>
      <c r="AB516" s="48"/>
      <c r="AC516" s="1396">
        <v>9</v>
      </c>
      <c r="AD516" s="1397"/>
      <c r="AE516" s="1397"/>
      <c r="AF516" s="1397"/>
      <c r="AG516" s="38" t="s">
        <v>402</v>
      </c>
      <c r="AH516" s="1418">
        <v>2025</v>
      </c>
      <c r="AI516" s="1418"/>
      <c r="AJ516" s="1418"/>
      <c r="AK516" s="1419"/>
      <c r="AZ516" s="3"/>
      <c r="BA516" s="3"/>
      <c r="BB516" s="3"/>
      <c r="BC516" s="3"/>
      <c r="BD516" s="3"/>
      <c r="BE516" s="3"/>
      <c r="BF516" s="3"/>
      <c r="BG516" s="3"/>
      <c r="BH516" s="3"/>
      <c r="BI516" s="3"/>
      <c r="BJ516" s="3"/>
      <c r="BK516" s="3"/>
      <c r="BL516" s="3"/>
      <c r="BM516" s="3"/>
      <c r="BN516" s="3" t="s">
        <v>2109</v>
      </c>
    </row>
    <row r="517" spans="2:66" ht="12.95" customHeight="1">
      <c r="B517" s="1388" t="s">
        <v>417</v>
      </c>
      <c r="C517" s="1389"/>
      <c r="D517" s="1389"/>
      <c r="E517" s="1389"/>
      <c r="F517" s="1389"/>
      <c r="G517" s="1389"/>
      <c r="H517" s="1390"/>
      <c r="I517" s="42" t="s">
        <v>414</v>
      </c>
      <c r="J517" s="42"/>
      <c r="K517" s="42"/>
      <c r="L517" s="42"/>
      <c r="M517" s="42"/>
      <c r="N517" s="42"/>
      <c r="O517" s="42"/>
      <c r="P517" s="42"/>
      <c r="Q517" s="42"/>
      <c r="R517" s="42"/>
      <c r="S517" s="42"/>
      <c r="T517" s="42"/>
      <c r="U517" s="42"/>
      <c r="V517" s="42"/>
      <c r="W517" s="42"/>
      <c r="X517" s="42"/>
      <c r="Y517" s="42"/>
      <c r="Z517" s="42"/>
      <c r="AA517" s="42"/>
      <c r="AB517" s="42"/>
      <c r="AC517" s="1370">
        <v>11</v>
      </c>
      <c r="AD517" s="1371"/>
      <c r="AE517" s="1371"/>
      <c r="AF517" s="1371"/>
      <c r="AG517" s="129" t="s">
        <v>402</v>
      </c>
      <c r="AH517" s="1418">
        <v>2024</v>
      </c>
      <c r="AI517" s="1418"/>
      <c r="AJ517" s="1418"/>
      <c r="AK517" s="1419"/>
      <c r="AZ517" s="3"/>
      <c r="BB517" s="3"/>
      <c r="BC517" s="3"/>
      <c r="BD517" s="3"/>
      <c r="BE517" s="3"/>
      <c r="BF517" s="3"/>
      <c r="BG517" s="3"/>
      <c r="BH517" s="3"/>
      <c r="BI517" s="3"/>
      <c r="BJ517" s="3"/>
      <c r="BK517" s="3"/>
      <c r="BL517" s="3"/>
      <c r="BM517" s="3"/>
      <c r="BN517" s="3" t="s">
        <v>2110</v>
      </c>
    </row>
    <row r="518" spans="2:66" ht="12.95" customHeight="1">
      <c r="B518" s="1391"/>
      <c r="C518" s="1392"/>
      <c r="D518" s="1392"/>
      <c r="E518" s="1392"/>
      <c r="F518" s="1392"/>
      <c r="G518" s="1392"/>
      <c r="H518" s="1393"/>
      <c r="I518" t="s">
        <v>415</v>
      </c>
      <c r="AC518" s="1396">
        <v>1</v>
      </c>
      <c r="AD518" s="1397"/>
      <c r="AE518" s="1397"/>
      <c r="AF518" s="1397"/>
      <c r="AG518" s="13" t="s">
        <v>402</v>
      </c>
      <c r="AH518" s="1418">
        <v>2025</v>
      </c>
      <c r="AI518" s="1418"/>
      <c r="AJ518" s="1418"/>
      <c r="AK518" s="1419"/>
      <c r="BB518" s="3"/>
      <c r="BC518" s="3"/>
      <c r="BD518" s="3"/>
      <c r="BE518" s="3"/>
      <c r="BF518" s="3"/>
      <c r="BG518" s="3"/>
      <c r="BH518" s="3"/>
      <c r="BI518" s="3"/>
      <c r="BJ518" s="3"/>
      <c r="BK518" s="3"/>
      <c r="BL518" s="3"/>
      <c r="BM518" s="3"/>
      <c r="BN518" s="3" t="s">
        <v>2111</v>
      </c>
    </row>
    <row r="519" spans="2:66" ht="12.95" customHeight="1">
      <c r="B519" s="1443"/>
      <c r="C519" s="1444"/>
      <c r="D519" s="1444"/>
      <c r="E519" s="1444"/>
      <c r="F519" s="1444"/>
      <c r="G519" s="1444"/>
      <c r="H519" s="1445"/>
      <c r="I519" s="48" t="s">
        <v>416</v>
      </c>
      <c r="J519" s="48"/>
      <c r="K519" s="48"/>
      <c r="L519" s="48"/>
      <c r="M519" s="48"/>
      <c r="N519" s="48"/>
      <c r="O519" s="48"/>
      <c r="P519" s="48"/>
      <c r="Q519" s="48"/>
      <c r="R519" s="48"/>
      <c r="S519" s="48"/>
      <c r="T519" s="48"/>
      <c r="U519" s="48"/>
      <c r="V519" s="48"/>
      <c r="W519" s="48"/>
      <c r="X519" s="48"/>
      <c r="Y519" s="48"/>
      <c r="Z519" s="48"/>
      <c r="AA519" s="48"/>
      <c r="AB519" s="48"/>
      <c r="AC519" s="1396">
        <v>9</v>
      </c>
      <c r="AD519" s="1397"/>
      <c r="AE519" s="1397"/>
      <c r="AF519" s="1397"/>
      <c r="AG519" s="38" t="s">
        <v>402</v>
      </c>
      <c r="AH519" s="1418">
        <v>2027</v>
      </c>
      <c r="AI519" s="1418"/>
      <c r="AJ519" s="1418"/>
      <c r="AK519" s="1419"/>
      <c r="BB519" s="3"/>
      <c r="BC519" s="3"/>
      <c r="BD519" s="3"/>
      <c r="BE519" s="3"/>
      <c r="BF519" s="3"/>
      <c r="BG519" s="3"/>
      <c r="BH519" s="3"/>
      <c r="BI519" s="3"/>
      <c r="BJ519" s="3"/>
      <c r="BK519" s="3"/>
      <c r="BL519" s="3"/>
      <c r="BM519" s="3"/>
      <c r="BN519" s="3" t="s">
        <v>2112</v>
      </c>
    </row>
    <row r="520" spans="2:66" ht="12.95" customHeight="1">
      <c r="B520" s="1388" t="s">
        <v>418</v>
      </c>
      <c r="C520" s="1389"/>
      <c r="D520" s="1389"/>
      <c r="E520" s="1389"/>
      <c r="F520" s="1389"/>
      <c r="G520" s="1389"/>
      <c r="H520" s="1390"/>
      <c r="I520" s="41" t="s">
        <v>419</v>
      </c>
      <c r="J520" s="42"/>
      <c r="K520" s="42"/>
      <c r="L520" s="42"/>
      <c r="M520" s="42"/>
      <c r="N520" s="42"/>
      <c r="O520" s="1394" t="s">
        <v>2696</v>
      </c>
      <c r="P520" s="1395"/>
      <c r="Q520" s="1395"/>
      <c r="R520" s="1395"/>
      <c r="S520" s="1395"/>
      <c r="T520" s="1395"/>
      <c r="U520" s="1395"/>
      <c r="V520" s="1395"/>
      <c r="W520" s="1395"/>
      <c r="X520" s="1395"/>
      <c r="Y520" s="1395"/>
      <c r="Z520" s="1395"/>
      <c r="AA520" s="1395"/>
      <c r="AB520" s="58"/>
      <c r="AC520" s="1370" t="s">
        <v>591</v>
      </c>
      <c r="AD520" s="1371"/>
      <c r="AE520" s="1371"/>
      <c r="AF520" s="1371"/>
      <c r="AG520" s="129" t="s">
        <v>402</v>
      </c>
      <c r="AH520" s="1418"/>
      <c r="AI520" s="1418"/>
      <c r="AJ520" s="1418"/>
      <c r="AK520" s="1419"/>
      <c r="AZ520" s="3"/>
      <c r="BB520" s="3"/>
      <c r="BC520" s="3"/>
      <c r="BD520" s="3"/>
      <c r="BE520" s="3"/>
      <c r="BF520" s="3"/>
      <c r="BG520" s="3"/>
      <c r="BH520" s="3"/>
      <c r="BI520" s="3"/>
      <c r="BJ520" s="3"/>
      <c r="BK520" s="3"/>
      <c r="BL520" s="3"/>
      <c r="BM520" s="3"/>
      <c r="BN520" s="3" t="s">
        <v>2113</v>
      </c>
    </row>
    <row r="521" spans="2:66" ht="12.95" customHeight="1">
      <c r="B521" s="1391"/>
      <c r="C521" s="1392"/>
      <c r="D521" s="1392"/>
      <c r="E521" s="1392"/>
      <c r="F521" s="1392"/>
      <c r="G521" s="1392"/>
      <c r="H521" s="1393"/>
      <c r="I521" s="114" t="s">
        <v>420</v>
      </c>
      <c r="AB521" s="65"/>
      <c r="AC521" s="1396">
        <v>3</v>
      </c>
      <c r="AD521" s="1397"/>
      <c r="AE521" s="1397"/>
      <c r="AF521" s="1397"/>
      <c r="AG521" s="13" t="s">
        <v>402</v>
      </c>
      <c r="AH521" s="1418">
        <v>2021</v>
      </c>
      <c r="AI521" s="1418"/>
      <c r="AJ521" s="1418"/>
      <c r="AK521" s="1419"/>
      <c r="AZ521" s="3"/>
      <c r="BB521" s="3"/>
      <c r="BC521" s="3"/>
      <c r="BD521" s="3"/>
      <c r="BE521" s="3"/>
      <c r="BF521" s="3"/>
      <c r="BG521" s="3"/>
      <c r="BH521" s="3"/>
      <c r="BI521" s="3"/>
      <c r="BJ521" s="3"/>
      <c r="BK521" s="3"/>
      <c r="BL521" s="3"/>
      <c r="BM521" s="3"/>
      <c r="BN521" s="3" t="s">
        <v>2114</v>
      </c>
    </row>
    <row r="522" spans="2:66" ht="12.95" customHeight="1">
      <c r="B522" s="1391"/>
      <c r="C522" s="1392"/>
      <c r="D522" s="1392"/>
      <c r="E522" s="1392"/>
      <c r="F522" s="1392"/>
      <c r="G522" s="1392"/>
      <c r="H522" s="1393"/>
      <c r="I522" s="47" t="s">
        <v>421</v>
      </c>
      <c r="J522" s="48"/>
      <c r="K522" s="48"/>
      <c r="L522" s="48"/>
      <c r="M522" s="48"/>
      <c r="N522" s="48"/>
      <c r="O522" s="48"/>
      <c r="P522" s="48"/>
      <c r="Q522" s="48"/>
      <c r="R522" s="48"/>
      <c r="S522" s="48"/>
      <c r="T522" s="48"/>
      <c r="U522" s="48"/>
      <c r="V522" s="48"/>
      <c r="W522" s="48"/>
      <c r="X522" s="48"/>
      <c r="Y522" s="48"/>
      <c r="Z522" s="48"/>
      <c r="AA522" s="48"/>
      <c r="AB522" s="49"/>
      <c r="AC522" s="1396">
        <v>3</v>
      </c>
      <c r="AD522" s="1397"/>
      <c r="AE522" s="1397"/>
      <c r="AF522" s="1397"/>
      <c r="AG522" s="38" t="s">
        <v>402</v>
      </c>
      <c r="AH522" s="1418">
        <v>2021</v>
      </c>
      <c r="AI522" s="1418"/>
      <c r="AJ522" s="1418"/>
      <c r="AK522" s="1419"/>
      <c r="AZ522" s="3"/>
      <c r="BA522" s="3"/>
      <c r="BB522" s="3"/>
      <c r="BC522" s="3"/>
      <c r="BD522" s="3"/>
      <c r="BE522" s="3"/>
      <c r="BF522" s="3"/>
      <c r="BG522" s="3"/>
      <c r="BH522" s="3"/>
      <c r="BI522" s="3"/>
      <c r="BJ522" s="3"/>
      <c r="BK522" s="3"/>
      <c r="BL522" s="3"/>
      <c r="BM522" s="3"/>
      <c r="BN522" s="3" t="s">
        <v>2115</v>
      </c>
    </row>
    <row r="523" spans="2:66" ht="12.95" customHeight="1">
      <c r="B523" s="1391"/>
      <c r="C523" s="1392"/>
      <c r="D523" s="1392"/>
      <c r="E523" s="1392"/>
      <c r="F523" s="1392"/>
      <c r="G523" s="1392"/>
      <c r="H523" s="1393"/>
      <c r="I523" s="42" t="s">
        <v>422</v>
      </c>
      <c r="J523" s="42"/>
      <c r="K523" s="42"/>
      <c r="L523" s="42"/>
      <c r="M523" s="42"/>
      <c r="N523" s="42"/>
      <c r="O523" s="1394" t="s">
        <v>2697</v>
      </c>
      <c r="P523" s="1395"/>
      <c r="Q523" s="1395"/>
      <c r="R523" s="1395"/>
      <c r="S523" s="1395"/>
      <c r="T523" s="1395"/>
      <c r="U523" s="1395"/>
      <c r="V523" s="1395"/>
      <c r="W523" s="1395"/>
      <c r="X523" s="1395"/>
      <c r="Y523" s="1395"/>
      <c r="Z523" s="1395"/>
      <c r="AA523" s="1395"/>
      <c r="AC523" s="1396" t="s">
        <v>591</v>
      </c>
      <c r="AD523" s="1397"/>
      <c r="AE523" s="1397"/>
      <c r="AF523" s="1397"/>
      <c r="AG523" s="13" t="s">
        <v>402</v>
      </c>
      <c r="AH523" s="1418"/>
      <c r="AI523" s="1418"/>
      <c r="AJ523" s="1418"/>
      <c r="AK523" s="1419"/>
      <c r="AZ523" s="3"/>
      <c r="BA523" s="3"/>
      <c r="BB523" s="3"/>
      <c r="BC523" s="3"/>
      <c r="BD523" s="3"/>
      <c r="BE523" s="3"/>
      <c r="BF523" s="3"/>
      <c r="BG523" s="3"/>
      <c r="BH523" s="3"/>
      <c r="BI523" s="3"/>
      <c r="BJ523" s="3"/>
      <c r="BK523" s="3"/>
      <c r="BL523" s="3"/>
      <c r="BM523" s="3"/>
      <c r="BN523" s="3" t="s">
        <v>2116</v>
      </c>
    </row>
    <row r="524" spans="2:66" ht="12.95" customHeight="1">
      <c r="B524" s="1391"/>
      <c r="C524" s="1392"/>
      <c r="D524" s="1392"/>
      <c r="E524" s="1392"/>
      <c r="F524" s="1392"/>
      <c r="G524" s="1392"/>
      <c r="H524" s="1393"/>
      <c r="I524" t="s">
        <v>420</v>
      </c>
      <c r="AC524" s="1396">
        <v>1</v>
      </c>
      <c r="AD524" s="1397"/>
      <c r="AE524" s="1397"/>
      <c r="AF524" s="1397"/>
      <c r="AG524" s="13" t="s">
        <v>402</v>
      </c>
      <c r="AH524" s="1418">
        <v>2023</v>
      </c>
      <c r="AI524" s="1418"/>
      <c r="AJ524" s="1418"/>
      <c r="AK524" s="1419"/>
      <c r="AZ524" s="3"/>
      <c r="BA524" s="3"/>
      <c r="BB524" s="3"/>
      <c r="BC524" s="3"/>
      <c r="BD524" s="3"/>
      <c r="BE524" s="3"/>
      <c r="BF524" s="3"/>
      <c r="BG524" s="3"/>
      <c r="BH524" s="3"/>
      <c r="BI524" s="3"/>
      <c r="BJ524" s="3"/>
      <c r="BK524" s="3"/>
      <c r="BL524" s="3"/>
      <c r="BM524" s="3"/>
      <c r="BN524" s="3" t="s">
        <v>2117</v>
      </c>
    </row>
    <row r="525" spans="2:66" ht="12.95" customHeight="1">
      <c r="B525" s="1391"/>
      <c r="C525" s="1392"/>
      <c r="D525" s="1392"/>
      <c r="E525" s="1392"/>
      <c r="F525" s="1392"/>
      <c r="G525" s="1392"/>
      <c r="H525" s="1393"/>
      <c r="I525" s="48" t="s">
        <v>421</v>
      </c>
      <c r="J525" s="48"/>
      <c r="K525" s="48"/>
      <c r="L525" s="48"/>
      <c r="M525" s="48"/>
      <c r="N525" s="48"/>
      <c r="O525" s="48"/>
      <c r="P525" s="48"/>
      <c r="Q525" s="48"/>
      <c r="R525" s="48"/>
      <c r="S525" s="48"/>
      <c r="T525" s="48"/>
      <c r="U525" s="48"/>
      <c r="V525" s="48"/>
      <c r="W525" s="48"/>
      <c r="X525" s="48"/>
      <c r="Y525" s="48"/>
      <c r="Z525" s="48"/>
      <c r="AA525" s="48"/>
      <c r="AB525" s="48"/>
      <c r="AC525" s="1396">
        <v>10</v>
      </c>
      <c r="AD525" s="1397"/>
      <c r="AE525" s="1397"/>
      <c r="AF525" s="1397"/>
      <c r="AG525" s="38" t="s">
        <v>402</v>
      </c>
      <c r="AH525" s="1418">
        <v>2023</v>
      </c>
      <c r="AI525" s="1418"/>
      <c r="AJ525" s="1418"/>
      <c r="AK525" s="1419"/>
      <c r="AZ525" s="3"/>
      <c r="BA525" s="3"/>
      <c r="BB525" s="3"/>
      <c r="BC525" s="3"/>
      <c r="BD525" s="3"/>
      <c r="BE525" s="3"/>
      <c r="BF525" s="3"/>
      <c r="BG525" s="3"/>
      <c r="BH525" s="3"/>
      <c r="BI525" s="3"/>
      <c r="BJ525" s="3"/>
      <c r="BK525" s="3"/>
      <c r="BL525" s="3"/>
      <c r="BM525" s="3"/>
      <c r="BN525" s="3" t="s">
        <v>2118</v>
      </c>
    </row>
    <row r="526" spans="2:66" ht="12.95" customHeight="1">
      <c r="B526" s="1391"/>
      <c r="C526" s="1392"/>
      <c r="D526" s="1392"/>
      <c r="E526" s="1392"/>
      <c r="F526" s="1392"/>
      <c r="G526" s="1392"/>
      <c r="H526" s="1393"/>
      <c r="I526" s="42" t="s">
        <v>422</v>
      </c>
      <c r="J526" s="42"/>
      <c r="K526" s="42"/>
      <c r="L526" s="42"/>
      <c r="M526" s="42"/>
      <c r="N526" s="42"/>
      <c r="O526" s="1394" t="s">
        <v>2611</v>
      </c>
      <c r="P526" s="1395"/>
      <c r="Q526" s="1395"/>
      <c r="R526" s="1395"/>
      <c r="S526" s="1395"/>
      <c r="T526" s="1395"/>
      <c r="U526" s="1395"/>
      <c r="V526" s="1395"/>
      <c r="W526" s="1395"/>
      <c r="X526" s="1395"/>
      <c r="Y526" s="1395"/>
      <c r="Z526" s="1395"/>
      <c r="AA526" s="1395"/>
      <c r="AC526" s="1396" t="s">
        <v>591</v>
      </c>
      <c r="AD526" s="1397"/>
      <c r="AE526" s="1397"/>
      <c r="AF526" s="1397"/>
      <c r="AG526" s="13" t="s">
        <v>402</v>
      </c>
      <c r="AH526" s="1418"/>
      <c r="AI526" s="1418"/>
      <c r="AJ526" s="1418"/>
      <c r="AK526" s="1419"/>
      <c r="AZ526" s="3"/>
      <c r="BA526" s="3"/>
      <c r="BB526" s="3"/>
      <c r="BC526" s="3"/>
      <c r="BD526" s="3"/>
      <c r="BE526" s="3"/>
      <c r="BF526" s="3"/>
      <c r="BG526" s="3"/>
      <c r="BH526" s="3"/>
      <c r="BI526" s="3"/>
      <c r="BJ526" s="3"/>
      <c r="BK526" s="3"/>
      <c r="BL526" s="3"/>
      <c r="BM526" s="3"/>
      <c r="BN526" s="3" t="s">
        <v>2119</v>
      </c>
    </row>
    <row r="527" spans="2:66" ht="12.95" customHeight="1">
      <c r="B527" s="1391"/>
      <c r="C527" s="1392"/>
      <c r="D527" s="1392"/>
      <c r="E527" s="1392"/>
      <c r="F527" s="1392"/>
      <c r="G527" s="1392"/>
      <c r="H527" s="1393"/>
      <c r="I527" t="s">
        <v>420</v>
      </c>
      <c r="AC527" s="1396">
        <v>11</v>
      </c>
      <c r="AD527" s="1397"/>
      <c r="AE527" s="1397"/>
      <c r="AF527" s="1397"/>
      <c r="AG527" s="13" t="s">
        <v>402</v>
      </c>
      <c r="AH527" s="1418">
        <v>2024</v>
      </c>
      <c r="AI527" s="1418"/>
      <c r="AJ527" s="1418"/>
      <c r="AK527" s="1419"/>
      <c r="AZ527" s="3"/>
      <c r="BA527" s="3"/>
      <c r="BB527" s="3"/>
      <c r="BC527" s="3"/>
      <c r="BD527" s="3"/>
      <c r="BE527" s="3"/>
      <c r="BF527" s="3"/>
      <c r="BG527" s="3"/>
      <c r="BH527" s="3"/>
      <c r="BI527" s="3"/>
      <c r="BJ527" s="3"/>
      <c r="BK527" s="3"/>
      <c r="BL527" s="3"/>
      <c r="BM527" s="3"/>
      <c r="BN527" s="3" t="s">
        <v>2120</v>
      </c>
    </row>
    <row r="528" spans="2:66" ht="12.95" customHeight="1">
      <c r="B528" s="1391"/>
      <c r="C528" s="1392"/>
      <c r="D528" s="1392"/>
      <c r="E528" s="1392"/>
      <c r="F528" s="1392"/>
      <c r="G528" s="1392"/>
      <c r="H528" s="1393"/>
      <c r="I528" s="48" t="s">
        <v>421</v>
      </c>
      <c r="J528" s="48"/>
      <c r="K528" s="48"/>
      <c r="L528" s="48"/>
      <c r="M528" s="48"/>
      <c r="N528" s="48"/>
      <c r="O528" s="48"/>
      <c r="P528" s="48"/>
      <c r="Q528" s="48"/>
      <c r="R528" s="48"/>
      <c r="S528" s="48"/>
      <c r="T528" s="48"/>
      <c r="U528" s="48"/>
      <c r="V528" s="48"/>
      <c r="W528" s="48"/>
      <c r="X528" s="48"/>
      <c r="Y528" s="48"/>
      <c r="Z528" s="48"/>
      <c r="AA528" s="48"/>
      <c r="AB528" s="48"/>
      <c r="AC528" s="1396">
        <v>1</v>
      </c>
      <c r="AD528" s="1397"/>
      <c r="AE528" s="1397"/>
      <c r="AF528" s="1397"/>
      <c r="AG528" s="38" t="s">
        <v>402</v>
      </c>
      <c r="AH528" s="1418">
        <v>2025</v>
      </c>
      <c r="AI528" s="1418"/>
      <c r="AJ528" s="1418"/>
      <c r="AK528" s="1419"/>
      <c r="AZ528" s="3"/>
      <c r="BA528" s="3"/>
      <c r="BB528" s="3"/>
      <c r="BC528" s="3"/>
      <c r="BD528" s="3"/>
      <c r="BE528" s="3"/>
      <c r="BF528" s="3"/>
      <c r="BG528" s="3"/>
      <c r="BH528" s="3"/>
      <c r="BI528" s="3"/>
      <c r="BJ528" s="3"/>
      <c r="BK528" s="3"/>
      <c r="BL528" s="3"/>
      <c r="BM528" s="3"/>
      <c r="BN528" s="3" t="s">
        <v>2121</v>
      </c>
    </row>
    <row r="529" spans="1:66" ht="12.95" customHeight="1">
      <c r="B529" s="1391"/>
      <c r="C529" s="1392"/>
      <c r="D529" s="1392"/>
      <c r="E529" s="1392"/>
      <c r="F529" s="1392"/>
      <c r="G529" s="1392"/>
      <c r="H529" s="1393"/>
      <c r="I529" s="42" t="s">
        <v>422</v>
      </c>
      <c r="J529" s="42"/>
      <c r="K529" s="42"/>
      <c r="L529" s="42"/>
      <c r="M529" s="42"/>
      <c r="N529" s="42"/>
      <c r="O529" s="1394" t="s">
        <v>2698</v>
      </c>
      <c r="P529" s="1395"/>
      <c r="Q529" s="1395"/>
      <c r="R529" s="1395"/>
      <c r="S529" s="1395"/>
      <c r="T529" s="1395"/>
      <c r="U529" s="1395"/>
      <c r="V529" s="1395"/>
      <c r="W529" s="1395"/>
      <c r="X529" s="1395"/>
      <c r="Y529" s="1395"/>
      <c r="Z529" s="1395"/>
      <c r="AA529" s="1395"/>
      <c r="AC529" s="1396" t="s">
        <v>591</v>
      </c>
      <c r="AD529" s="1397"/>
      <c r="AE529" s="1397"/>
      <c r="AF529" s="1397"/>
      <c r="AG529" s="13" t="s">
        <v>402</v>
      </c>
      <c r="AH529" s="1418"/>
      <c r="AI529" s="1418"/>
      <c r="AJ529" s="1418"/>
      <c r="AK529" s="1419"/>
      <c r="AZ529" s="3"/>
      <c r="BA529" s="3"/>
      <c r="BB529" s="3"/>
      <c r="BC529" s="3"/>
      <c r="BD529" s="3"/>
      <c r="BE529" s="3"/>
      <c r="BF529" s="3"/>
      <c r="BG529" s="3"/>
      <c r="BH529" s="3"/>
      <c r="BI529" s="3"/>
      <c r="BJ529" s="3"/>
      <c r="BK529" s="3"/>
      <c r="BL529" s="3"/>
      <c r="BM529" s="3"/>
      <c r="BN529" s="3" t="s">
        <v>2122</v>
      </c>
    </row>
    <row r="530" spans="1:66" ht="12.95" customHeight="1">
      <c r="B530" s="1391"/>
      <c r="C530" s="1392"/>
      <c r="D530" s="1392"/>
      <c r="E530" s="1392"/>
      <c r="F530" s="1392"/>
      <c r="G530" s="1392"/>
      <c r="H530" s="1393"/>
      <c r="I530" t="s">
        <v>420</v>
      </c>
      <c r="AC530" s="1396">
        <v>2</v>
      </c>
      <c r="AD530" s="1397"/>
      <c r="AE530" s="1397"/>
      <c r="AF530" s="1397"/>
      <c r="AG530" s="13" t="s">
        <v>402</v>
      </c>
      <c r="AH530" s="1418">
        <v>2025</v>
      </c>
      <c r="AI530" s="1418"/>
      <c r="AJ530" s="1418"/>
      <c r="AK530" s="1419"/>
      <c r="AZ530" s="3"/>
      <c r="BA530" s="3"/>
      <c r="BB530" s="3"/>
      <c r="BC530" s="3"/>
      <c r="BD530" s="3"/>
      <c r="BE530" s="3"/>
      <c r="BF530" s="3"/>
      <c r="BG530" s="3"/>
      <c r="BH530" s="3"/>
      <c r="BI530" s="3"/>
      <c r="BJ530" s="3"/>
      <c r="BK530" s="3"/>
      <c r="BL530" s="3"/>
      <c r="BM530" s="3"/>
      <c r="BN530" s="3" t="s">
        <v>2123</v>
      </c>
    </row>
    <row r="531" spans="1:66" ht="12.95" customHeight="1">
      <c r="B531" s="1391"/>
      <c r="C531" s="1392"/>
      <c r="D531" s="1392"/>
      <c r="E531" s="1392"/>
      <c r="F531" s="1392"/>
      <c r="G531" s="1392"/>
      <c r="H531" s="1393"/>
      <c r="I531" s="48" t="s">
        <v>421</v>
      </c>
      <c r="J531" s="48"/>
      <c r="K531" s="48"/>
      <c r="L531" s="48"/>
      <c r="M531" s="48"/>
      <c r="N531" s="48"/>
      <c r="O531" s="48"/>
      <c r="P531" s="48"/>
      <c r="Q531" s="48"/>
      <c r="R531" s="48"/>
      <c r="S531" s="48"/>
      <c r="T531" s="48"/>
      <c r="U531" s="48"/>
      <c r="V531" s="48"/>
      <c r="W531" s="48"/>
      <c r="X531" s="48"/>
      <c r="Y531" s="48"/>
      <c r="Z531" s="48"/>
      <c r="AA531" s="48"/>
      <c r="AB531" s="48"/>
      <c r="AC531" s="1396">
        <v>8</v>
      </c>
      <c r="AD531" s="1397"/>
      <c r="AE531" s="1397"/>
      <c r="AF531" s="1397"/>
      <c r="AG531" s="38" t="s">
        <v>402</v>
      </c>
      <c r="AH531" s="1418">
        <v>2025</v>
      </c>
      <c r="AI531" s="1418"/>
      <c r="AJ531" s="1418"/>
      <c r="AK531" s="1419"/>
      <c r="AZ531" s="3"/>
      <c r="BA531" s="3"/>
      <c r="BB531" s="3"/>
      <c r="BC531" s="3"/>
      <c r="BD531" s="3"/>
      <c r="BE531" s="3"/>
      <c r="BF531" s="3"/>
      <c r="BG531" s="3"/>
      <c r="BH531" s="3"/>
      <c r="BI531" s="3"/>
      <c r="BJ531" s="3"/>
      <c r="BK531" s="3"/>
      <c r="BL531" s="3"/>
      <c r="BM531" s="3"/>
      <c r="BN531" s="3" t="s">
        <v>2124</v>
      </c>
    </row>
    <row r="532" spans="1:66" ht="12.95" customHeight="1">
      <c r="B532" s="1391"/>
      <c r="C532" s="1392"/>
      <c r="D532" s="1392"/>
      <c r="E532" s="1392"/>
      <c r="F532" s="1392"/>
      <c r="G532" s="1392"/>
      <c r="H532" s="1393"/>
      <c r="I532" s="42" t="s">
        <v>422</v>
      </c>
      <c r="J532" s="42"/>
      <c r="K532" s="42"/>
      <c r="L532" s="42"/>
      <c r="M532" s="42"/>
      <c r="N532" s="42"/>
      <c r="O532" s="1394" t="s">
        <v>2699</v>
      </c>
      <c r="P532" s="1395"/>
      <c r="Q532" s="1395"/>
      <c r="R532" s="1395"/>
      <c r="S532" s="1395"/>
      <c r="T532" s="1395"/>
      <c r="U532" s="1395"/>
      <c r="V532" s="1395"/>
      <c r="W532" s="1395"/>
      <c r="X532" s="1395"/>
      <c r="Y532" s="1395"/>
      <c r="Z532" s="1395"/>
      <c r="AA532" s="1395"/>
      <c r="AC532" s="1396" t="s">
        <v>591</v>
      </c>
      <c r="AD532" s="1397"/>
      <c r="AE532" s="1397"/>
      <c r="AF532" s="1397"/>
      <c r="AG532" s="13" t="s">
        <v>402</v>
      </c>
      <c r="AH532" s="1418"/>
      <c r="AI532" s="1418"/>
      <c r="AJ532" s="1418"/>
      <c r="AK532" s="1419"/>
      <c r="AZ532" s="3"/>
      <c r="BA532" s="3"/>
      <c r="BB532" s="3"/>
      <c r="BC532" s="3"/>
      <c r="BD532" s="3"/>
      <c r="BE532" s="3"/>
      <c r="BF532" s="3"/>
      <c r="BG532" s="3"/>
      <c r="BH532" s="3"/>
      <c r="BI532" s="3"/>
      <c r="BJ532" s="3"/>
      <c r="BK532" s="3"/>
      <c r="BL532" s="3"/>
      <c r="BM532" s="3"/>
      <c r="BN532" s="3" t="s">
        <v>2125</v>
      </c>
    </row>
    <row r="533" spans="1:66" ht="12.95" customHeight="1">
      <c r="B533" s="1391"/>
      <c r="C533" s="1392"/>
      <c r="D533" s="1392"/>
      <c r="E533" s="1392"/>
      <c r="F533" s="1392"/>
      <c r="G533" s="1392"/>
      <c r="H533" s="1393"/>
      <c r="I533" t="s">
        <v>420</v>
      </c>
      <c r="AC533" s="1396">
        <v>11</v>
      </c>
      <c r="AD533" s="1397"/>
      <c r="AE533" s="1397"/>
      <c r="AF533" s="1397"/>
      <c r="AG533" s="38" t="s">
        <v>402</v>
      </c>
      <c r="AH533" s="1418">
        <v>2024</v>
      </c>
      <c r="AI533" s="1418"/>
      <c r="AJ533" s="1418"/>
      <c r="AK533" s="1419"/>
      <c r="AZ533" s="3"/>
      <c r="BA533" s="3"/>
      <c r="BB533" s="3"/>
      <c r="BC533" s="3"/>
      <c r="BD533" s="3"/>
      <c r="BE533" s="3"/>
      <c r="BF533" s="3"/>
      <c r="BG533" s="3"/>
      <c r="BH533" s="3"/>
      <c r="BI533" s="3"/>
      <c r="BJ533" s="3"/>
      <c r="BK533" s="3"/>
      <c r="BL533" s="3"/>
      <c r="BM533" s="3"/>
      <c r="BN533" s="3" t="s">
        <v>2126</v>
      </c>
    </row>
    <row r="534" spans="1:66" ht="12.95" customHeight="1">
      <c r="B534" s="1391"/>
      <c r="C534" s="1392"/>
      <c r="D534" s="1392"/>
      <c r="E534" s="1392"/>
      <c r="F534" s="1392"/>
      <c r="G534" s="1392"/>
      <c r="H534" s="1393"/>
      <c r="I534" s="48" t="s">
        <v>421</v>
      </c>
      <c r="J534" s="48"/>
      <c r="K534" s="48"/>
      <c r="L534" s="48"/>
      <c r="M534" s="48"/>
      <c r="N534" s="48"/>
      <c r="O534" s="48"/>
      <c r="P534" s="48"/>
      <c r="Q534" s="48"/>
      <c r="R534" s="48"/>
      <c r="S534" s="48"/>
      <c r="T534" s="48"/>
      <c r="U534" s="48"/>
      <c r="V534" s="48"/>
      <c r="W534" s="48"/>
      <c r="X534" s="48"/>
      <c r="Y534" s="48"/>
      <c r="Z534" s="48"/>
      <c r="AA534" s="48"/>
      <c r="AB534" s="48"/>
      <c r="AC534" s="1396">
        <v>1</v>
      </c>
      <c r="AD534" s="1397"/>
      <c r="AE534" s="1397"/>
      <c r="AF534" s="1397"/>
      <c r="AG534" s="13" t="s">
        <v>402</v>
      </c>
      <c r="AH534" s="1418">
        <v>2025</v>
      </c>
      <c r="AI534" s="1418"/>
      <c r="AJ534" s="1418"/>
      <c r="AK534" s="1419"/>
      <c r="AZ534" s="3"/>
      <c r="BA534" s="3"/>
      <c r="BB534" s="3"/>
      <c r="BC534" s="3"/>
      <c r="BD534" s="3"/>
      <c r="BE534" s="3"/>
      <c r="BF534" s="3"/>
      <c r="BG534" s="3"/>
      <c r="BH534" s="3"/>
      <c r="BI534" s="3"/>
      <c r="BJ534" s="3"/>
      <c r="BK534" s="3"/>
      <c r="BL534" s="3"/>
      <c r="BM534" s="3"/>
      <c r="BN534" s="3" t="s">
        <v>2127</v>
      </c>
    </row>
    <row r="535" spans="1:66" ht="12.95" customHeight="1">
      <c r="B535" s="1391"/>
      <c r="C535" s="1392"/>
      <c r="D535" s="1392"/>
      <c r="E535" s="1392"/>
      <c r="F535" s="1392"/>
      <c r="G535" s="1392"/>
      <c r="H535" s="1393"/>
      <c r="I535" s="42" t="s">
        <v>422</v>
      </c>
      <c r="J535" s="42"/>
      <c r="K535" s="42"/>
      <c r="L535" s="42"/>
      <c r="M535" s="42"/>
      <c r="N535" s="42"/>
      <c r="O535" s="1394" t="s">
        <v>333</v>
      </c>
      <c r="P535" s="1395"/>
      <c r="Q535" s="1395"/>
      <c r="R535" s="1395"/>
      <c r="S535" s="1395"/>
      <c r="T535" s="1395"/>
      <c r="U535" s="1395"/>
      <c r="V535" s="1395"/>
      <c r="W535" s="1395"/>
      <c r="X535" s="1395"/>
      <c r="Y535" s="1395"/>
      <c r="Z535" s="1395"/>
      <c r="AA535" s="1395"/>
      <c r="AC535" s="1396" t="s">
        <v>591</v>
      </c>
      <c r="AD535" s="1397"/>
      <c r="AE535" s="1397"/>
      <c r="AF535" s="1397"/>
      <c r="AG535" s="38" t="s">
        <v>402</v>
      </c>
      <c r="AH535" s="1418"/>
      <c r="AI535" s="1418"/>
      <c r="AJ535" s="1418"/>
      <c r="AK535" s="1419"/>
      <c r="AZ535" s="3"/>
      <c r="BA535" s="3"/>
      <c r="BB535" s="3"/>
      <c r="BC535" s="3"/>
      <c r="BD535" s="3"/>
      <c r="BE535" s="3"/>
      <c r="BF535" s="3"/>
      <c r="BG535" s="3"/>
      <c r="BH535" s="3"/>
      <c r="BI535" s="3"/>
      <c r="BJ535" s="3"/>
      <c r="BK535" s="3"/>
      <c r="BL535" s="3"/>
      <c r="BM535" s="3"/>
      <c r="BN535" s="3" t="s">
        <v>2128</v>
      </c>
    </row>
    <row r="536" spans="1:66" ht="12.95" customHeight="1">
      <c r="B536" s="1391"/>
      <c r="C536" s="1392"/>
      <c r="D536" s="1392"/>
      <c r="E536" s="1392"/>
      <c r="F536" s="1392"/>
      <c r="G536" s="1392"/>
      <c r="H536" s="1393"/>
      <c r="I536" t="s">
        <v>420</v>
      </c>
      <c r="AC536" s="1396" t="s">
        <v>591</v>
      </c>
      <c r="AD536" s="1397"/>
      <c r="AE536" s="1397"/>
      <c r="AF536" s="1397"/>
      <c r="AG536" s="13" t="s">
        <v>402</v>
      </c>
      <c r="AH536" s="1418"/>
      <c r="AI536" s="1418"/>
      <c r="AJ536" s="1418"/>
      <c r="AK536" s="1419"/>
      <c r="AZ536" s="3"/>
      <c r="BA536" s="3"/>
      <c r="BB536" s="3"/>
      <c r="BC536" s="3"/>
      <c r="BD536" s="3"/>
      <c r="BE536" s="3"/>
      <c r="BF536" s="3"/>
      <c r="BG536" s="3"/>
      <c r="BH536" s="3"/>
      <c r="BI536" s="3"/>
      <c r="BJ536" s="3"/>
      <c r="BK536" s="3"/>
      <c r="BL536" s="3"/>
      <c r="BM536" s="3"/>
      <c r="BN536" s="3" t="s">
        <v>2129</v>
      </c>
    </row>
    <row r="537" spans="1:66" ht="12.95" customHeight="1">
      <c r="B537" s="1391"/>
      <c r="C537" s="1392"/>
      <c r="D537" s="1392"/>
      <c r="E537" s="1392"/>
      <c r="F537" s="1392"/>
      <c r="G537" s="1392"/>
      <c r="H537" s="1393"/>
      <c r="I537" s="48" t="s">
        <v>421</v>
      </c>
      <c r="J537" s="48"/>
      <c r="K537" s="48"/>
      <c r="L537" s="48"/>
      <c r="M537" s="48"/>
      <c r="N537" s="48"/>
      <c r="O537" s="48"/>
      <c r="P537" s="48"/>
      <c r="Q537" s="48"/>
      <c r="R537" s="48"/>
      <c r="S537" s="48"/>
      <c r="T537" s="48"/>
      <c r="U537" s="48"/>
      <c r="V537" s="48"/>
      <c r="W537" s="48"/>
      <c r="X537" s="48"/>
      <c r="Y537" s="48"/>
      <c r="Z537" s="48"/>
      <c r="AA537" s="48"/>
      <c r="AB537" s="48"/>
      <c r="AC537" s="1396" t="s">
        <v>591</v>
      </c>
      <c r="AD537" s="1397"/>
      <c r="AE537" s="1397"/>
      <c r="AF537" s="1397"/>
      <c r="AG537" s="38" t="s">
        <v>402</v>
      </c>
      <c r="AH537" s="1418"/>
      <c r="AI537" s="1418"/>
      <c r="AJ537" s="1418"/>
      <c r="AK537" s="1419"/>
      <c r="AZ537" s="3"/>
      <c r="BA537" s="3"/>
      <c r="BB537" s="3"/>
      <c r="BC537" s="3"/>
      <c r="BD537" s="3"/>
      <c r="BE537" s="3"/>
      <c r="BF537" s="3"/>
      <c r="BG537" s="3"/>
      <c r="BH537" s="3"/>
      <c r="BI537" s="3"/>
      <c r="BJ537" s="3"/>
      <c r="BK537" s="3"/>
      <c r="BL537" s="3"/>
      <c r="BM537" s="3"/>
      <c r="BN537" s="3" t="s">
        <v>2130</v>
      </c>
    </row>
    <row r="538" spans="1:66" ht="12.95" customHeight="1">
      <c r="B538" s="1391"/>
      <c r="C538" s="1392"/>
      <c r="D538" s="1392"/>
      <c r="E538" s="1392"/>
      <c r="F538" s="1392"/>
      <c r="G538" s="1392"/>
      <c r="H538" s="1393"/>
      <c r="I538" s="42" t="s">
        <v>562</v>
      </c>
      <c r="J538" s="42"/>
      <c r="K538" s="42"/>
      <c r="L538" s="42"/>
      <c r="M538" s="42"/>
      <c r="N538" s="42"/>
      <c r="O538" s="42"/>
      <c r="P538" s="42"/>
      <c r="Q538" s="42"/>
      <c r="R538" s="42"/>
      <c r="S538" s="42"/>
      <c r="T538" s="42"/>
      <c r="U538" s="42"/>
      <c r="V538" s="42"/>
      <c r="W538" s="42"/>
      <c r="AC538" s="1396" t="s">
        <v>591</v>
      </c>
      <c r="AD538" s="1397"/>
      <c r="AE538" s="1397"/>
      <c r="AF538" s="1397"/>
      <c r="AG538" s="38" t="s">
        <v>402</v>
      </c>
      <c r="AH538" s="1418"/>
      <c r="AI538" s="1418"/>
      <c r="AJ538" s="1418"/>
      <c r="AK538" s="1419"/>
      <c r="AZ538" s="3"/>
      <c r="BA538" s="3"/>
      <c r="BB538" s="3"/>
      <c r="BC538" s="3"/>
      <c r="BD538" s="3"/>
      <c r="BE538" s="3"/>
      <c r="BF538" s="3"/>
      <c r="BG538" s="3"/>
      <c r="BH538" s="3"/>
      <c r="BI538" s="3"/>
      <c r="BJ538" s="3"/>
      <c r="BK538" s="3"/>
      <c r="BL538" s="3"/>
      <c r="BM538" s="3"/>
      <c r="BN538" s="3"/>
    </row>
    <row r="539" spans="1:66" ht="12.95" customHeight="1">
      <c r="B539" s="1391"/>
      <c r="C539" s="1392"/>
      <c r="D539" s="1392"/>
      <c r="E539" s="1392"/>
      <c r="F539" s="1392"/>
      <c r="G539" s="1392"/>
      <c r="H539" s="1393"/>
      <c r="I539" t="s">
        <v>563</v>
      </c>
      <c r="AC539" s="1396">
        <v>9</v>
      </c>
      <c r="AD539" s="1397"/>
      <c r="AE539" s="1397"/>
      <c r="AF539" s="1397"/>
      <c r="AG539" s="13" t="s">
        <v>402</v>
      </c>
      <c r="AH539" s="1418">
        <v>2025</v>
      </c>
      <c r="AI539" s="1418"/>
      <c r="AJ539" s="1418"/>
      <c r="AK539" s="1419"/>
      <c r="AZ539" s="3"/>
      <c r="BA539" s="3"/>
      <c r="BB539" s="3"/>
      <c r="BC539" s="3"/>
      <c r="BD539" s="3"/>
      <c r="BE539" s="3"/>
      <c r="BF539" s="3"/>
      <c r="BG539" s="3"/>
      <c r="BH539" s="3"/>
      <c r="BI539" s="3"/>
      <c r="BJ539" s="3"/>
      <c r="BK539" s="3"/>
      <c r="BL539" s="3"/>
      <c r="BM539" s="3"/>
      <c r="BN539" s="3"/>
    </row>
    <row r="540" spans="1:66" ht="12.95" customHeight="1">
      <c r="B540" s="1391"/>
      <c r="C540" s="1392"/>
      <c r="D540" s="1392"/>
      <c r="E540" s="1392"/>
      <c r="F540" s="1392"/>
      <c r="G540" s="1392"/>
      <c r="H540" s="1393"/>
      <c r="I540" t="s">
        <v>564</v>
      </c>
      <c r="AC540" s="1396">
        <v>3</v>
      </c>
      <c r="AD540" s="1397"/>
      <c r="AE540" s="1397"/>
      <c r="AF540" s="1397"/>
      <c r="AG540" s="38" t="s">
        <v>402</v>
      </c>
      <c r="AH540" s="1418">
        <v>2027</v>
      </c>
      <c r="AI540" s="1418"/>
      <c r="AJ540" s="1418"/>
      <c r="AK540" s="1419"/>
      <c r="AZ540" s="3"/>
      <c r="BA540" s="3"/>
      <c r="BB540" s="3"/>
      <c r="BC540" s="3"/>
      <c r="BD540" s="3"/>
      <c r="BE540" s="3"/>
      <c r="BF540" s="3"/>
      <c r="BG540" s="3"/>
      <c r="BH540" s="3"/>
      <c r="BI540" s="3"/>
      <c r="BJ540" s="3"/>
      <c r="BK540" s="3"/>
      <c r="BL540" s="3"/>
      <c r="BM540" s="3"/>
      <c r="BN540" s="3"/>
    </row>
    <row r="541" spans="1:66" ht="12.95" customHeight="1">
      <c r="B541" s="1391"/>
      <c r="C541" s="1392"/>
      <c r="D541" s="1392"/>
      <c r="E541" s="1392"/>
      <c r="F541" s="1392"/>
      <c r="G541" s="1392"/>
      <c r="H541" s="1393"/>
      <c r="I541" t="s">
        <v>565</v>
      </c>
      <c r="AC541" s="1396">
        <v>3</v>
      </c>
      <c r="AD541" s="1397"/>
      <c r="AE541" s="1397"/>
      <c r="AF541" s="1397"/>
      <c r="AG541" s="38" t="s">
        <v>402</v>
      </c>
      <c r="AH541" s="1418">
        <v>2028</v>
      </c>
      <c r="AI541" s="1418"/>
      <c r="AJ541" s="1418"/>
      <c r="AK541" s="1419"/>
      <c r="AZ541" s="3"/>
      <c r="BA541" s="3"/>
      <c r="BB541" s="3"/>
      <c r="BC541" s="3"/>
      <c r="BD541" s="3"/>
      <c r="BE541" s="3"/>
      <c r="BF541" s="3"/>
      <c r="BG541" s="3"/>
      <c r="BH541" s="3"/>
      <c r="BI541" s="3"/>
      <c r="BJ541" s="3"/>
      <c r="BK541" s="3"/>
      <c r="BL541" s="3"/>
      <c r="BM541" s="3"/>
      <c r="BN541" s="3"/>
    </row>
    <row r="542" spans="1:66" ht="12.95" customHeight="1">
      <c r="B542" s="1443"/>
      <c r="C542" s="1444"/>
      <c r="D542" s="1444"/>
      <c r="E542" s="1444"/>
      <c r="F542" s="1444"/>
      <c r="G542" s="1444"/>
      <c r="H542" s="1445"/>
      <c r="I542" s="48" t="s">
        <v>451</v>
      </c>
      <c r="J542" s="48"/>
      <c r="K542" s="48"/>
      <c r="L542" s="48"/>
      <c r="M542" s="48"/>
      <c r="N542" s="48"/>
      <c r="O542" s="48"/>
      <c r="P542" s="48"/>
      <c r="Q542" s="48"/>
      <c r="R542" s="48"/>
      <c r="S542" s="48"/>
      <c r="T542" s="48"/>
      <c r="U542" s="48"/>
      <c r="V542" s="48"/>
      <c r="W542" s="48"/>
      <c r="X542" s="48"/>
      <c r="Y542" s="48"/>
      <c r="Z542" s="48"/>
      <c r="AA542" s="48"/>
      <c r="AB542" s="48"/>
      <c r="AC542" s="1396">
        <v>7</v>
      </c>
      <c r="AD542" s="1397"/>
      <c r="AE542" s="1397"/>
      <c r="AF542" s="1397"/>
      <c r="AG542" s="38" t="s">
        <v>402</v>
      </c>
      <c r="AH542" s="1418">
        <v>2027</v>
      </c>
      <c r="AI542" s="1418"/>
      <c r="AJ542" s="1418"/>
      <c r="AK542" s="1419"/>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85" t="s">
        <v>543</v>
      </c>
      <c r="B544" s="1285"/>
      <c r="C544" s="1285"/>
      <c r="D544" s="1285"/>
      <c r="E544" s="1285"/>
      <c r="F544" s="1285"/>
      <c r="G544" s="1285"/>
      <c r="H544" s="1285"/>
      <c r="I544" s="1285"/>
      <c r="J544" s="1285"/>
      <c r="K544" s="1285"/>
      <c r="L544" s="1285"/>
      <c r="M544" s="1285"/>
      <c r="N544" s="1285"/>
      <c r="O544" s="1285"/>
      <c r="P544" s="1285"/>
      <c r="Q544" s="1285"/>
      <c r="R544" s="1285"/>
      <c r="S544" s="1285"/>
      <c r="T544" s="1285"/>
      <c r="U544" s="1285"/>
      <c r="V544" s="1285"/>
      <c r="W544" s="1285"/>
      <c r="X544" s="1285"/>
      <c r="Y544" s="1285"/>
      <c r="Z544" s="1285"/>
      <c r="AA544" s="1285"/>
      <c r="AB544" s="1285"/>
      <c r="AC544" s="1285"/>
      <c r="AD544" s="1285"/>
      <c r="AE544" s="1285"/>
      <c r="AF544" s="1285"/>
      <c r="AG544" s="1285"/>
      <c r="AH544" s="1285"/>
      <c r="AI544" s="1285"/>
      <c r="AJ544" s="1285"/>
      <c r="AK544" s="1285"/>
      <c r="AL544" s="1285"/>
      <c r="AM544" s="1285"/>
      <c r="AN544" s="1285"/>
      <c r="AO544" s="1285"/>
      <c r="AP544" s="1285"/>
      <c r="AQ544" s="1285"/>
      <c r="AR544" s="1285"/>
      <c r="AS544" s="1285"/>
      <c r="AT544" s="1285"/>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85"/>
      <c r="B545" s="1285"/>
      <c r="C545" s="1285"/>
      <c r="D545" s="1285"/>
      <c r="E545" s="1285"/>
      <c r="F545" s="1285"/>
      <c r="G545" s="1285"/>
      <c r="H545" s="1285"/>
      <c r="I545" s="1285"/>
      <c r="J545" s="1285"/>
      <c r="K545" s="1285"/>
      <c r="L545" s="1285"/>
      <c r="M545" s="1285"/>
      <c r="N545" s="1285"/>
      <c r="O545" s="1285"/>
      <c r="P545" s="1285"/>
      <c r="Q545" s="1285"/>
      <c r="R545" s="1285"/>
      <c r="S545" s="1285"/>
      <c r="T545" s="1285"/>
      <c r="U545" s="1285"/>
      <c r="V545" s="1285"/>
      <c r="W545" s="1285"/>
      <c r="X545" s="1285"/>
      <c r="Y545" s="1285"/>
      <c r="Z545" s="1285"/>
      <c r="AA545" s="1285"/>
      <c r="AB545" s="1285"/>
      <c r="AC545" s="1285"/>
      <c r="AD545" s="1285"/>
      <c r="AE545" s="1285"/>
      <c r="AF545" s="1285"/>
      <c r="AG545" s="1285"/>
      <c r="AH545" s="1285"/>
      <c r="AI545" s="1285"/>
      <c r="AJ545" s="1285"/>
      <c r="AK545" s="1285"/>
      <c r="AL545" s="1285"/>
      <c r="AM545" s="1285"/>
      <c r="AN545" s="1285"/>
      <c r="AO545" s="1285"/>
      <c r="AP545" s="1285"/>
      <c r="AQ545" s="1285"/>
      <c r="AR545" s="1285"/>
      <c r="AS545" s="1285"/>
      <c r="AT545" s="1285"/>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88" t="s">
        <v>2104</v>
      </c>
      <c r="C551" s="1389"/>
      <c r="D551" s="1389"/>
      <c r="E551" s="1389"/>
      <c r="F551" s="1389"/>
      <c r="G551" s="1389"/>
      <c r="H551" s="1389"/>
      <c r="I551" s="1389"/>
      <c r="J551" s="1389"/>
      <c r="K551" s="1389"/>
      <c r="L551" s="1390"/>
      <c r="M551" s="1388" t="s">
        <v>2105</v>
      </c>
      <c r="N551" s="1389"/>
      <c r="O551" s="1389"/>
      <c r="P551" s="1390"/>
      <c r="Q551" s="1388" t="s">
        <v>2131</v>
      </c>
      <c r="R551" s="1389"/>
      <c r="S551" s="1390"/>
      <c r="T551" s="1388" t="s">
        <v>2132</v>
      </c>
      <c r="U551" s="1389"/>
      <c r="V551" s="1390"/>
      <c r="W551" s="1388" t="s">
        <v>453</v>
      </c>
      <c r="X551" s="1389"/>
      <c r="Y551" s="1390"/>
      <c r="Z551" s="1388" t="s">
        <v>1852</v>
      </c>
      <c r="AA551" s="1389"/>
      <c r="AB551" s="1389"/>
      <c r="AC551" s="1389"/>
      <c r="AD551" s="1390"/>
      <c r="AE551" s="1388" t="s">
        <v>1676</v>
      </c>
      <c r="AF551" s="1389"/>
      <c r="AG551" s="1389"/>
      <c r="AH551" s="1390"/>
      <c r="AI551" s="1388" t="s">
        <v>1677</v>
      </c>
      <c r="AJ551" s="1389"/>
      <c r="AK551" s="1389"/>
      <c r="AL551" s="1390"/>
      <c r="AM551" s="1388" t="s">
        <v>454</v>
      </c>
      <c r="AN551" s="1389"/>
      <c r="AO551" s="1389"/>
      <c r="AP551" s="1389"/>
      <c r="AQ551" s="1389"/>
      <c r="AR551" s="1389"/>
      <c r="AS551" s="1390"/>
      <c r="BB551" s="3"/>
      <c r="BC551" s="3"/>
      <c r="BD551" s="3"/>
      <c r="BE551" s="3"/>
      <c r="BF551" s="3"/>
      <c r="BG551" s="3"/>
      <c r="BH551" s="3" t="s">
        <v>581</v>
      </c>
      <c r="BI551" s="3" t="str">
        <f>AG657</f>
        <v>No</v>
      </c>
    </row>
    <row r="552" spans="1:61" ht="12.95" customHeight="1">
      <c r="B552" s="1391"/>
      <c r="C552" s="1392"/>
      <c r="D552" s="1392"/>
      <c r="E552" s="1392"/>
      <c r="F552" s="1392"/>
      <c r="G552" s="1392"/>
      <c r="H552" s="1392"/>
      <c r="I552" s="1392"/>
      <c r="J552" s="1392"/>
      <c r="K552" s="1392"/>
      <c r="L552" s="1393"/>
      <c r="M552" s="1391"/>
      <c r="N552" s="1392"/>
      <c r="O552" s="1392"/>
      <c r="P552" s="1393"/>
      <c r="Q552" s="1391"/>
      <c r="R552" s="1392"/>
      <c r="S552" s="1393"/>
      <c r="T552" s="1391"/>
      <c r="U552" s="1392"/>
      <c r="V552" s="1393"/>
      <c r="W552" s="1391"/>
      <c r="X552" s="1392"/>
      <c r="Y552" s="1393"/>
      <c r="Z552" s="1391"/>
      <c r="AA552" s="1392"/>
      <c r="AB552" s="1392"/>
      <c r="AC552" s="1392"/>
      <c r="AD552" s="1393"/>
      <c r="AE552" s="1391"/>
      <c r="AF552" s="1392"/>
      <c r="AG552" s="1392"/>
      <c r="AH552" s="1393"/>
      <c r="AI552" s="1391"/>
      <c r="AJ552" s="1392"/>
      <c r="AK552" s="1392"/>
      <c r="AL552" s="1393"/>
      <c r="AM552" s="1391"/>
      <c r="AN552" s="1392"/>
      <c r="AO552" s="1392"/>
      <c r="AP552" s="1392"/>
      <c r="AQ552" s="1392"/>
      <c r="AR552" s="1392"/>
      <c r="AS552" s="1393"/>
      <c r="AU552" s="1149"/>
      <c r="BB552" s="3"/>
      <c r="BC552" s="3"/>
      <c r="BD552" s="3"/>
      <c r="BE552" s="3"/>
      <c r="BF552" s="3"/>
      <c r="BG552" s="3"/>
      <c r="BH552" s="3"/>
      <c r="BI552" s="3"/>
    </row>
    <row r="553" spans="1:61" ht="12.95" customHeight="1">
      <c r="B553" s="1443"/>
      <c r="C553" s="1444"/>
      <c r="D553" s="1444"/>
      <c r="E553" s="1444"/>
      <c r="F553" s="1444"/>
      <c r="G553" s="1444"/>
      <c r="H553" s="1444"/>
      <c r="I553" s="1444"/>
      <c r="J553" s="1444"/>
      <c r="K553" s="1444"/>
      <c r="L553" s="1445"/>
      <c r="M553" s="1443"/>
      <c r="N553" s="1444"/>
      <c r="O553" s="1444"/>
      <c r="P553" s="1445"/>
      <c r="Q553" s="1443"/>
      <c r="R553" s="1444"/>
      <c r="S553" s="1445"/>
      <c r="T553" s="1443"/>
      <c r="U553" s="1444"/>
      <c r="V553" s="1445"/>
      <c r="W553" s="1443"/>
      <c r="X553" s="1444"/>
      <c r="Y553" s="1445"/>
      <c r="Z553" s="1443"/>
      <c r="AA553" s="1444"/>
      <c r="AB553" s="1444"/>
      <c r="AC553" s="1444"/>
      <c r="AD553" s="1445"/>
      <c r="AE553" s="1443"/>
      <c r="AF553" s="1444"/>
      <c r="AG553" s="1444"/>
      <c r="AH553" s="1445"/>
      <c r="AI553" s="1443"/>
      <c r="AJ553" s="1444"/>
      <c r="AK553" s="1444"/>
      <c r="AL553" s="1445"/>
      <c r="AM553" s="1443"/>
      <c r="AN553" s="1444"/>
      <c r="AO553" s="1444"/>
      <c r="AP553" s="1444"/>
      <c r="AQ553" s="1444"/>
      <c r="AR553" s="1444"/>
      <c r="AS553" s="1445"/>
      <c r="AU553" s="1149"/>
      <c r="BB553" s="3"/>
      <c r="BC553" s="3"/>
      <c r="BD553" s="3"/>
      <c r="BE553" s="3"/>
      <c r="BF553" s="3"/>
      <c r="BG553" s="3"/>
      <c r="BH553" s="3"/>
      <c r="BI553" s="3"/>
    </row>
    <row r="554" spans="1:61" ht="12.95" customHeight="1">
      <c r="B554" s="51" t="s">
        <v>112</v>
      </c>
      <c r="C554" s="1417" t="s">
        <v>2738</v>
      </c>
      <c r="D554" s="1417"/>
      <c r="E554" s="1417"/>
      <c r="F554" s="1417"/>
      <c r="G554" s="1417"/>
      <c r="H554" s="1417"/>
      <c r="I554" s="1417"/>
      <c r="J554" s="1417"/>
      <c r="K554" s="1417"/>
      <c r="L554" s="1417"/>
      <c r="M554" s="1417" t="s">
        <v>2121</v>
      </c>
      <c r="N554" s="1417"/>
      <c r="O554" s="1417"/>
      <c r="P554" s="1417"/>
      <c r="Q554" s="1450">
        <v>30</v>
      </c>
      <c r="R554" s="1450"/>
      <c r="S554" s="1451"/>
      <c r="T554" s="1449"/>
      <c r="U554" s="1450"/>
      <c r="V554" s="1451"/>
      <c r="W554" s="1452">
        <v>6.7000000000000004E-2</v>
      </c>
      <c r="X554" s="1453"/>
      <c r="Y554" s="1454"/>
      <c r="Z554" s="1494" t="s">
        <v>2700</v>
      </c>
      <c r="AA554" s="1494"/>
      <c r="AB554" s="1494"/>
      <c r="AC554" s="1494"/>
      <c r="AD554" s="1494"/>
      <c r="AE554" s="1446">
        <v>1</v>
      </c>
      <c r="AF554" s="1447"/>
      <c r="AG554" s="1447"/>
      <c r="AH554" s="1448"/>
      <c r="AI554" s="1434"/>
      <c r="AJ554" s="1435"/>
      <c r="AK554" s="1435"/>
      <c r="AL554" s="1436"/>
      <c r="AM554" s="1412">
        <v>43010702</v>
      </c>
      <c r="AN554" s="1413"/>
      <c r="AO554" s="1413"/>
      <c r="AP554" s="1413"/>
      <c r="AQ554" s="1413"/>
      <c r="AR554" s="1413"/>
      <c r="AS554" s="1414"/>
      <c r="AT554" s="1150"/>
      <c r="AU554" s="1149"/>
      <c r="BB554" s="3"/>
      <c r="BC554" s="3"/>
      <c r="BD554" s="3"/>
      <c r="BE554" s="3"/>
      <c r="BF554" s="3"/>
      <c r="BG554" s="3"/>
      <c r="BH554" s="3"/>
      <c r="BI554" s="3"/>
    </row>
    <row r="555" spans="1:61" ht="12.95" customHeight="1">
      <c r="B555" s="52" t="s">
        <v>113</v>
      </c>
      <c r="C555" s="1458" t="str">
        <f>C629</f>
        <v>Ferguson Foundation Grant - Sponsor Loan</v>
      </c>
      <c r="D555" s="1458"/>
      <c r="E555" s="1458"/>
      <c r="F555" s="1458"/>
      <c r="G555" s="1458"/>
      <c r="H555" s="1458"/>
      <c r="I555" s="1458"/>
      <c r="J555" s="1458"/>
      <c r="K555" s="1458"/>
      <c r="L555" s="1458"/>
      <c r="M555" s="1417" t="s">
        <v>2119</v>
      </c>
      <c r="N555" s="1417"/>
      <c r="O555" s="1417"/>
      <c r="P555" s="1417"/>
      <c r="Q555" s="1449">
        <v>30</v>
      </c>
      <c r="R555" s="1450"/>
      <c r="S555" s="1451"/>
      <c r="T555" s="1449"/>
      <c r="U555" s="1450"/>
      <c r="V555" s="1451"/>
      <c r="W555" s="1452">
        <v>0.03</v>
      </c>
      <c r="X555" s="1453"/>
      <c r="Y555" s="1454"/>
      <c r="Z555" s="1494" t="s">
        <v>2741</v>
      </c>
      <c r="AA555" s="1494"/>
      <c r="AB555" s="1494"/>
      <c r="AC555" s="1494"/>
      <c r="AD555" s="1494"/>
      <c r="AE555" s="1446">
        <v>3</v>
      </c>
      <c r="AF555" s="1447"/>
      <c r="AG555" s="1447"/>
      <c r="AH555" s="1448"/>
      <c r="AI555" s="1434"/>
      <c r="AJ555" s="1435"/>
      <c r="AK555" s="1435"/>
      <c r="AL555" s="1436"/>
      <c r="AM555" s="1412">
        <f>AO629</f>
        <v>8200000</v>
      </c>
      <c r="AN555" s="1413"/>
      <c r="AO555" s="1413"/>
      <c r="AP555" s="1413"/>
      <c r="AQ555" s="1413"/>
      <c r="AR555" s="1413"/>
      <c r="AS555" s="1414"/>
      <c r="AT555" s="1150" t="str">
        <f>IF(AND(NOT(C554=""),C555="",NOT(C556="")),"!","")</f>
        <v/>
      </c>
      <c r="AU555" s="1149"/>
      <c r="BB555" s="3"/>
      <c r="BC555" s="3"/>
      <c r="BD555" s="3"/>
      <c r="BE555" s="3"/>
      <c r="BF555" s="3"/>
      <c r="BG555" s="3"/>
      <c r="BH555" s="3"/>
      <c r="BI555" s="3"/>
    </row>
    <row r="556" spans="1:61" ht="12.95" customHeight="1">
      <c r="B556" s="52" t="s">
        <v>119</v>
      </c>
      <c r="C556" s="1458" t="s">
        <v>2703</v>
      </c>
      <c r="D556" s="1458"/>
      <c r="E556" s="1458"/>
      <c r="F556" s="1458"/>
      <c r="G556" s="1458"/>
      <c r="H556" s="1458"/>
      <c r="I556" s="1458"/>
      <c r="J556" s="1458"/>
      <c r="K556" s="1458"/>
      <c r="L556" s="1458"/>
      <c r="M556" s="1417" t="s">
        <v>2117</v>
      </c>
      <c r="N556" s="1417"/>
      <c r="O556" s="1417"/>
      <c r="P556" s="1417"/>
      <c r="Q556" s="1449">
        <v>30</v>
      </c>
      <c r="R556" s="1450"/>
      <c r="S556" s="1451"/>
      <c r="T556" s="1449"/>
      <c r="U556" s="1450"/>
      <c r="V556" s="1451"/>
      <c r="W556" s="1452">
        <v>0.03</v>
      </c>
      <c r="X556" s="1453"/>
      <c r="Y556" s="1454"/>
      <c r="Z556" s="1494" t="s">
        <v>2741</v>
      </c>
      <c r="AA556" s="1494"/>
      <c r="AB556" s="1494"/>
      <c r="AC556" s="1494"/>
      <c r="AD556" s="1494"/>
      <c r="AE556" s="1446">
        <v>2</v>
      </c>
      <c r="AF556" s="1447"/>
      <c r="AG556" s="1447"/>
      <c r="AH556" s="1448"/>
      <c r="AI556" s="1434"/>
      <c r="AJ556" s="1435"/>
      <c r="AK556" s="1435"/>
      <c r="AL556" s="1436"/>
      <c r="AM556" s="1412">
        <v>18800000</v>
      </c>
      <c r="AN556" s="1413"/>
      <c r="AO556" s="1413"/>
      <c r="AP556" s="1413"/>
      <c r="AQ556" s="1413"/>
      <c r="AR556" s="1413"/>
      <c r="AS556" s="1414"/>
      <c r="AT556" s="1150" t="str">
        <f>IF(AND(NOT(C555=""),C556="",NOT(C557="")),"!","")</f>
        <v/>
      </c>
      <c r="AU556" s="1149"/>
      <c r="BB556" s="3"/>
      <c r="BC556" s="3"/>
      <c r="BD556" s="3"/>
      <c r="BE556" s="3"/>
      <c r="BF556" s="3"/>
      <c r="BG556" s="3"/>
      <c r="BH556" s="3"/>
      <c r="BI556" s="3"/>
    </row>
    <row r="557" spans="1:61" ht="12.95" customHeight="1">
      <c r="B557" s="52" t="s">
        <v>581</v>
      </c>
      <c r="C557" s="1458" t="s">
        <v>2704</v>
      </c>
      <c r="D557" s="1458"/>
      <c r="E557" s="1458"/>
      <c r="F557" s="1458"/>
      <c r="G557" s="1458"/>
      <c r="H557" s="1458"/>
      <c r="I557" s="1458"/>
      <c r="J557" s="1458"/>
      <c r="K557" s="1458"/>
      <c r="L557" s="1458"/>
      <c r="M557" s="1417" t="s">
        <v>2128</v>
      </c>
      <c r="N557" s="1417"/>
      <c r="O557" s="1417"/>
      <c r="P557" s="1417"/>
      <c r="Q557" s="1449"/>
      <c r="R557" s="1450"/>
      <c r="S557" s="1451"/>
      <c r="T557" s="1449"/>
      <c r="U557" s="1450"/>
      <c r="V557" s="1451"/>
      <c r="W557" s="1452"/>
      <c r="X557" s="1453"/>
      <c r="Y557" s="1454"/>
      <c r="Z557" s="1494" t="s">
        <v>1184</v>
      </c>
      <c r="AA557" s="1494"/>
      <c r="AB557" s="1494"/>
      <c r="AC557" s="1494"/>
      <c r="AD557" s="1494"/>
      <c r="AE557" s="1446"/>
      <c r="AF557" s="1447"/>
      <c r="AG557" s="1447"/>
      <c r="AH557" s="1448"/>
      <c r="AI557" s="1434"/>
      <c r="AJ557" s="1435"/>
      <c r="AK557" s="1435"/>
      <c r="AL557" s="1436"/>
      <c r="AM557" s="1412">
        <f>AO632</f>
        <v>2000000</v>
      </c>
      <c r="AN557" s="1413"/>
      <c r="AO557" s="1413"/>
      <c r="AP557" s="1413"/>
      <c r="AQ557" s="1413"/>
      <c r="AR557" s="1413"/>
      <c r="AS557" s="1414"/>
      <c r="AT557" s="1150" t="str">
        <f>IF(AND(NOT(C556=""),C557="",NOT(C558="")),"!","")</f>
        <v/>
      </c>
      <c r="AU557" s="1149"/>
      <c r="BB557" s="3"/>
      <c r="BC557" s="3"/>
      <c r="BD557" s="3"/>
      <c r="BE557" s="3"/>
      <c r="BF557" s="3"/>
      <c r="BG557" s="3"/>
      <c r="BH557" s="3"/>
      <c r="BI557" s="3"/>
    </row>
    <row r="558" spans="1:61" ht="12.95" customHeight="1">
      <c r="B558" s="52" t="s">
        <v>763</v>
      </c>
      <c r="C558" s="1458" t="str">
        <f>C633</f>
        <v>Deferred Developer Fee</v>
      </c>
      <c r="D558" s="1458"/>
      <c r="E558" s="1458"/>
      <c r="F558" s="1458"/>
      <c r="G558" s="1458"/>
      <c r="H558" s="1458"/>
      <c r="I558" s="1458"/>
      <c r="J558" s="1458"/>
      <c r="K558" s="1458"/>
      <c r="L558" s="1458"/>
      <c r="M558" s="1417" t="s">
        <v>2109</v>
      </c>
      <c r="N558" s="1417"/>
      <c r="O558" s="1417"/>
      <c r="P558" s="1417"/>
      <c r="Q558" s="1449"/>
      <c r="R558" s="1450"/>
      <c r="S558" s="1451"/>
      <c r="T558" s="1449"/>
      <c r="U558" s="1450"/>
      <c r="V558" s="1451"/>
      <c r="W558" s="1452"/>
      <c r="X558" s="1453"/>
      <c r="Y558" s="1454"/>
      <c r="Z558" s="1494" t="s">
        <v>1184</v>
      </c>
      <c r="AA558" s="1494"/>
      <c r="AB558" s="1494"/>
      <c r="AC558" s="1494"/>
      <c r="AD558" s="1494"/>
      <c r="AE558" s="1446"/>
      <c r="AF558" s="1447"/>
      <c r="AG558" s="1447"/>
      <c r="AH558" s="1448"/>
      <c r="AI558" s="1434"/>
      <c r="AJ558" s="1435"/>
      <c r="AK558" s="1435"/>
      <c r="AL558" s="1436"/>
      <c r="AM558" s="1412">
        <f>AO633</f>
        <v>3500000</v>
      </c>
      <c r="AN558" s="1413"/>
      <c r="AO558" s="1413"/>
      <c r="AP558" s="1413"/>
      <c r="AQ558" s="1413"/>
      <c r="AR558" s="1413"/>
      <c r="AS558" s="1414"/>
      <c r="AT558" s="1150" t="str">
        <f t="shared" ref="AT558:AT565" si="0">IF(AND(NOT(C557=""),C558="",NOT(C559="")),"!","")</f>
        <v/>
      </c>
      <c r="AU558" s="1149"/>
      <c r="BB558" s="3"/>
      <c r="BC558" s="3"/>
      <c r="BD558" s="3"/>
      <c r="BE558" s="3"/>
      <c r="BF558" s="3"/>
      <c r="BG558" s="3"/>
      <c r="BH558" s="3" t="s">
        <v>763</v>
      </c>
      <c r="BI558" s="3" t="str">
        <f>N665</f>
        <v>Yes</v>
      </c>
    </row>
    <row r="559" spans="1:61" ht="12.95" customHeight="1">
      <c r="B559" s="52" t="s">
        <v>584</v>
      </c>
      <c r="C559" s="1458" t="str">
        <f t="shared" ref="C559:C560" si="1">C634</f>
        <v>Accrued Deferred Interest (City of Oakland Loan, Sponsor Gap Loan)</v>
      </c>
      <c r="D559" s="1458"/>
      <c r="E559" s="1458"/>
      <c r="F559" s="1458"/>
      <c r="G559" s="1458"/>
      <c r="H559" s="1458"/>
      <c r="I559" s="1458"/>
      <c r="J559" s="1458"/>
      <c r="K559" s="1458"/>
      <c r="L559" s="1458"/>
      <c r="M559" s="1417" t="s">
        <v>2106</v>
      </c>
      <c r="N559" s="1417"/>
      <c r="O559" s="1417"/>
      <c r="P559" s="1417"/>
      <c r="Q559" s="1449"/>
      <c r="R559" s="1450"/>
      <c r="S559" s="1451"/>
      <c r="T559" s="1449"/>
      <c r="U559" s="1450"/>
      <c r="V559" s="1451"/>
      <c r="W559" s="1452"/>
      <c r="X559" s="1453"/>
      <c r="Y559" s="1454"/>
      <c r="Z559" s="1494" t="s">
        <v>1184</v>
      </c>
      <c r="AA559" s="1494"/>
      <c r="AB559" s="1494"/>
      <c r="AC559" s="1494"/>
      <c r="AD559" s="1494"/>
      <c r="AE559" s="1446"/>
      <c r="AF559" s="1447"/>
      <c r="AG559" s="1447"/>
      <c r="AH559" s="1448"/>
      <c r="AI559" s="1434"/>
      <c r="AJ559" s="1435"/>
      <c r="AK559" s="1435"/>
      <c r="AL559" s="1436"/>
      <c r="AM559" s="1412">
        <f>AO634</f>
        <v>1233143</v>
      </c>
      <c r="AN559" s="1413"/>
      <c r="AO559" s="1413"/>
      <c r="AP559" s="1413"/>
      <c r="AQ559" s="1413"/>
      <c r="AR559" s="1413"/>
      <c r="AS559" s="1414"/>
      <c r="AT559" s="1150" t="str">
        <f t="shared" si="0"/>
        <v/>
      </c>
      <c r="AU559" s="1149"/>
      <c r="BB559" s="3"/>
      <c r="BC559" s="3"/>
      <c r="BD559" s="3"/>
      <c r="BE559" s="3"/>
      <c r="BF559" s="3"/>
      <c r="BG559" s="3"/>
      <c r="BH559" s="3" t="s">
        <v>584</v>
      </c>
      <c r="BI559" s="3" t="str">
        <f>AG665</f>
        <v>Yes</v>
      </c>
    </row>
    <row r="560" spans="1:61" ht="12.95" customHeight="1">
      <c r="B560" s="52" t="s">
        <v>455</v>
      </c>
      <c r="C560" s="1458" t="str">
        <f t="shared" si="1"/>
        <v xml:space="preserve">GP Capital </v>
      </c>
      <c r="D560" s="1458"/>
      <c r="E560" s="1458"/>
      <c r="F560" s="1458"/>
      <c r="G560" s="1458"/>
      <c r="H560" s="1458"/>
      <c r="I560" s="1458"/>
      <c r="J560" s="1458"/>
      <c r="K560" s="1458"/>
      <c r="L560" s="1458"/>
      <c r="M560" s="1417" t="s">
        <v>2111</v>
      </c>
      <c r="N560" s="1417"/>
      <c r="O560" s="1417"/>
      <c r="P560" s="1417"/>
      <c r="Q560" s="1449"/>
      <c r="R560" s="1450"/>
      <c r="S560" s="1451"/>
      <c r="T560" s="1449"/>
      <c r="U560" s="1450"/>
      <c r="V560" s="1451"/>
      <c r="W560" s="1452"/>
      <c r="X560" s="1453"/>
      <c r="Y560" s="1454"/>
      <c r="Z560" s="1494" t="s">
        <v>1184</v>
      </c>
      <c r="AA560" s="1494"/>
      <c r="AB560" s="1494"/>
      <c r="AC560" s="1494"/>
      <c r="AD560" s="1494"/>
      <c r="AE560" s="1446"/>
      <c r="AF560" s="1447"/>
      <c r="AG560" s="1447"/>
      <c r="AH560" s="1448"/>
      <c r="AI560" s="1434"/>
      <c r="AJ560" s="1435"/>
      <c r="AK560" s="1435"/>
      <c r="AL560" s="1436"/>
      <c r="AM560" s="1412">
        <v>100</v>
      </c>
      <c r="AN560" s="1413"/>
      <c r="AO560" s="1413"/>
      <c r="AP560" s="1413"/>
      <c r="AQ560" s="1413"/>
      <c r="AR560" s="1413"/>
      <c r="AS560" s="1414"/>
      <c r="AT560" s="1150" t="str">
        <f t="shared" si="0"/>
        <v/>
      </c>
      <c r="AU560" s="1149"/>
      <c r="BB560" s="3"/>
      <c r="BC560" s="3"/>
      <c r="BD560" s="3"/>
      <c r="BE560" s="3"/>
      <c r="BF560" s="3"/>
      <c r="BG560" s="3"/>
      <c r="BH560" s="3"/>
      <c r="BI560" s="3"/>
    </row>
    <row r="561" spans="1:61" ht="12.95" customHeight="1">
      <c r="B561" s="52" t="s">
        <v>456</v>
      </c>
      <c r="C561" s="1458" t="s">
        <v>2739</v>
      </c>
      <c r="D561" s="1458"/>
      <c r="E561" s="1458"/>
      <c r="F561" s="1458"/>
      <c r="G561" s="1458"/>
      <c r="H561" s="1458"/>
      <c r="I561" s="1458"/>
      <c r="J561" s="1458"/>
      <c r="K561" s="1458"/>
      <c r="L561" s="1458"/>
      <c r="M561" s="1417" t="s">
        <v>2107</v>
      </c>
      <c r="N561" s="1417"/>
      <c r="O561" s="1417"/>
      <c r="P561" s="1417"/>
      <c r="Q561" s="1449"/>
      <c r="R561" s="1450"/>
      <c r="S561" s="1451"/>
      <c r="T561" s="1449"/>
      <c r="U561" s="1450"/>
      <c r="V561" s="1451"/>
      <c r="W561" s="1452"/>
      <c r="X561" s="1453"/>
      <c r="Y561" s="1454"/>
      <c r="Z561" s="1494" t="s">
        <v>1184</v>
      </c>
      <c r="AA561" s="1494"/>
      <c r="AB561" s="1494"/>
      <c r="AC561" s="1494"/>
      <c r="AD561" s="1494"/>
      <c r="AE561" s="1446"/>
      <c r="AF561" s="1447"/>
      <c r="AG561" s="1447"/>
      <c r="AH561" s="1448"/>
      <c r="AI561" s="1434"/>
      <c r="AJ561" s="1435"/>
      <c r="AK561" s="1435"/>
      <c r="AL561" s="1436"/>
      <c r="AM561" s="1412">
        <f>5733446</f>
        <v>5733446</v>
      </c>
      <c r="AN561" s="1413"/>
      <c r="AO561" s="1413"/>
      <c r="AP561" s="1413"/>
      <c r="AQ561" s="1413"/>
      <c r="AR561" s="1413"/>
      <c r="AS561" s="1414"/>
      <c r="AT561" s="1150" t="str">
        <f t="shared" si="0"/>
        <v/>
      </c>
      <c r="AU561" s="1149"/>
      <c r="BB561" s="3"/>
      <c r="BC561" s="3"/>
      <c r="BD561" s="3"/>
      <c r="BE561" s="3"/>
      <c r="BF561" s="3"/>
      <c r="BG561" s="3"/>
      <c r="BH561" s="3"/>
      <c r="BI561" s="3"/>
    </row>
    <row r="562" spans="1:61" ht="12.95" customHeight="1">
      <c r="B562" s="52" t="s">
        <v>461</v>
      </c>
      <c r="C562" s="1458" t="s">
        <v>2740</v>
      </c>
      <c r="D562" s="1458"/>
      <c r="E562" s="1458"/>
      <c r="F562" s="1458"/>
      <c r="G562" s="1458"/>
      <c r="H562" s="1458"/>
      <c r="I562" s="1458"/>
      <c r="J562" s="1458"/>
      <c r="K562" s="1458"/>
      <c r="L562" s="1458"/>
      <c r="M562" s="1417" t="s">
        <v>2112</v>
      </c>
      <c r="N562" s="1417"/>
      <c r="O562" s="1417"/>
      <c r="P562" s="1417"/>
      <c r="Q562" s="1449"/>
      <c r="R562" s="1450"/>
      <c r="S562" s="1451"/>
      <c r="T562" s="1449"/>
      <c r="U562" s="1450"/>
      <c r="V562" s="1451"/>
      <c r="W562" s="1452"/>
      <c r="X562" s="1453"/>
      <c r="Y562" s="1454"/>
      <c r="Z562" s="1494" t="s">
        <v>1184</v>
      </c>
      <c r="AA562" s="1494"/>
      <c r="AB562" s="1494"/>
      <c r="AC562" s="1494"/>
      <c r="AD562" s="1494"/>
      <c r="AE562" s="1446"/>
      <c r="AF562" s="1447"/>
      <c r="AG562" s="1447"/>
      <c r="AH562" s="1448"/>
      <c r="AI562" s="1434"/>
      <c r="AJ562" s="1435"/>
      <c r="AK562" s="1435"/>
      <c r="AL562" s="1436"/>
      <c r="AM562" s="1412">
        <v>3569072</v>
      </c>
      <c r="AN562" s="1413"/>
      <c r="AO562" s="1413"/>
      <c r="AP562" s="1413"/>
      <c r="AQ562" s="1413"/>
      <c r="AR562" s="1413"/>
      <c r="AS562" s="1414"/>
      <c r="AT562" s="1150" t="str">
        <f t="shared" si="0"/>
        <v/>
      </c>
      <c r="AU562" s="1149"/>
      <c r="BB562" s="3"/>
      <c r="BC562" s="3"/>
      <c r="BD562" s="3"/>
      <c r="BE562" s="3"/>
      <c r="BF562" s="3"/>
      <c r="BG562" s="3"/>
      <c r="BH562" s="3"/>
      <c r="BI562" s="3"/>
    </row>
    <row r="563" spans="1:61" ht="12.95" customHeight="1">
      <c r="B563" s="52" t="s">
        <v>646</v>
      </c>
      <c r="C563" s="1458"/>
      <c r="D563" s="1458"/>
      <c r="E563" s="1458"/>
      <c r="F563" s="1458"/>
      <c r="G563" s="1458"/>
      <c r="H563" s="1458"/>
      <c r="I563" s="1458"/>
      <c r="J563" s="1458"/>
      <c r="K563" s="1458"/>
      <c r="L563" s="1458"/>
      <c r="M563" s="1417" t="s">
        <v>1184</v>
      </c>
      <c r="N563" s="1417"/>
      <c r="O563" s="1417"/>
      <c r="P563" s="1417"/>
      <c r="Q563" s="1449"/>
      <c r="R563" s="1450"/>
      <c r="S563" s="1451"/>
      <c r="T563" s="1449"/>
      <c r="U563" s="1450"/>
      <c r="V563" s="1451"/>
      <c r="W563" s="1452"/>
      <c r="X563" s="1453"/>
      <c r="Y563" s="1454"/>
      <c r="Z563" s="1494" t="s">
        <v>1184</v>
      </c>
      <c r="AA563" s="1494"/>
      <c r="AB563" s="1494"/>
      <c r="AC563" s="1494"/>
      <c r="AD563" s="1494"/>
      <c r="AE563" s="1446"/>
      <c r="AF563" s="1447"/>
      <c r="AG563" s="1447"/>
      <c r="AH563" s="1448"/>
      <c r="AI563" s="1434"/>
      <c r="AJ563" s="1435"/>
      <c r="AK563" s="1435"/>
      <c r="AL563" s="1436"/>
      <c r="AM563" s="1412"/>
      <c r="AN563" s="1413"/>
      <c r="AO563" s="1413"/>
      <c r="AP563" s="1413"/>
      <c r="AQ563" s="1413"/>
      <c r="AR563" s="1413"/>
      <c r="AS563" s="1414"/>
      <c r="AT563" s="1150" t="str">
        <f t="shared" si="0"/>
        <v/>
      </c>
      <c r="BB563" s="3"/>
      <c r="BC563" s="3"/>
      <c r="BD563" s="3"/>
      <c r="BE563" s="3"/>
      <c r="BF563" s="3"/>
      <c r="BG563" s="3"/>
      <c r="BH563" s="3"/>
      <c r="BI563" s="3"/>
    </row>
    <row r="564" spans="1:61" ht="12.95" customHeight="1">
      <c r="B564" s="52" t="s">
        <v>361</v>
      </c>
      <c r="C564" s="1458"/>
      <c r="D564" s="1458"/>
      <c r="E564" s="1458"/>
      <c r="F564" s="1458"/>
      <c r="G564" s="1458"/>
      <c r="H564" s="1458"/>
      <c r="I564" s="1458"/>
      <c r="J564" s="1458"/>
      <c r="K564" s="1458"/>
      <c r="L564" s="1458"/>
      <c r="M564" s="1417" t="s">
        <v>1184</v>
      </c>
      <c r="N564" s="1417"/>
      <c r="O564" s="1417"/>
      <c r="P564" s="1417"/>
      <c r="Q564" s="1449"/>
      <c r="R564" s="1450"/>
      <c r="S564" s="1451"/>
      <c r="T564" s="1449"/>
      <c r="U564" s="1450"/>
      <c r="V564" s="1451"/>
      <c r="W564" s="1452"/>
      <c r="X564" s="1453"/>
      <c r="Y564" s="1454"/>
      <c r="Z564" s="1494" t="s">
        <v>1184</v>
      </c>
      <c r="AA564" s="1494"/>
      <c r="AB564" s="1494"/>
      <c r="AC564" s="1494"/>
      <c r="AD564" s="1494"/>
      <c r="AE564" s="1446"/>
      <c r="AF564" s="1447"/>
      <c r="AG564" s="1447"/>
      <c r="AH564" s="1448"/>
      <c r="AI564" s="1434"/>
      <c r="AJ564" s="1435"/>
      <c r="AK564" s="1435"/>
      <c r="AL564" s="1436"/>
      <c r="AM564" s="1412"/>
      <c r="AN564" s="1413"/>
      <c r="AO564" s="1413"/>
      <c r="AP564" s="1413"/>
      <c r="AQ564" s="1413"/>
      <c r="AR564" s="1413"/>
      <c r="AS564" s="1414"/>
      <c r="AT564" s="1150" t="str">
        <f t="shared" si="0"/>
        <v/>
      </c>
      <c r="BB564" s="3"/>
      <c r="BC564" s="3"/>
      <c r="BD564" s="3"/>
      <c r="BE564" s="3"/>
      <c r="BF564" s="3"/>
      <c r="BG564" s="3"/>
      <c r="BH564" s="3"/>
      <c r="BI564" s="3"/>
    </row>
    <row r="565" spans="1:61" ht="12.95" customHeight="1">
      <c r="B565" s="52" t="s">
        <v>362</v>
      </c>
      <c r="C565" s="1458"/>
      <c r="D565" s="1458"/>
      <c r="E565" s="1458"/>
      <c r="F565" s="1458"/>
      <c r="G565" s="1458"/>
      <c r="H565" s="1458"/>
      <c r="I565" s="1458"/>
      <c r="J565" s="1458"/>
      <c r="K565" s="1458"/>
      <c r="L565" s="1458"/>
      <c r="M565" s="1417" t="s">
        <v>1184</v>
      </c>
      <c r="N565" s="1417"/>
      <c r="O565" s="1417"/>
      <c r="P565" s="1417"/>
      <c r="Q565" s="1449"/>
      <c r="R565" s="1450"/>
      <c r="S565" s="1451"/>
      <c r="T565" s="1449"/>
      <c r="U565" s="1450"/>
      <c r="V565" s="1451"/>
      <c r="W565" s="1452"/>
      <c r="X565" s="1453"/>
      <c r="Y565" s="1454"/>
      <c r="Z565" s="1494" t="s">
        <v>1184</v>
      </c>
      <c r="AA565" s="1494"/>
      <c r="AB565" s="1494"/>
      <c r="AC565" s="1494"/>
      <c r="AD565" s="1494"/>
      <c r="AE565" s="1446"/>
      <c r="AF565" s="1447"/>
      <c r="AG565" s="1447"/>
      <c r="AH565" s="1448"/>
      <c r="AI565" s="1434"/>
      <c r="AJ565" s="1435"/>
      <c r="AK565" s="1435"/>
      <c r="AL565" s="1436"/>
      <c r="AM565" s="1412"/>
      <c r="AN565" s="1413"/>
      <c r="AO565" s="1413"/>
      <c r="AP565" s="1413"/>
      <c r="AQ565" s="1413"/>
      <c r="AR565" s="1413"/>
      <c r="AS565" s="1414"/>
      <c r="AT565" s="1150" t="str">
        <f t="shared" si="0"/>
        <v/>
      </c>
      <c r="BB565" s="3"/>
      <c r="BC565" s="3"/>
      <c r="BD565" s="3"/>
      <c r="BE565" s="3"/>
      <c r="BF565" s="3"/>
      <c r="BG565" s="3"/>
      <c r="BH565" s="3"/>
      <c r="BI565" s="3"/>
    </row>
    <row r="566" spans="1:61" ht="12.95" customHeight="1">
      <c r="B566" s="1485" t="s">
        <v>127</v>
      </c>
      <c r="C566" s="1486"/>
      <c r="D566" s="1486"/>
      <c r="E566" s="1486"/>
      <c r="F566" s="1486"/>
      <c r="G566" s="1486"/>
      <c r="H566" s="1486"/>
      <c r="I566" s="1486"/>
      <c r="J566" s="1486"/>
      <c r="K566" s="1486"/>
      <c r="L566" s="1486"/>
      <c r="M566" s="1486"/>
      <c r="N566" s="1486"/>
      <c r="O566" s="1486"/>
      <c r="P566" s="1486"/>
      <c r="Q566" s="1486"/>
      <c r="R566" s="1486"/>
      <c r="S566" s="1486"/>
      <c r="T566" s="1486"/>
      <c r="U566" s="1487"/>
      <c r="V566" s="1486"/>
      <c r="W566" s="1486"/>
      <c r="X566" s="1486"/>
      <c r="Y566" s="1486"/>
      <c r="Z566" s="1486"/>
      <c r="AA566" s="1486"/>
      <c r="AB566" s="1486"/>
      <c r="AC566" s="1486"/>
      <c r="AD566" s="1486"/>
      <c r="AE566" s="1486"/>
      <c r="AF566" s="1486"/>
      <c r="AG566" s="1486"/>
      <c r="AH566" s="1486"/>
      <c r="AI566" s="1486"/>
      <c r="AJ566" s="1486"/>
      <c r="AK566" s="1486"/>
      <c r="AL566" s="1488"/>
      <c r="AM566" s="1424">
        <f>SUM(AM554:AS565)</f>
        <v>86046463</v>
      </c>
      <c r="AN566" s="1425"/>
      <c r="AO566" s="1425"/>
      <c r="AP566" s="1425"/>
      <c r="AQ566" s="1425"/>
      <c r="AR566" s="1425"/>
      <c r="AS566" s="1426"/>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492" t="str">
        <f>C554</f>
        <v>Chase - Tax Exempt Construction Loan</v>
      </c>
      <c r="H568" s="1492"/>
      <c r="I568" s="1492"/>
      <c r="J568" s="1492"/>
      <c r="K568" s="1492"/>
      <c r="L568" s="1492"/>
      <c r="M568" s="1492"/>
      <c r="N568" s="1492"/>
      <c r="O568" s="1492"/>
      <c r="P568" s="1492"/>
      <c r="Q568" s="1492"/>
      <c r="R568" s="1492"/>
      <c r="S568" s="8"/>
      <c r="T568" s="55" t="s">
        <v>113</v>
      </c>
      <c r="U568" t="s">
        <v>463</v>
      </c>
      <c r="Z568" s="1492" t="str">
        <f>C555</f>
        <v>Ferguson Foundation Grant - Sponsor Loan</v>
      </c>
      <c r="AA568" s="1492"/>
      <c r="AB568" s="1492"/>
      <c r="AC568" s="1492"/>
      <c r="AD568" s="1492"/>
      <c r="AE568" s="1492"/>
      <c r="AF568" s="1492"/>
      <c r="AG568" s="1492"/>
      <c r="AH568" s="1492"/>
      <c r="AI568" s="1492"/>
      <c r="AJ568" s="1492"/>
      <c r="AK568" s="1492"/>
      <c r="BB568" s="3"/>
      <c r="BC568" s="3"/>
      <c r="BD568" s="3"/>
      <c r="BE568" s="3"/>
      <c r="BF568" s="3"/>
      <c r="BG568" s="3"/>
      <c r="BH568" s="3"/>
      <c r="BI568" s="3"/>
    </row>
    <row r="569" spans="1:61" ht="12.95" customHeight="1">
      <c r="A569" s="22"/>
      <c r="B569" t="s">
        <v>85</v>
      </c>
      <c r="G569" s="1457" t="s">
        <v>2708</v>
      </c>
      <c r="H569" s="1457"/>
      <c r="I569" s="1457"/>
      <c r="J569" s="1457"/>
      <c r="K569" s="1457"/>
      <c r="L569" s="1457"/>
      <c r="M569" s="1457"/>
      <c r="N569" s="1457"/>
      <c r="O569" s="1457"/>
      <c r="P569" s="1457"/>
      <c r="Q569" s="1457"/>
      <c r="R569" s="1457"/>
      <c r="S569" s="8"/>
      <c r="T569" s="22"/>
      <c r="U569" t="s">
        <v>85</v>
      </c>
      <c r="Z569" s="1457" t="s">
        <v>2713</v>
      </c>
      <c r="AA569" s="1457"/>
      <c r="AB569" s="1457"/>
      <c r="AC569" s="1457"/>
      <c r="AD569" s="1457"/>
      <c r="AE569" s="1457"/>
      <c r="AF569" s="1457"/>
      <c r="AG569" s="1457"/>
      <c r="AH569" s="1457"/>
      <c r="AI569" s="1457"/>
      <c r="AJ569" s="1457"/>
      <c r="AK569" s="1457"/>
      <c r="BB569" s="3"/>
      <c r="BC569" s="3"/>
      <c r="BD569" s="3"/>
      <c r="BE569" s="3"/>
      <c r="BF569" s="3"/>
      <c r="BG569" s="3"/>
      <c r="BH569" s="3"/>
      <c r="BI569" s="3"/>
    </row>
    <row r="570" spans="1:61" ht="12.95" customHeight="1">
      <c r="A570" s="22"/>
      <c r="B570" t="s">
        <v>580</v>
      </c>
      <c r="G570" s="1457" t="s">
        <v>2709</v>
      </c>
      <c r="H570" s="1457"/>
      <c r="I570" s="1457"/>
      <c r="J570" s="1457"/>
      <c r="K570" s="1457"/>
      <c r="L570" s="1457"/>
      <c r="M570" s="1457"/>
      <c r="N570" s="1457"/>
      <c r="O570" s="1457"/>
      <c r="P570" s="1457"/>
      <c r="Q570" s="1457"/>
      <c r="R570" s="1457"/>
      <c r="T570" s="22"/>
      <c r="U570" t="s">
        <v>580</v>
      </c>
      <c r="Z570" s="1416" t="s">
        <v>2634</v>
      </c>
      <c r="AA570" s="1416"/>
      <c r="AB570" s="1416"/>
      <c r="AC570" s="1416"/>
      <c r="AD570" s="1416"/>
      <c r="AE570" s="1416"/>
      <c r="AF570" s="1416"/>
      <c r="AG570" s="1416"/>
      <c r="AH570" s="1416"/>
      <c r="AI570" s="1416"/>
      <c r="AJ570" s="1416"/>
      <c r="AK570" s="1416"/>
      <c r="BB570" s="3"/>
      <c r="BC570" s="3"/>
      <c r="BD570" s="3"/>
      <c r="BE570" s="3"/>
      <c r="BF570" s="3"/>
      <c r="BG570" s="3"/>
      <c r="BH570" s="3"/>
      <c r="BI570" s="3"/>
    </row>
    <row r="571" spans="1:61" ht="12.95" customHeight="1">
      <c r="A571" s="22"/>
      <c r="B571" t="s">
        <v>17</v>
      </c>
      <c r="G571" s="1457" t="s">
        <v>2710</v>
      </c>
      <c r="H571" s="1457"/>
      <c r="I571" s="1457"/>
      <c r="J571" s="1457"/>
      <c r="K571" s="1457"/>
      <c r="L571" s="1457"/>
      <c r="M571" s="1457"/>
      <c r="N571" s="1457"/>
      <c r="O571" s="1457"/>
      <c r="P571" s="1457"/>
      <c r="Q571" s="1457"/>
      <c r="R571" s="1457"/>
      <c r="S571" s="8"/>
      <c r="T571" s="22"/>
      <c r="U571" t="s">
        <v>17</v>
      </c>
      <c r="Z571" s="1416" t="s">
        <v>2628</v>
      </c>
      <c r="AA571" s="1416"/>
      <c r="AB571" s="1416"/>
      <c r="AC571" s="1416"/>
      <c r="AD571" s="1416"/>
      <c r="AE571" s="1416"/>
      <c r="AF571" s="1416"/>
      <c r="AG571" s="1416"/>
      <c r="AH571" s="1416"/>
      <c r="AI571" s="1416"/>
      <c r="AJ571" s="1416"/>
      <c r="AK571" s="1416"/>
      <c r="BB571" s="3"/>
      <c r="BC571" s="3"/>
      <c r="BD571" s="3"/>
      <c r="BE571" s="3"/>
      <c r="BF571" s="3"/>
      <c r="BG571" s="3"/>
      <c r="BH571" s="3"/>
      <c r="BI571" s="3"/>
    </row>
    <row r="572" spans="1:61" ht="12.95" customHeight="1">
      <c r="A572" s="22"/>
      <c r="B572" t="s">
        <v>315</v>
      </c>
      <c r="G572" s="1464" t="s">
        <v>2711</v>
      </c>
      <c r="H572" s="1464"/>
      <c r="I572" s="1464"/>
      <c r="J572" s="1464"/>
      <c r="K572" s="1464"/>
      <c r="L572" s="1464"/>
      <c r="O572" s="33" t="s">
        <v>205</v>
      </c>
      <c r="P572" s="1459"/>
      <c r="Q572" s="1459"/>
      <c r="R572" s="1459"/>
      <c r="S572" s="10"/>
      <c r="T572" s="22"/>
      <c r="U572" t="s">
        <v>315</v>
      </c>
      <c r="Z572" s="1464" t="s">
        <v>2715</v>
      </c>
      <c r="AA572" s="1464"/>
      <c r="AB572" s="1464"/>
      <c r="AC572" s="1464"/>
      <c r="AD572" s="1464"/>
      <c r="AE572" s="1464"/>
      <c r="AH572" s="33" t="s">
        <v>205</v>
      </c>
      <c r="AI572" s="1459"/>
      <c r="AJ572" s="1459"/>
      <c r="AK572" s="1459"/>
      <c r="BB572" s="3"/>
      <c r="BC572" s="3"/>
      <c r="BD572" s="3"/>
      <c r="BE572" s="3"/>
      <c r="BF572" s="3"/>
      <c r="BG572" s="3"/>
      <c r="BH572" s="3"/>
      <c r="BI572" s="3"/>
    </row>
    <row r="573" spans="1:61" ht="12.95" customHeight="1">
      <c r="A573" s="22"/>
      <c r="B573" t="s">
        <v>18</v>
      </c>
      <c r="H573" s="1457" t="s">
        <v>249</v>
      </c>
      <c r="I573" s="1457"/>
      <c r="J573" s="1457"/>
      <c r="K573" s="1457"/>
      <c r="L573" s="1457"/>
      <c r="M573" s="1457"/>
      <c r="N573" s="1457"/>
      <c r="O573" s="1457"/>
      <c r="P573" s="1457"/>
      <c r="Q573" s="1457"/>
      <c r="R573" s="1457"/>
      <c r="S573" s="8"/>
      <c r="T573" s="22"/>
      <c r="U573" t="s">
        <v>18</v>
      </c>
      <c r="AA573" s="1457" t="s">
        <v>249</v>
      </c>
      <c r="AB573" s="1457"/>
      <c r="AC573" s="1457"/>
      <c r="AD573" s="1457"/>
      <c r="AE573" s="1457"/>
      <c r="AF573" s="1457"/>
      <c r="AG573" s="1457"/>
      <c r="AH573" s="1457"/>
      <c r="AI573" s="1457"/>
      <c r="AJ573" s="1457"/>
      <c r="AK573" s="1457"/>
      <c r="BB573" s="3"/>
      <c r="BC573" s="3"/>
      <c r="BD573" s="3"/>
      <c r="BE573" s="3"/>
      <c r="BF573" s="3"/>
      <c r="BG573" s="3"/>
      <c r="BH573" s="3"/>
      <c r="BI573" s="3"/>
    </row>
    <row r="574" spans="1:61" ht="12.95" customHeight="1">
      <c r="A574" s="22"/>
      <c r="B574" s="321" t="s">
        <v>1185</v>
      </c>
      <c r="H574" s="8"/>
      <c r="I574" s="8"/>
      <c r="J574" s="8"/>
      <c r="K574" s="8"/>
      <c r="L574" s="8"/>
      <c r="M574" s="1493"/>
      <c r="N574" s="1493"/>
      <c r="O574" s="1493"/>
      <c r="P574" s="1493"/>
      <c r="Q574" s="1493"/>
      <c r="R574" s="1493"/>
      <c r="S574" s="8"/>
      <c r="T574" s="22"/>
      <c r="U574" s="321" t="s">
        <v>1185</v>
      </c>
      <c r="AA574" s="8"/>
      <c r="AB574" s="8"/>
      <c r="AC574" s="8"/>
      <c r="AD574" s="8"/>
      <c r="AE574" s="8"/>
      <c r="AF574" s="1493"/>
      <c r="AG574" s="1493"/>
      <c r="AH574" s="1493"/>
      <c r="AI574" s="1493"/>
      <c r="AJ574" s="1493"/>
      <c r="AK574" s="1493"/>
      <c r="BB574" s="3"/>
      <c r="BC574" s="3"/>
      <c r="BD574" s="3"/>
      <c r="BE574" s="3"/>
      <c r="BF574" s="3"/>
      <c r="BG574" s="3"/>
      <c r="BH574" s="3"/>
      <c r="BI574" s="3"/>
    </row>
    <row r="575" spans="1:61" ht="12.95" customHeight="1">
      <c r="A575" s="22"/>
      <c r="B575" t="s">
        <v>20</v>
      </c>
      <c r="N575" s="1398" t="s">
        <v>545</v>
      </c>
      <c r="O575" s="1398"/>
      <c r="T575" s="22"/>
      <c r="U575" t="s">
        <v>20</v>
      </c>
      <c r="AG575" s="1398" t="s">
        <v>545</v>
      </c>
      <c r="AH575" s="139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92" t="str">
        <f>C556</f>
        <v>City of Oakland Loan</v>
      </c>
      <c r="H577" s="1492"/>
      <c r="I577" s="1492"/>
      <c r="J577" s="1492"/>
      <c r="K577" s="1492"/>
      <c r="L577" s="1492"/>
      <c r="M577" s="1492"/>
      <c r="N577" s="1492"/>
      <c r="O577" s="1492"/>
      <c r="P577" s="1492"/>
      <c r="Q577" s="1492"/>
      <c r="R577" s="1492"/>
      <c r="T577" s="55" t="s">
        <v>581</v>
      </c>
      <c r="U577" t="s">
        <v>463</v>
      </c>
      <c r="Z577" s="1492" t="str">
        <f>C557</f>
        <v xml:space="preserve">Donated Land </v>
      </c>
      <c r="AA577" s="1492"/>
      <c r="AB577" s="1492"/>
      <c r="AC577" s="1492"/>
      <c r="AD577" s="1492"/>
      <c r="AE577" s="1492"/>
      <c r="AF577" s="1492"/>
      <c r="AG577" s="1492"/>
      <c r="AH577" s="1492"/>
      <c r="AI577" s="1492"/>
      <c r="AJ577" s="1492"/>
      <c r="AK577" s="1492"/>
      <c r="BB577" s="3"/>
      <c r="BC577" s="3"/>
    </row>
    <row r="578" spans="1:55" ht="12.95" customHeight="1">
      <c r="A578" s="22"/>
      <c r="B578" t="s">
        <v>85</v>
      </c>
      <c r="G578" s="1457" t="s">
        <v>2716</v>
      </c>
      <c r="H578" s="1457"/>
      <c r="I578" s="1457"/>
      <c r="J578" s="1457"/>
      <c r="K578" s="1457"/>
      <c r="L578" s="1457"/>
      <c r="M578" s="1457"/>
      <c r="N578" s="1457"/>
      <c r="O578" s="1457"/>
      <c r="P578" s="1457"/>
      <c r="Q578" s="1457"/>
      <c r="R578" s="1457"/>
      <c r="T578" s="22"/>
      <c r="U578" t="s">
        <v>85</v>
      </c>
      <c r="Z578" s="1457" t="s">
        <v>2713</v>
      </c>
      <c r="AA578" s="1457"/>
      <c r="AB578" s="1457"/>
      <c r="AC578" s="1457"/>
      <c r="AD578" s="1457"/>
      <c r="AE578" s="1457"/>
      <c r="AF578" s="1457"/>
      <c r="AG578" s="1457"/>
      <c r="AH578" s="1457"/>
      <c r="AI578" s="1457"/>
      <c r="AJ578" s="1457"/>
      <c r="AK578" s="1457"/>
      <c r="BB578" s="3"/>
      <c r="BC578" s="3"/>
    </row>
    <row r="579" spans="1:55" ht="12.95" customHeight="1">
      <c r="A579" s="22"/>
      <c r="B579" t="s">
        <v>580</v>
      </c>
      <c r="G579" s="1416" t="s">
        <v>2637</v>
      </c>
      <c r="H579" s="1416"/>
      <c r="I579" s="1416"/>
      <c r="J579" s="1416"/>
      <c r="K579" s="1416"/>
      <c r="L579" s="1416"/>
      <c r="M579" s="1416"/>
      <c r="N579" s="1416"/>
      <c r="O579" s="1416"/>
      <c r="P579" s="1416"/>
      <c r="Q579" s="1416"/>
      <c r="R579" s="1416"/>
      <c r="T579" s="22"/>
      <c r="U579" t="s">
        <v>580</v>
      </c>
      <c r="Z579" s="1416" t="s">
        <v>2634</v>
      </c>
      <c r="AA579" s="1416"/>
      <c r="AB579" s="1416"/>
      <c r="AC579" s="1416"/>
      <c r="AD579" s="1416"/>
      <c r="AE579" s="1416"/>
      <c r="AF579" s="1416"/>
      <c r="AG579" s="1416"/>
      <c r="AH579" s="1416"/>
      <c r="AI579" s="1416"/>
      <c r="AJ579" s="1416"/>
      <c r="AK579" s="1416"/>
      <c r="BB579" s="3"/>
      <c r="BC579" s="3"/>
    </row>
    <row r="580" spans="1:55" ht="12.95" customHeight="1">
      <c r="A580" s="22"/>
      <c r="B580" t="s">
        <v>17</v>
      </c>
      <c r="G580" s="1416" t="s">
        <v>2717</v>
      </c>
      <c r="H580" s="1416"/>
      <c r="I580" s="1416"/>
      <c r="J580" s="1416"/>
      <c r="K580" s="1416"/>
      <c r="L580" s="1416"/>
      <c r="M580" s="1416"/>
      <c r="N580" s="1416"/>
      <c r="O580" s="1416"/>
      <c r="P580" s="1416"/>
      <c r="Q580" s="1416"/>
      <c r="R580" s="1416"/>
      <c r="T580" s="22"/>
      <c r="U580" t="s">
        <v>17</v>
      </c>
      <c r="Z580" s="1416" t="s">
        <v>2628</v>
      </c>
      <c r="AA580" s="1416"/>
      <c r="AB580" s="1416"/>
      <c r="AC580" s="1416"/>
      <c r="AD580" s="1416"/>
      <c r="AE580" s="1416"/>
      <c r="AF580" s="1416"/>
      <c r="AG580" s="1416"/>
      <c r="AH580" s="1416"/>
      <c r="AI580" s="1416"/>
      <c r="AJ580" s="1416"/>
      <c r="AK580" s="1416"/>
      <c r="BB580" s="3"/>
      <c r="BC580" s="3"/>
    </row>
    <row r="581" spans="1:55" ht="12.95" customHeight="1">
      <c r="A581" s="22"/>
      <c r="B581" t="s">
        <v>315</v>
      </c>
      <c r="G581" s="1464" t="s">
        <v>2718</v>
      </c>
      <c r="H581" s="1464"/>
      <c r="I581" s="1464"/>
      <c r="J581" s="1464"/>
      <c r="K581" s="1464"/>
      <c r="L581" s="1464"/>
      <c r="O581" s="33" t="s">
        <v>205</v>
      </c>
      <c r="P581" s="1459"/>
      <c r="Q581" s="1459"/>
      <c r="R581" s="1459"/>
      <c r="T581" s="22"/>
      <c r="U581" t="s">
        <v>315</v>
      </c>
      <c r="Z581" s="1464" t="s">
        <v>2715</v>
      </c>
      <c r="AA581" s="1464"/>
      <c r="AB581" s="1464"/>
      <c r="AC581" s="1464"/>
      <c r="AD581" s="1464"/>
      <c r="AE581" s="1464"/>
      <c r="AH581" s="33" t="s">
        <v>205</v>
      </c>
      <c r="AI581" s="1459"/>
      <c r="AJ581" s="1459"/>
      <c r="AK581" s="1459"/>
      <c r="BB581" s="3"/>
      <c r="BC581" s="3"/>
    </row>
    <row r="582" spans="1:55" ht="12.95" customHeight="1">
      <c r="A582" s="22"/>
      <c r="B582" t="s">
        <v>18</v>
      </c>
      <c r="H582" s="1457"/>
      <c r="I582" s="1457"/>
      <c r="J582" s="1457"/>
      <c r="K582" s="1457"/>
      <c r="L582" s="1457"/>
      <c r="M582" s="1457"/>
      <c r="N582" s="1457"/>
      <c r="O582" s="1457"/>
      <c r="P582" s="1457"/>
      <c r="Q582" s="1457"/>
      <c r="R582" s="1457"/>
      <c r="T582" s="22"/>
      <c r="U582" t="s">
        <v>18</v>
      </c>
      <c r="AA582" s="1457"/>
      <c r="AB582" s="1457"/>
      <c r="AC582" s="1457"/>
      <c r="AD582" s="1457"/>
      <c r="AE582" s="1457"/>
      <c r="AF582" s="1457"/>
      <c r="AG582" s="1457"/>
      <c r="AH582" s="1457"/>
      <c r="AI582" s="1457"/>
      <c r="AJ582" s="1457"/>
      <c r="AK582" s="1457"/>
      <c r="BB582" s="3"/>
      <c r="BC582" s="3"/>
    </row>
    <row r="583" spans="1:55" ht="12.95" customHeight="1">
      <c r="A583" s="22"/>
      <c r="B583" t="s">
        <v>20</v>
      </c>
      <c r="N583" s="1398" t="s">
        <v>545</v>
      </c>
      <c r="O583" s="1398"/>
      <c r="T583" s="22"/>
      <c r="U583" t="s">
        <v>20</v>
      </c>
      <c r="AG583" s="1398" t="s">
        <v>545</v>
      </c>
      <c r="AH583" s="1398"/>
      <c r="BB583" s="3"/>
      <c r="BC583" s="3"/>
    </row>
    <row r="584" spans="1:55" ht="12.95" customHeight="1">
      <c r="A584" s="22"/>
      <c r="T584" s="22"/>
      <c r="BB584" s="3"/>
      <c r="BC584" s="3"/>
    </row>
    <row r="585" spans="1:55" ht="12.95" customHeight="1">
      <c r="A585" s="55" t="s">
        <v>763</v>
      </c>
      <c r="B585" t="s">
        <v>463</v>
      </c>
      <c r="G585" s="1492" t="str">
        <f>C558</f>
        <v>Deferred Developer Fee</v>
      </c>
      <c r="H585" s="1492"/>
      <c r="I585" s="1492"/>
      <c r="J585" s="1492"/>
      <c r="K585" s="1492"/>
      <c r="L585" s="1492"/>
      <c r="M585" s="1492"/>
      <c r="N585" s="1492"/>
      <c r="O585" s="1492"/>
      <c r="P585" s="1492"/>
      <c r="Q585" s="1492"/>
      <c r="R585" s="1492"/>
      <c r="T585" s="55" t="s">
        <v>584</v>
      </c>
      <c r="U585" t="s">
        <v>463</v>
      </c>
      <c r="Z585" s="1492" t="str">
        <f>C559</f>
        <v>Accrued Deferred Interest (City of Oakland Loan, Sponsor Gap Loan)</v>
      </c>
      <c r="AA585" s="1492"/>
      <c r="AB585" s="1492"/>
      <c r="AC585" s="1492"/>
      <c r="AD585" s="1492"/>
      <c r="AE585" s="1492"/>
      <c r="AF585" s="1492"/>
      <c r="AG585" s="1492"/>
      <c r="AH585" s="1492"/>
      <c r="AI585" s="1492"/>
      <c r="AJ585" s="1492"/>
      <c r="AK585" s="1492"/>
      <c r="BB585" s="3"/>
      <c r="BC585" s="3"/>
    </row>
    <row r="586" spans="1:55" ht="12.95" customHeight="1">
      <c r="A586" s="22"/>
      <c r="B586" t="s">
        <v>85</v>
      </c>
      <c r="G586" s="1457" t="s">
        <v>2713</v>
      </c>
      <c r="H586" s="1457"/>
      <c r="I586" s="1457"/>
      <c r="J586" s="1457"/>
      <c r="K586" s="1457"/>
      <c r="L586" s="1457"/>
      <c r="M586" s="1457"/>
      <c r="N586" s="1457"/>
      <c r="O586" s="1457"/>
      <c r="P586" s="1457"/>
      <c r="Q586" s="1457"/>
      <c r="R586" s="1457"/>
      <c r="T586" s="22"/>
      <c r="U586" t="s">
        <v>85</v>
      </c>
      <c r="Z586" s="1457" t="s">
        <v>2716</v>
      </c>
      <c r="AA586" s="1457"/>
      <c r="AB586" s="1457"/>
      <c r="AC586" s="1457"/>
      <c r="AD586" s="1457"/>
      <c r="AE586" s="1457"/>
      <c r="AF586" s="1457"/>
      <c r="AG586" s="1457"/>
      <c r="AH586" s="1457"/>
      <c r="AI586" s="1457"/>
      <c r="AJ586" s="1457"/>
      <c r="AK586" s="1457"/>
      <c r="BB586" s="3"/>
      <c r="BC586" s="3"/>
    </row>
    <row r="587" spans="1:55" ht="12.95" customHeight="1">
      <c r="A587" s="22"/>
      <c r="B587" t="s">
        <v>580</v>
      </c>
      <c r="G587" s="1457" t="s">
        <v>2634</v>
      </c>
      <c r="H587" s="1457"/>
      <c r="I587" s="1457"/>
      <c r="J587" s="1457"/>
      <c r="K587" s="1457"/>
      <c r="L587" s="1457"/>
      <c r="M587" s="1457"/>
      <c r="N587" s="1457"/>
      <c r="O587" s="1457"/>
      <c r="P587" s="1457"/>
      <c r="Q587" s="1457"/>
      <c r="R587" s="1457"/>
      <c r="T587" s="22"/>
      <c r="U587" t="s">
        <v>580</v>
      </c>
      <c r="Z587" s="1416" t="s">
        <v>2719</v>
      </c>
      <c r="AA587" s="1416"/>
      <c r="AB587" s="1416"/>
      <c r="AC587" s="1416"/>
      <c r="AD587" s="1416"/>
      <c r="AE587" s="1416"/>
      <c r="AF587" s="1416"/>
      <c r="AG587" s="1416"/>
      <c r="AH587" s="1416"/>
      <c r="AI587" s="1416"/>
      <c r="AJ587" s="1416"/>
      <c r="AK587" s="1416"/>
      <c r="BB587" s="3"/>
      <c r="BC587" s="3"/>
    </row>
    <row r="588" spans="1:55" ht="12.95" customHeight="1">
      <c r="A588" s="22"/>
      <c r="B588" t="s">
        <v>17</v>
      </c>
      <c r="G588" s="1457" t="s">
        <v>2628</v>
      </c>
      <c r="H588" s="1457"/>
      <c r="I588" s="1457"/>
      <c r="J588" s="1457"/>
      <c r="K588" s="1457"/>
      <c r="L588" s="1457"/>
      <c r="M588" s="1457"/>
      <c r="N588" s="1457"/>
      <c r="O588" s="1457"/>
      <c r="P588" s="1457"/>
      <c r="Q588" s="1457"/>
      <c r="R588" s="1457"/>
      <c r="T588" s="22"/>
      <c r="U588" t="s">
        <v>17</v>
      </c>
      <c r="Z588" s="1416" t="s">
        <v>2717</v>
      </c>
      <c r="AA588" s="1416"/>
      <c r="AB588" s="1416"/>
      <c r="AC588" s="1416"/>
      <c r="AD588" s="1416"/>
      <c r="AE588" s="1416"/>
      <c r="AF588" s="1416"/>
      <c r="AG588" s="1416"/>
      <c r="AH588" s="1416"/>
      <c r="AI588" s="1416"/>
      <c r="AJ588" s="1416"/>
      <c r="AK588" s="1416"/>
    </row>
    <row r="589" spans="1:55" ht="12.95" customHeight="1">
      <c r="A589" s="22"/>
      <c r="B589" t="s">
        <v>315</v>
      </c>
      <c r="G589" s="1464" t="s">
        <v>2715</v>
      </c>
      <c r="H589" s="1464"/>
      <c r="I589" s="1464"/>
      <c r="J589" s="1464"/>
      <c r="K589" s="1464"/>
      <c r="L589" s="1464"/>
      <c r="O589" s="33" t="s">
        <v>205</v>
      </c>
      <c r="P589" s="1459"/>
      <c r="Q589" s="1459"/>
      <c r="R589" s="1459"/>
      <c r="T589" s="22"/>
      <c r="U589" t="s">
        <v>315</v>
      </c>
      <c r="Z589" s="1464" t="s">
        <v>2718</v>
      </c>
      <c r="AA589" s="1464"/>
      <c r="AB589" s="1464"/>
      <c r="AC589" s="1464"/>
      <c r="AD589" s="1464"/>
      <c r="AE589" s="1464"/>
      <c r="AH589" s="33" t="s">
        <v>205</v>
      </c>
      <c r="AI589" s="1459"/>
      <c r="AJ589" s="1459"/>
      <c r="AK589" s="1459"/>
      <c r="AZ589" s="3"/>
      <c r="BA589" s="3"/>
      <c r="BB589" s="3"/>
      <c r="BC589" s="3"/>
    </row>
    <row r="590" spans="1:55" ht="12.95" customHeight="1">
      <c r="A590" s="22"/>
      <c r="B590" t="s">
        <v>18</v>
      </c>
      <c r="H590" s="1457"/>
      <c r="I590" s="1457"/>
      <c r="J590" s="1457"/>
      <c r="K590" s="1457"/>
      <c r="L590" s="1457"/>
      <c r="M590" s="1457"/>
      <c r="N590" s="1457"/>
      <c r="O590" s="1457"/>
      <c r="P590" s="1457"/>
      <c r="Q590" s="1457"/>
      <c r="R590" s="1457"/>
      <c r="T590" s="22"/>
      <c r="U590" t="s">
        <v>18</v>
      </c>
      <c r="AA590" s="1457"/>
      <c r="AB590" s="1457"/>
      <c r="AC590" s="1457"/>
      <c r="AD590" s="1457"/>
      <c r="AE590" s="1457"/>
      <c r="AF590" s="1457"/>
      <c r="AG590" s="1457"/>
      <c r="AH590" s="1457"/>
      <c r="AI590" s="1457"/>
      <c r="AJ590" s="1457"/>
      <c r="AK590" s="1457"/>
      <c r="AZ590" s="3"/>
      <c r="BA590" s="3"/>
      <c r="BB590" s="3"/>
      <c r="BC590" s="3"/>
    </row>
    <row r="591" spans="1:55" ht="12.95" customHeight="1">
      <c r="A591" s="22"/>
      <c r="B591" t="s">
        <v>20</v>
      </c>
      <c r="N591" s="1398" t="s">
        <v>545</v>
      </c>
      <c r="O591" s="1398"/>
      <c r="T591" s="22"/>
      <c r="U591" t="s">
        <v>20</v>
      </c>
      <c r="AG591" s="1398" t="s">
        <v>545</v>
      </c>
      <c r="AH591" s="1398"/>
      <c r="AZ591" s="3"/>
      <c r="BA591" s="3"/>
      <c r="BB591" s="3"/>
      <c r="BC591" s="3"/>
    </row>
    <row r="592" spans="1:55" ht="12.95" customHeight="1">
      <c r="A592" s="22"/>
      <c r="T592" s="22"/>
      <c r="AZ592" s="3"/>
      <c r="BA592" s="3"/>
      <c r="BB592" s="3"/>
      <c r="BC592" s="3"/>
    </row>
    <row r="593" spans="1:55" ht="12.95" customHeight="1">
      <c r="A593" s="55" t="s">
        <v>455</v>
      </c>
      <c r="B593" t="s">
        <v>463</v>
      </c>
      <c r="G593" s="1492" t="str">
        <f>C560</f>
        <v xml:space="preserve">GP Capital </v>
      </c>
      <c r="H593" s="1492"/>
      <c r="I593" s="1492"/>
      <c r="J593" s="1492"/>
      <c r="K593" s="1492"/>
      <c r="L593" s="1492"/>
      <c r="M593" s="1492"/>
      <c r="N593" s="1492"/>
      <c r="O593" s="1492"/>
      <c r="P593" s="1492"/>
      <c r="Q593" s="1492"/>
      <c r="R593" s="1492"/>
      <c r="T593" s="55" t="s">
        <v>456</v>
      </c>
      <c r="U593" t="s">
        <v>463</v>
      </c>
      <c r="Z593" s="1492" t="str">
        <f>C561</f>
        <v>Costs Deferred Until Conversion</v>
      </c>
      <c r="AA593" s="1492"/>
      <c r="AB593" s="1492"/>
      <c r="AC593" s="1492"/>
      <c r="AD593" s="1492"/>
      <c r="AE593" s="1492"/>
      <c r="AF593" s="1492"/>
      <c r="AG593" s="1492"/>
      <c r="AH593" s="1492"/>
      <c r="AI593" s="1492"/>
      <c r="AJ593" s="1492"/>
      <c r="AK593" s="1492"/>
      <c r="AZ593" s="3"/>
      <c r="BA593" s="3"/>
      <c r="BB593" s="3"/>
      <c r="BC593" s="3"/>
    </row>
    <row r="594" spans="1:55" s="4" customFormat="1" ht="12.95" customHeight="1">
      <c r="A594" s="22"/>
      <c r="B594" t="s">
        <v>85</v>
      </c>
      <c r="C594"/>
      <c r="D594"/>
      <c r="E594"/>
      <c r="F594"/>
      <c r="G594" s="1457" t="s">
        <v>2713</v>
      </c>
      <c r="H594" s="1457"/>
      <c r="I594" s="1457"/>
      <c r="J594" s="1457"/>
      <c r="K594" s="1457"/>
      <c r="L594" s="1457"/>
      <c r="M594" s="1457"/>
      <c r="N594" s="1457"/>
      <c r="O594" s="1457"/>
      <c r="P594" s="1457"/>
      <c r="Q594" s="1457"/>
      <c r="R594" s="1457"/>
      <c r="S594"/>
      <c r="T594" s="22"/>
      <c r="U594" t="s">
        <v>85</v>
      </c>
      <c r="V594"/>
      <c r="W594"/>
      <c r="X594"/>
      <c r="Y594"/>
      <c r="Z594" s="1457" t="s">
        <v>2722</v>
      </c>
      <c r="AA594" s="1457"/>
      <c r="AB594" s="1457"/>
      <c r="AC594" s="1457"/>
      <c r="AD594" s="1457"/>
      <c r="AE594" s="1457"/>
      <c r="AF594" s="1457"/>
      <c r="AG594" s="1457"/>
      <c r="AH594" s="1457"/>
      <c r="AI594" s="1457"/>
      <c r="AJ594" s="1457"/>
      <c r="AK594" s="145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57" t="s">
        <v>2634</v>
      </c>
      <c r="H595" s="1457"/>
      <c r="I595" s="1457"/>
      <c r="J595" s="1457"/>
      <c r="K595" s="1457"/>
      <c r="L595" s="1457"/>
      <c r="M595" s="1457"/>
      <c r="N595" s="1457"/>
      <c r="O595" s="1457"/>
      <c r="P595" s="1457"/>
      <c r="Q595" s="1457"/>
      <c r="R595" s="1457"/>
      <c r="S595"/>
      <c r="T595" s="22"/>
      <c r="U595" t="s">
        <v>580</v>
      </c>
      <c r="V595"/>
      <c r="W595"/>
      <c r="X595"/>
      <c r="Y595"/>
      <c r="Z595" s="1416" t="s">
        <v>2720</v>
      </c>
      <c r="AA595" s="1416"/>
      <c r="AB595" s="1416"/>
      <c r="AC595" s="1416"/>
      <c r="AD595" s="1416"/>
      <c r="AE595" s="1416"/>
      <c r="AF595" s="1416"/>
      <c r="AG595" s="1416"/>
      <c r="AH595" s="1416"/>
      <c r="AI595" s="1416"/>
      <c r="AJ595" s="1416"/>
      <c r="AK595" s="1416"/>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57" t="s">
        <v>2628</v>
      </c>
      <c r="H596" s="1457"/>
      <c r="I596" s="1457"/>
      <c r="J596" s="1457"/>
      <c r="K596" s="1457"/>
      <c r="L596" s="1457"/>
      <c r="M596" s="1457"/>
      <c r="N596" s="1457"/>
      <c r="O596" s="1457"/>
      <c r="P596" s="1457"/>
      <c r="Q596" s="1457"/>
      <c r="R596" s="1457"/>
      <c r="S596"/>
      <c r="T596" s="22"/>
      <c r="U596" t="s">
        <v>17</v>
      </c>
      <c r="V596"/>
      <c r="W596"/>
      <c r="X596"/>
      <c r="Y596"/>
      <c r="Z596" s="1416" t="s">
        <v>2623</v>
      </c>
      <c r="AA596" s="1416"/>
      <c r="AB596" s="1416"/>
      <c r="AC596" s="1416"/>
      <c r="AD596" s="1416"/>
      <c r="AE596" s="1416"/>
      <c r="AF596" s="1416"/>
      <c r="AG596" s="1416"/>
      <c r="AH596" s="1416"/>
      <c r="AI596" s="1416"/>
      <c r="AJ596" s="1416"/>
      <c r="AK596" s="1416"/>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64" t="s">
        <v>2715</v>
      </c>
      <c r="H597" s="1464"/>
      <c r="I597" s="1464"/>
      <c r="J597" s="1464"/>
      <c r="K597" s="1464"/>
      <c r="L597" s="1464"/>
      <c r="M597"/>
      <c r="N597"/>
      <c r="O597" s="33" t="s">
        <v>205</v>
      </c>
      <c r="P597" s="1459"/>
      <c r="Q597" s="1459"/>
      <c r="R597" s="1459"/>
      <c r="S597"/>
      <c r="T597" s="22"/>
      <c r="U597" t="s">
        <v>315</v>
      </c>
      <c r="V597"/>
      <c r="W597"/>
      <c r="X597"/>
      <c r="Y597"/>
      <c r="Z597" s="1464" t="s">
        <v>2714</v>
      </c>
      <c r="AA597" s="1464"/>
      <c r="AB597" s="1464"/>
      <c r="AC597" s="1464"/>
      <c r="AD597" s="1464"/>
      <c r="AE597" s="1464"/>
      <c r="AF597"/>
      <c r="AG597"/>
      <c r="AH597" s="33" t="s">
        <v>205</v>
      </c>
      <c r="AI597" s="1459"/>
      <c r="AJ597" s="1459"/>
      <c r="AK597" s="145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57"/>
      <c r="I598" s="1457"/>
      <c r="J598" s="1457"/>
      <c r="K598" s="1457"/>
      <c r="L598" s="1457"/>
      <c r="M598" s="1457"/>
      <c r="N598" s="1457"/>
      <c r="O598" s="1457"/>
      <c r="P598" s="1457"/>
      <c r="Q598" s="1457"/>
      <c r="R598" s="1457"/>
      <c r="S598"/>
      <c r="T598" s="22"/>
      <c r="U598" t="s">
        <v>18</v>
      </c>
      <c r="V598"/>
      <c r="W598"/>
      <c r="X598"/>
      <c r="Y598"/>
      <c r="Z598"/>
      <c r="AA598" s="1457"/>
      <c r="AB598" s="1457"/>
      <c r="AC598" s="1457"/>
      <c r="AD598" s="1457"/>
      <c r="AE598" s="1457"/>
      <c r="AF598" s="1457"/>
      <c r="AG598" s="1457"/>
      <c r="AH598" s="1457"/>
      <c r="AI598" s="1457"/>
      <c r="AJ598" s="1457"/>
      <c r="AK598" s="1457"/>
      <c r="AL598"/>
      <c r="AM598"/>
      <c r="AN598"/>
      <c r="AO598"/>
      <c r="AP598"/>
      <c r="AQ598"/>
      <c r="AR598"/>
      <c r="AS598"/>
      <c r="AT598"/>
      <c r="AU598"/>
      <c r="AV598"/>
      <c r="AW598"/>
      <c r="AX598"/>
      <c r="AY598"/>
      <c r="BB598" s="3"/>
      <c r="BC598" s="3"/>
    </row>
    <row r="599" spans="1:55" ht="12.95" customHeight="1">
      <c r="A599" s="22"/>
      <c r="B599" t="s">
        <v>20</v>
      </c>
      <c r="N599" s="1398" t="s">
        <v>669</v>
      </c>
      <c r="O599" s="1398"/>
      <c r="T599" s="22"/>
      <c r="U599" t="s">
        <v>20</v>
      </c>
      <c r="AG599" s="1398" t="s">
        <v>545</v>
      </c>
      <c r="AH599" s="1398"/>
      <c r="BB599" s="3"/>
      <c r="BC599" s="3"/>
    </row>
    <row r="600" spans="1:55" ht="12.95" customHeight="1">
      <c r="A600" s="22"/>
      <c r="T600" s="22"/>
      <c r="BB600" s="3"/>
      <c r="BC600" s="3"/>
    </row>
    <row r="601" spans="1:55" ht="12.95" customHeight="1">
      <c r="A601" s="55" t="s">
        <v>461</v>
      </c>
      <c r="B601" t="s">
        <v>463</v>
      </c>
      <c r="G601" s="1492" t="str">
        <f>C562</f>
        <v>Limited Partner Tax Credit Equity</v>
      </c>
      <c r="H601" s="1492"/>
      <c r="I601" s="1492"/>
      <c r="J601" s="1492"/>
      <c r="K601" s="1492"/>
      <c r="L601" s="1492"/>
      <c r="M601" s="1492"/>
      <c r="N601" s="1492"/>
      <c r="O601" s="1492"/>
      <c r="P601" s="1492"/>
      <c r="Q601" s="1492"/>
      <c r="R601" s="1492"/>
      <c r="T601" s="55" t="s">
        <v>646</v>
      </c>
      <c r="U601" t="s">
        <v>463</v>
      </c>
      <c r="Z601" s="1492">
        <f>C563</f>
        <v>0</v>
      </c>
      <c r="AA601" s="1492"/>
      <c r="AB601" s="1492"/>
      <c r="AC601" s="1492"/>
      <c r="AD601" s="1492"/>
      <c r="AE601" s="1492"/>
      <c r="AF601" s="1492"/>
      <c r="AG601" s="1492"/>
      <c r="AH601" s="1492"/>
      <c r="AI601" s="1492"/>
      <c r="AJ601" s="1492"/>
      <c r="AK601" s="1492"/>
      <c r="BB601" s="3"/>
      <c r="BC601" s="3"/>
    </row>
    <row r="602" spans="1:55" ht="12.95" customHeight="1">
      <c r="A602" s="22"/>
      <c r="B602" t="s">
        <v>85</v>
      </c>
      <c r="G602" s="1457" t="s">
        <v>2721</v>
      </c>
      <c r="H602" s="1457"/>
      <c r="I602" s="1457"/>
      <c r="J602" s="1457"/>
      <c r="K602" s="1457"/>
      <c r="L602" s="1457"/>
      <c r="M602" s="1457"/>
      <c r="N602" s="1457"/>
      <c r="O602" s="1457"/>
      <c r="P602" s="1457"/>
      <c r="Q602" s="1457"/>
      <c r="R602" s="1457"/>
      <c r="T602" s="22"/>
      <c r="U602" t="s">
        <v>85</v>
      </c>
      <c r="Z602" s="1457" t="s">
        <v>249</v>
      </c>
      <c r="AA602" s="1457"/>
      <c r="AB602" s="1457"/>
      <c r="AC602" s="1457"/>
      <c r="AD602" s="1457"/>
      <c r="AE602" s="1457"/>
      <c r="AF602" s="1457"/>
      <c r="AG602" s="1457"/>
      <c r="AH602" s="1457"/>
      <c r="AI602" s="1457"/>
      <c r="AJ602" s="1457"/>
      <c r="AK602" s="1457"/>
      <c r="AZ602" s="3"/>
      <c r="BA602" s="3"/>
      <c r="BB602" s="3"/>
      <c r="BC602" s="3"/>
    </row>
    <row r="603" spans="1:55" ht="12.95" customHeight="1">
      <c r="A603" s="22"/>
      <c r="B603" t="s">
        <v>580</v>
      </c>
      <c r="G603" s="1457"/>
      <c r="H603" s="1457"/>
      <c r="I603" s="1457"/>
      <c r="J603" s="1457"/>
      <c r="K603" s="1457"/>
      <c r="L603" s="1457"/>
      <c r="M603" s="1457"/>
      <c r="N603" s="1457"/>
      <c r="O603" s="1457"/>
      <c r="P603" s="1457"/>
      <c r="Q603" s="1457"/>
      <c r="R603" s="1457"/>
      <c r="T603" s="22"/>
      <c r="U603" t="s">
        <v>580</v>
      </c>
      <c r="Z603" s="1416" t="s">
        <v>249</v>
      </c>
      <c r="AA603" s="1416"/>
      <c r="AB603" s="1416"/>
      <c r="AC603" s="1416"/>
      <c r="AD603" s="1416"/>
      <c r="AE603" s="1416"/>
      <c r="AF603" s="1416"/>
      <c r="AG603" s="1416"/>
      <c r="AH603" s="1416"/>
      <c r="AI603" s="1416"/>
      <c r="AJ603" s="1416"/>
      <c r="AK603" s="1416"/>
      <c r="AZ603" s="3"/>
      <c r="BA603" s="3"/>
      <c r="BB603" s="3"/>
      <c r="BC603" s="3"/>
    </row>
    <row r="604" spans="1:55" ht="12.95" customHeight="1">
      <c r="A604" s="22"/>
      <c r="B604" t="s">
        <v>17</v>
      </c>
      <c r="G604" s="1457"/>
      <c r="H604" s="1457"/>
      <c r="I604" s="1457"/>
      <c r="J604" s="1457"/>
      <c r="K604" s="1457"/>
      <c r="L604" s="1457"/>
      <c r="M604" s="1457"/>
      <c r="N604" s="1457"/>
      <c r="O604" s="1457"/>
      <c r="P604" s="1457"/>
      <c r="Q604" s="1457"/>
      <c r="R604" s="1457"/>
      <c r="T604" s="22"/>
      <c r="U604" t="s">
        <v>17</v>
      </c>
      <c r="Z604" s="1416" t="s">
        <v>249</v>
      </c>
      <c r="AA604" s="1416"/>
      <c r="AB604" s="1416"/>
      <c r="AC604" s="1416"/>
      <c r="AD604" s="1416"/>
      <c r="AE604" s="1416"/>
      <c r="AF604" s="1416"/>
      <c r="AG604" s="1416"/>
      <c r="AH604" s="1416"/>
      <c r="AI604" s="1416"/>
      <c r="AJ604" s="1416"/>
      <c r="AK604" s="1416"/>
      <c r="AZ604" s="3"/>
      <c r="BA604" s="3"/>
      <c r="BB604" s="3"/>
      <c r="BC604" s="3"/>
    </row>
    <row r="605" spans="1:55" s="4" customFormat="1" ht="12.95" customHeight="1">
      <c r="A605" s="22"/>
      <c r="B605" t="s">
        <v>315</v>
      </c>
      <c r="C605"/>
      <c r="D605"/>
      <c r="E605"/>
      <c r="F605"/>
      <c r="G605" s="1464"/>
      <c r="H605" s="1464"/>
      <c r="I605" s="1464"/>
      <c r="J605" s="1464"/>
      <c r="K605" s="1464"/>
      <c r="L605" s="1464"/>
      <c r="M605"/>
      <c r="N605"/>
      <c r="O605" s="33" t="s">
        <v>205</v>
      </c>
      <c r="P605" s="1459"/>
      <c r="Q605" s="1459"/>
      <c r="R605" s="1459"/>
      <c r="S605"/>
      <c r="T605" s="22"/>
      <c r="U605" t="s">
        <v>315</v>
      </c>
      <c r="V605"/>
      <c r="W605"/>
      <c r="X605"/>
      <c r="Y605"/>
      <c r="Z605" s="1464" t="s">
        <v>249</v>
      </c>
      <c r="AA605" s="1464"/>
      <c r="AB605" s="1464"/>
      <c r="AC605" s="1464"/>
      <c r="AD605" s="1464"/>
      <c r="AE605" s="1464"/>
      <c r="AF605"/>
      <c r="AG605"/>
      <c r="AH605" s="33" t="s">
        <v>205</v>
      </c>
      <c r="AI605" s="1459"/>
      <c r="AJ605" s="1459"/>
      <c r="AK605" s="145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57"/>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98" t="s">
        <v>669</v>
      </c>
      <c r="O607" s="1398"/>
      <c r="P607"/>
      <c r="Q607"/>
      <c r="R607"/>
      <c r="S607"/>
      <c r="T607" s="22"/>
      <c r="U607" t="s">
        <v>20</v>
      </c>
      <c r="V607"/>
      <c r="W607"/>
      <c r="X607"/>
      <c r="Y607"/>
      <c r="Z607"/>
      <c r="AA607"/>
      <c r="AB607"/>
      <c r="AC607"/>
      <c r="AD607"/>
      <c r="AE607"/>
      <c r="AF607"/>
      <c r="AG607" s="1398" t="s">
        <v>669</v>
      </c>
      <c r="AH607" s="139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92">
        <f>C564</f>
        <v>0</v>
      </c>
      <c r="H609" s="1492"/>
      <c r="I609" s="1492"/>
      <c r="J609" s="1492"/>
      <c r="K609" s="1492"/>
      <c r="L609" s="1492"/>
      <c r="M609" s="1492"/>
      <c r="N609" s="1492"/>
      <c r="O609" s="1492"/>
      <c r="P609" s="1492"/>
      <c r="Q609" s="1492"/>
      <c r="R609" s="1492"/>
      <c r="T609" s="55" t="s">
        <v>362</v>
      </c>
      <c r="U609" t="s">
        <v>463</v>
      </c>
      <c r="Z609" s="1492">
        <f>C565</f>
        <v>0</v>
      </c>
      <c r="AA609" s="1492"/>
      <c r="AB609" s="1492"/>
      <c r="AC609" s="1492"/>
      <c r="AD609" s="1492"/>
      <c r="AE609" s="1492"/>
      <c r="AF609" s="1492"/>
      <c r="AG609" s="1492"/>
      <c r="AH609" s="1492"/>
      <c r="AI609" s="1492"/>
      <c r="AJ609" s="1492"/>
      <c r="AK609" s="1492"/>
      <c r="AZ609" s="3"/>
      <c r="BA609" s="3"/>
      <c r="BB609" s="3"/>
      <c r="BC609" s="3"/>
    </row>
    <row r="610" spans="1:55" ht="12.95" customHeight="1">
      <c r="B610" t="s">
        <v>85</v>
      </c>
      <c r="G610" s="1457"/>
      <c r="H610" s="1457"/>
      <c r="I610" s="1457"/>
      <c r="J610" s="1457"/>
      <c r="K610" s="1457"/>
      <c r="L610" s="1457"/>
      <c r="M610" s="1457"/>
      <c r="N610" s="1457"/>
      <c r="O610" s="1457"/>
      <c r="P610" s="1457"/>
      <c r="Q610" s="1457"/>
      <c r="R610" s="1457"/>
      <c r="U610" t="s">
        <v>85</v>
      </c>
      <c r="Z610" s="1457"/>
      <c r="AA610" s="1457"/>
      <c r="AB610" s="1457"/>
      <c r="AC610" s="1457"/>
      <c r="AD610" s="1457"/>
      <c r="AE610" s="1457"/>
      <c r="AF610" s="1457"/>
      <c r="AG610" s="1457"/>
      <c r="AH610" s="1457"/>
      <c r="AI610" s="1457"/>
      <c r="AJ610" s="1457"/>
      <c r="AK610" s="1457"/>
      <c r="AZ610" s="3"/>
      <c r="BA610" s="3"/>
      <c r="BB610" s="3"/>
      <c r="BC610" s="3"/>
    </row>
    <row r="611" spans="1:55" ht="12.95" customHeight="1">
      <c r="B611" t="s">
        <v>580</v>
      </c>
      <c r="G611" s="1457"/>
      <c r="H611" s="1457"/>
      <c r="I611" s="1457"/>
      <c r="J611" s="1457"/>
      <c r="K611" s="1457"/>
      <c r="L611" s="1457"/>
      <c r="M611" s="1457"/>
      <c r="N611" s="1457"/>
      <c r="O611" s="1457"/>
      <c r="P611" s="1457"/>
      <c r="Q611" s="1457"/>
      <c r="R611" s="1457"/>
      <c r="U611" t="s">
        <v>580</v>
      </c>
      <c r="Z611" s="1416"/>
      <c r="AA611" s="1416"/>
      <c r="AB611" s="1416"/>
      <c r="AC611" s="1416"/>
      <c r="AD611" s="1416"/>
      <c r="AE611" s="1416"/>
      <c r="AF611" s="1416"/>
      <c r="AG611" s="1416"/>
      <c r="AH611" s="1416"/>
      <c r="AI611" s="1416"/>
      <c r="AJ611" s="1416"/>
      <c r="AK611" s="1416"/>
      <c r="AZ611" s="3"/>
      <c r="BA611" s="3"/>
      <c r="BB611" s="3"/>
      <c r="BC611" s="3"/>
    </row>
    <row r="612" spans="1:55" ht="12.95" customHeight="1">
      <c r="B612" t="s">
        <v>17</v>
      </c>
      <c r="G612" s="1457"/>
      <c r="H612" s="1457"/>
      <c r="I612" s="1457"/>
      <c r="J612" s="1457"/>
      <c r="K612" s="1457"/>
      <c r="L612" s="1457"/>
      <c r="M612" s="1457"/>
      <c r="N612" s="1457"/>
      <c r="O612" s="1457"/>
      <c r="P612" s="1457"/>
      <c r="Q612" s="1457"/>
      <c r="R612" s="1457"/>
      <c r="U612" t="s">
        <v>17</v>
      </c>
      <c r="Z612" s="1416"/>
      <c r="AA612" s="1416"/>
      <c r="AB612" s="1416"/>
      <c r="AC612" s="1416"/>
      <c r="AD612" s="1416"/>
      <c r="AE612" s="1416"/>
      <c r="AF612" s="1416"/>
      <c r="AG612" s="1416"/>
      <c r="AH612" s="1416"/>
      <c r="AI612" s="1416"/>
      <c r="AJ612" s="1416"/>
      <c r="AK612" s="1416"/>
      <c r="AZ612" s="3"/>
      <c r="BA612" s="3"/>
      <c r="BB612" s="3"/>
      <c r="BC612" s="3"/>
    </row>
    <row r="613" spans="1:55" ht="12.95" customHeight="1">
      <c r="B613" t="s">
        <v>315</v>
      </c>
      <c r="G613" s="1464"/>
      <c r="H613" s="1464"/>
      <c r="I613" s="1464"/>
      <c r="J613" s="1464"/>
      <c r="K613" s="1464"/>
      <c r="L613" s="1464"/>
      <c r="O613" s="33" t="s">
        <v>205</v>
      </c>
      <c r="P613" s="1459"/>
      <c r="Q613" s="1459"/>
      <c r="R613" s="1459"/>
      <c r="U613" t="s">
        <v>315</v>
      </c>
      <c r="Z613" s="1464"/>
      <c r="AA613" s="1464"/>
      <c r="AB613" s="1464"/>
      <c r="AC613" s="1464"/>
      <c r="AD613" s="1464"/>
      <c r="AE613" s="1464"/>
      <c r="AH613" s="33" t="s">
        <v>205</v>
      </c>
      <c r="AI613" s="1459"/>
      <c r="AJ613" s="1459"/>
      <c r="AK613" s="1459"/>
      <c r="AZ613" s="3"/>
      <c r="BA613" s="3"/>
      <c r="BB613" s="3"/>
      <c r="BC613" s="3"/>
    </row>
    <row r="614" spans="1:55" ht="12.95" customHeight="1">
      <c r="B614" t="s">
        <v>18</v>
      </c>
      <c r="H614" s="1457"/>
      <c r="I614" s="1457"/>
      <c r="J614" s="1457"/>
      <c r="K614" s="1457"/>
      <c r="L614" s="1457"/>
      <c r="M614" s="1457"/>
      <c r="N614" s="1457"/>
      <c r="O614" s="1457"/>
      <c r="P614" s="1457"/>
      <c r="Q614" s="1457"/>
      <c r="R614" s="1457"/>
      <c r="U614" t="s">
        <v>18</v>
      </c>
      <c r="AA614" s="1457"/>
      <c r="AB614" s="1457"/>
      <c r="AC614" s="1457"/>
      <c r="AD614" s="1457"/>
      <c r="AE614" s="1457"/>
      <c r="AF614" s="1457"/>
      <c r="AG614" s="1457"/>
      <c r="AH614" s="1457"/>
      <c r="AI614" s="1457"/>
      <c r="AJ614" s="1457"/>
      <c r="AK614" s="1457"/>
      <c r="AU614" s="900"/>
      <c r="AV614" s="900"/>
      <c r="AW614" s="900"/>
      <c r="AX614" s="900"/>
      <c r="AY614" s="900"/>
      <c r="AZ614" s="3"/>
      <c r="BA614" s="3"/>
      <c r="BB614" s="3"/>
      <c r="BC614" s="3"/>
    </row>
    <row r="615" spans="1:55" ht="12.95" customHeight="1">
      <c r="B615" t="s">
        <v>20</v>
      </c>
      <c r="N615" s="1398" t="s">
        <v>669</v>
      </c>
      <c r="O615" s="1398"/>
      <c r="U615" t="s">
        <v>20</v>
      </c>
      <c r="AG615" s="1398" t="s">
        <v>669</v>
      </c>
      <c r="AH615" s="1398"/>
      <c r="AU615" s="900"/>
      <c r="AV615" s="900"/>
      <c r="AW615" s="900"/>
      <c r="AX615" s="900"/>
      <c r="AY615" s="900"/>
      <c r="AZ615" s="3"/>
      <c r="BA615" s="3"/>
      <c r="BB615" s="3"/>
      <c r="BC615" s="3"/>
    </row>
    <row r="616" spans="1:55" ht="12.95" customHeight="1">
      <c r="AZ616" s="3"/>
      <c r="BA616" s="3"/>
      <c r="BB616" s="3"/>
      <c r="BC616" s="3"/>
    </row>
    <row r="617" spans="1:55" ht="12.95" customHeight="1">
      <c r="A617" s="1285" t="s">
        <v>544</v>
      </c>
      <c r="B617" s="1285"/>
      <c r="C617" s="1285"/>
      <c r="D617" s="1285"/>
      <c r="E617" s="1285"/>
      <c r="F617" s="1285"/>
      <c r="G617" s="1285"/>
      <c r="H617" s="1285"/>
      <c r="I617" s="1285"/>
      <c r="J617" s="1285"/>
      <c r="K617" s="1285"/>
      <c r="L617" s="1285"/>
      <c r="M617" s="1285"/>
      <c r="N617" s="1285"/>
      <c r="O617" s="1285"/>
      <c r="P617" s="1285"/>
      <c r="Q617" s="1285"/>
      <c r="R617" s="1285"/>
      <c r="S617" s="1285"/>
      <c r="T617" s="1285"/>
      <c r="U617" s="1285"/>
      <c r="V617" s="1285"/>
      <c r="W617" s="1285"/>
      <c r="X617" s="1285"/>
      <c r="Y617" s="1285"/>
      <c r="Z617" s="1285"/>
      <c r="AA617" s="1285"/>
      <c r="AB617" s="1285"/>
      <c r="AC617" s="1285"/>
      <c r="AD617" s="1285"/>
      <c r="AE617" s="1285"/>
      <c r="AF617" s="1285"/>
      <c r="AG617" s="1285"/>
      <c r="AH617" s="1285"/>
      <c r="AI617" s="1285"/>
      <c r="AJ617" s="1285"/>
      <c r="AK617" s="1285"/>
      <c r="AL617" s="1285"/>
      <c r="AM617" s="1285"/>
      <c r="AN617" s="1285"/>
      <c r="AO617" s="1285"/>
      <c r="AP617" s="1285"/>
      <c r="AQ617" s="1285"/>
      <c r="AR617" s="1285"/>
      <c r="AS617" s="1285"/>
      <c r="AT617" s="1285"/>
      <c r="AZ617" s="3"/>
      <c r="BA617" s="3"/>
      <c r="BB617" s="3"/>
      <c r="BC617" s="3"/>
    </row>
    <row r="618" spans="1:55" ht="12.95" customHeight="1">
      <c r="A618" s="1285"/>
      <c r="B618" s="1285"/>
      <c r="C618" s="1285"/>
      <c r="D618" s="1285"/>
      <c r="E618" s="1285"/>
      <c r="F618" s="1285"/>
      <c r="G618" s="1285"/>
      <c r="H618" s="1285"/>
      <c r="I618" s="1285"/>
      <c r="J618" s="1285"/>
      <c r="K618" s="1285"/>
      <c r="L618" s="1285"/>
      <c r="M618" s="1285"/>
      <c r="N618" s="1285"/>
      <c r="O618" s="1285"/>
      <c r="P618" s="1285"/>
      <c r="Q618" s="1285"/>
      <c r="R618" s="1285"/>
      <c r="S618" s="1285"/>
      <c r="T618" s="1285"/>
      <c r="U618" s="1285"/>
      <c r="V618" s="1285"/>
      <c r="W618" s="1285"/>
      <c r="X618" s="1285"/>
      <c r="Y618" s="1285"/>
      <c r="Z618" s="1285"/>
      <c r="AA618" s="1285"/>
      <c r="AB618" s="1285"/>
      <c r="AC618" s="1285"/>
      <c r="AD618" s="1285"/>
      <c r="AE618" s="1285"/>
      <c r="AF618" s="1285"/>
      <c r="AG618" s="1285"/>
      <c r="AH618" s="1285"/>
      <c r="AI618" s="1285"/>
      <c r="AJ618" s="1285"/>
      <c r="AK618" s="1285"/>
      <c r="AL618" s="1285"/>
      <c r="AM618" s="1285"/>
      <c r="AN618" s="1285"/>
      <c r="AO618" s="1285"/>
      <c r="AP618" s="1285"/>
      <c r="AQ618" s="1285"/>
      <c r="AR618" s="1285"/>
      <c r="AS618" s="1285"/>
      <c r="AT618" s="1285"/>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461" t="s">
        <v>2104</v>
      </c>
      <c r="C624" s="1461"/>
      <c r="D624" s="1461"/>
      <c r="E624" s="1461"/>
      <c r="F624" s="1461"/>
      <c r="G624" s="1461"/>
      <c r="H624" s="1461"/>
      <c r="I624" s="1461"/>
      <c r="J624" s="1461"/>
      <c r="K624" s="1461"/>
      <c r="L624" s="1461"/>
      <c r="M624" s="1678" t="s">
        <v>2105</v>
      </c>
      <c r="N624" s="1678"/>
      <c r="O624" s="1678"/>
      <c r="P624" s="1678"/>
      <c r="Q624" s="1678" t="s">
        <v>1853</v>
      </c>
      <c r="R624" s="1678"/>
      <c r="S624" s="1678"/>
      <c r="T624" s="1678" t="s">
        <v>1851</v>
      </c>
      <c r="U624" s="1678"/>
      <c r="V624" s="1678"/>
      <c r="W624" s="1679" t="s">
        <v>453</v>
      </c>
      <c r="X624" s="1679"/>
      <c r="Y624" s="1679"/>
      <c r="Z624" s="1389" t="s">
        <v>2134</v>
      </c>
      <c r="AA624" s="1389"/>
      <c r="AB624" s="1390"/>
      <c r="AC624" s="1832" t="s">
        <v>1676</v>
      </c>
      <c r="AD624" s="1833"/>
      <c r="AE624" s="1834"/>
      <c r="AF624" s="1388" t="s">
        <v>1931</v>
      </c>
      <c r="AG624" s="1389"/>
      <c r="AH624" s="1389"/>
      <c r="AI624" s="1389"/>
      <c r="AJ624" s="1390"/>
      <c r="AK624" s="1511" t="s">
        <v>1932</v>
      </c>
      <c r="AL624" s="1512"/>
      <c r="AM624" s="1512"/>
      <c r="AN624" s="1513"/>
      <c r="AO624" s="1678" t="s">
        <v>454</v>
      </c>
      <c r="AP624" s="1678"/>
      <c r="AQ624" s="1678"/>
      <c r="AR624" s="1678"/>
      <c r="AS624" s="1678"/>
      <c r="AU624" s="3"/>
      <c r="AZ624" s="3"/>
      <c r="BA624" s="3"/>
      <c r="BB624" s="3"/>
      <c r="BC624" s="3"/>
    </row>
    <row r="625" spans="2:157" ht="12.95" customHeight="1">
      <c r="B625" s="1461"/>
      <c r="C625" s="1461"/>
      <c r="D625" s="1461"/>
      <c r="E625" s="1461"/>
      <c r="F625" s="1461"/>
      <c r="G625" s="1461"/>
      <c r="H625" s="1461"/>
      <c r="I625" s="1461"/>
      <c r="J625" s="1461"/>
      <c r="K625" s="1461"/>
      <c r="L625" s="1461"/>
      <c r="M625" s="1678"/>
      <c r="N625" s="1678"/>
      <c r="O625" s="1678"/>
      <c r="P625" s="1678"/>
      <c r="Q625" s="1678"/>
      <c r="R625" s="1678"/>
      <c r="S625" s="1678"/>
      <c r="T625" s="1678"/>
      <c r="U625" s="1678"/>
      <c r="V625" s="1678"/>
      <c r="W625" s="1679"/>
      <c r="X625" s="1679"/>
      <c r="Y625" s="1679"/>
      <c r="Z625" s="1392"/>
      <c r="AA625" s="1392"/>
      <c r="AB625" s="1393"/>
      <c r="AC625" s="1835"/>
      <c r="AD625" s="1836"/>
      <c r="AE625" s="1837"/>
      <c r="AF625" s="1391"/>
      <c r="AG625" s="1392"/>
      <c r="AH625" s="1392"/>
      <c r="AI625" s="1392"/>
      <c r="AJ625" s="1393"/>
      <c r="AK625" s="1514"/>
      <c r="AL625" s="1515"/>
      <c r="AM625" s="1515"/>
      <c r="AN625" s="1516"/>
      <c r="AO625" s="1678"/>
      <c r="AP625" s="1678"/>
      <c r="AQ625" s="1678"/>
      <c r="AR625" s="1678"/>
      <c r="AS625" s="1678"/>
      <c r="AU625" s="3"/>
      <c r="AZ625" s="3"/>
      <c r="BA625" s="3"/>
      <c r="BB625" s="3"/>
      <c r="BC625" s="3"/>
      <c r="BD625" s="3"/>
    </row>
    <row r="626" spans="2:157" ht="12.95" customHeight="1">
      <c r="B626" s="1461"/>
      <c r="C626" s="1461"/>
      <c r="D626" s="1461"/>
      <c r="E626" s="1461"/>
      <c r="F626" s="1461"/>
      <c r="G626" s="1461"/>
      <c r="H626" s="1461"/>
      <c r="I626" s="1461"/>
      <c r="J626" s="1461"/>
      <c r="K626" s="1461"/>
      <c r="L626" s="1461"/>
      <c r="M626" s="1678"/>
      <c r="N626" s="1678"/>
      <c r="O626" s="1678"/>
      <c r="P626" s="1678"/>
      <c r="Q626" s="1678"/>
      <c r="R626" s="1678"/>
      <c r="S626" s="1678"/>
      <c r="T626" s="1678"/>
      <c r="U626" s="1678"/>
      <c r="V626" s="1678"/>
      <c r="W626" s="1679"/>
      <c r="X626" s="1679"/>
      <c r="Y626" s="1679"/>
      <c r="Z626" s="1444"/>
      <c r="AA626" s="1444"/>
      <c r="AB626" s="1445"/>
      <c r="AC626" s="1838"/>
      <c r="AD626" s="1839"/>
      <c r="AE626" s="1840"/>
      <c r="AF626" s="1443"/>
      <c r="AG626" s="1444"/>
      <c r="AH626" s="1444"/>
      <c r="AI626" s="1444"/>
      <c r="AJ626" s="1445"/>
      <c r="AK626" s="1517"/>
      <c r="AL626" s="1518"/>
      <c r="AM626" s="1518"/>
      <c r="AN626" s="1519"/>
      <c r="AO626" s="1678"/>
      <c r="AP626" s="1678"/>
      <c r="AQ626" s="1678"/>
      <c r="AR626" s="1678"/>
      <c r="AS626" s="1678"/>
      <c r="AT626" s="3"/>
      <c r="AU626" s="3"/>
      <c r="AZ626" s="3"/>
      <c r="BA626" s="3"/>
      <c r="BB626" s="3"/>
      <c r="BC626" s="3"/>
      <c r="BD626" s="3"/>
    </row>
    <row r="627" spans="2:157" ht="12.95" customHeight="1">
      <c r="B627" s="51" t="s">
        <v>112</v>
      </c>
      <c r="C627" s="1460" t="s">
        <v>2757</v>
      </c>
      <c r="D627" s="1460"/>
      <c r="E627" s="1460"/>
      <c r="F627" s="1460"/>
      <c r="G627" s="1460"/>
      <c r="H627" s="1460"/>
      <c r="I627" s="1460"/>
      <c r="J627" s="1460"/>
      <c r="K627" s="1460"/>
      <c r="L627" s="1460"/>
      <c r="M627" s="1524" t="s">
        <v>2119</v>
      </c>
      <c r="N627" s="1524"/>
      <c r="O627" s="1524"/>
      <c r="P627" s="1524"/>
      <c r="Q627" s="1496">
        <f>Q628</f>
        <v>660</v>
      </c>
      <c r="R627" s="1496"/>
      <c r="S627" s="1497"/>
      <c r="T627" s="1495">
        <f>T628</f>
        <v>660</v>
      </c>
      <c r="U627" s="1496"/>
      <c r="V627" s="1497"/>
      <c r="W627" s="1482">
        <v>0</v>
      </c>
      <c r="X627" s="1483"/>
      <c r="Y627" s="1484"/>
      <c r="Z627" s="1431" t="s">
        <v>457</v>
      </c>
      <c r="AA627" s="1432"/>
      <c r="AB627" s="1433"/>
      <c r="AC627" s="1404">
        <v>3</v>
      </c>
      <c r="AD627" s="1405"/>
      <c r="AE627" s="1406"/>
      <c r="AF627" s="1428"/>
      <c r="AG627" s="1429"/>
      <c r="AH627" s="1429"/>
      <c r="AI627" s="1429"/>
      <c r="AJ627" s="1430"/>
      <c r="AK627" s="1521"/>
      <c r="AL627" s="1522"/>
      <c r="AM627" s="1522"/>
      <c r="AN627" s="1523"/>
      <c r="AO627" s="1657">
        <v>11800000</v>
      </c>
      <c r="AP627" s="1657"/>
      <c r="AQ627" s="1657"/>
      <c r="AR627" s="1657"/>
      <c r="AS627" s="1657"/>
      <c r="AT627" s="3"/>
      <c r="AU627" s="3"/>
      <c r="AZ627" s="3"/>
      <c r="BA627" s="3"/>
      <c r="BB627" s="3"/>
      <c r="BC627" s="3"/>
      <c r="BD627" s="3"/>
    </row>
    <row r="628" spans="2:157" ht="12.95" customHeight="1">
      <c r="B628" s="52" t="s">
        <v>113</v>
      </c>
      <c r="C628" s="1460" t="s">
        <v>2701</v>
      </c>
      <c r="D628" s="1460"/>
      <c r="E628" s="1460"/>
      <c r="F628" s="1460"/>
      <c r="G628" s="1460"/>
      <c r="H628" s="1460"/>
      <c r="I628" s="1460"/>
      <c r="J628" s="1460"/>
      <c r="K628" s="1460"/>
      <c r="L628" s="1460"/>
      <c r="M628" s="1524" t="s">
        <v>2119</v>
      </c>
      <c r="N628" s="1524"/>
      <c r="O628" s="1524"/>
      <c r="P628" s="1524"/>
      <c r="Q628" s="1495">
        <f>55*12</f>
        <v>660</v>
      </c>
      <c r="R628" s="1496"/>
      <c r="S628" s="1497"/>
      <c r="T628" s="1495">
        <f>Q628</f>
        <v>660</v>
      </c>
      <c r="U628" s="1496"/>
      <c r="V628" s="1497"/>
      <c r="W628" s="1482">
        <v>0.03</v>
      </c>
      <c r="X628" s="1483"/>
      <c r="Y628" s="1484"/>
      <c r="Z628" s="1431" t="s">
        <v>457</v>
      </c>
      <c r="AA628" s="1432"/>
      <c r="AB628" s="1433"/>
      <c r="AC628" s="1404">
        <v>2</v>
      </c>
      <c r="AD628" s="1405"/>
      <c r="AE628" s="1406"/>
      <c r="AF628" s="1428"/>
      <c r="AG628" s="1429"/>
      <c r="AH628" s="1429"/>
      <c r="AI628" s="1429"/>
      <c r="AJ628" s="1430"/>
      <c r="AK628" s="1521"/>
      <c r="AL628" s="1522"/>
      <c r="AM628" s="1522"/>
      <c r="AN628" s="1523"/>
      <c r="AO628" s="1427">
        <v>1000000</v>
      </c>
      <c r="AP628" s="1353"/>
      <c r="AQ628" s="1353"/>
      <c r="AR628" s="1353"/>
      <c r="AS628" s="1354"/>
      <c r="AT628" s="1150" t="str">
        <f>IF(AND(NOT(C627=""),C628="",NOT(C629="")),"!","")</f>
        <v/>
      </c>
      <c r="AU628" s="3"/>
      <c r="AZ628" s="3"/>
      <c r="BA628" s="3"/>
      <c r="BB628" s="3"/>
      <c r="BC628" s="3"/>
      <c r="BD628" s="3"/>
    </row>
    <row r="629" spans="2:157" ht="12.95" customHeight="1">
      <c r="B629" s="52" t="s">
        <v>119</v>
      </c>
      <c r="C629" s="1460" t="s">
        <v>2756</v>
      </c>
      <c r="D629" s="1460"/>
      <c r="E629" s="1460"/>
      <c r="F629" s="1460"/>
      <c r="G629" s="1460"/>
      <c r="H629" s="1460"/>
      <c r="I629" s="1460"/>
      <c r="J629" s="1460"/>
      <c r="K629" s="1460"/>
      <c r="L629" s="1460"/>
      <c r="M629" s="1524" t="s">
        <v>2119</v>
      </c>
      <c r="N629" s="1524"/>
      <c r="O629" s="1524"/>
      <c r="P629" s="1524"/>
      <c r="Q629" s="1495">
        <f>Q628</f>
        <v>660</v>
      </c>
      <c r="R629" s="1496"/>
      <c r="S629" s="1497"/>
      <c r="T629" s="1495">
        <f t="shared" ref="T629:T631" si="2">Q629</f>
        <v>660</v>
      </c>
      <c r="U629" s="1496"/>
      <c r="V629" s="1497"/>
      <c r="W629" s="1482">
        <v>0.03</v>
      </c>
      <c r="X629" s="1483"/>
      <c r="Y629" s="1484"/>
      <c r="Z629" s="1431" t="s">
        <v>457</v>
      </c>
      <c r="AA629" s="1432"/>
      <c r="AB629" s="1433"/>
      <c r="AC629" s="1404">
        <v>4</v>
      </c>
      <c r="AD629" s="1405"/>
      <c r="AE629" s="1406"/>
      <c r="AF629" s="1428"/>
      <c r="AG629" s="1429"/>
      <c r="AH629" s="1429"/>
      <c r="AI629" s="1429"/>
      <c r="AJ629" s="1430"/>
      <c r="AK629" s="1521"/>
      <c r="AL629" s="1522"/>
      <c r="AM629" s="1522"/>
      <c r="AN629" s="1523"/>
      <c r="AO629" s="1427">
        <v>8200000</v>
      </c>
      <c r="AP629" s="1353"/>
      <c r="AQ629" s="1353"/>
      <c r="AR629" s="1353"/>
      <c r="AS629" s="1354"/>
      <c r="AT629" s="1150" t="str">
        <f t="shared" ref="AT629:AT638" si="3">IF(AND(NOT(C628=""),C629="",NOT(C630="")),"!","")</f>
        <v/>
      </c>
      <c r="AU629" s="3"/>
      <c r="AZ629" s="3"/>
      <c r="BA629" s="3"/>
      <c r="BB629" s="3"/>
      <c r="BC629" s="3"/>
      <c r="BD629" s="3"/>
    </row>
    <row r="630" spans="2:157" ht="12.95" customHeight="1">
      <c r="B630" s="52" t="s">
        <v>581</v>
      </c>
      <c r="C630" s="1460" t="s">
        <v>2702</v>
      </c>
      <c r="D630" s="1520"/>
      <c r="E630" s="1520"/>
      <c r="F630" s="1520"/>
      <c r="G630" s="1520"/>
      <c r="H630" s="1520"/>
      <c r="I630" s="1520"/>
      <c r="J630" s="1520"/>
      <c r="K630" s="1520"/>
      <c r="L630" s="1520"/>
      <c r="M630" s="1524" t="s">
        <v>2117</v>
      </c>
      <c r="N630" s="1524"/>
      <c r="O630" s="1524"/>
      <c r="P630" s="1524"/>
      <c r="Q630" s="1495">
        <f>Q629</f>
        <v>660</v>
      </c>
      <c r="R630" s="1496"/>
      <c r="S630" s="1497"/>
      <c r="T630" s="1495">
        <f t="shared" si="2"/>
        <v>660</v>
      </c>
      <c r="U630" s="1496"/>
      <c r="V630" s="1497"/>
      <c r="W630" s="1482">
        <v>0</v>
      </c>
      <c r="X630" s="1483"/>
      <c r="Y630" s="1484"/>
      <c r="Z630" s="1431" t="s">
        <v>457</v>
      </c>
      <c r="AA630" s="1432"/>
      <c r="AB630" s="1433"/>
      <c r="AC630" s="1404">
        <v>5</v>
      </c>
      <c r="AD630" s="1405"/>
      <c r="AE630" s="1406"/>
      <c r="AF630" s="1428"/>
      <c r="AG630" s="1429"/>
      <c r="AH630" s="1429"/>
      <c r="AI630" s="1429"/>
      <c r="AJ630" s="1430"/>
      <c r="AK630" s="1521"/>
      <c r="AL630" s="1522"/>
      <c r="AM630" s="1522"/>
      <c r="AN630" s="1523"/>
      <c r="AO630" s="1427">
        <v>1250000</v>
      </c>
      <c r="AP630" s="1353"/>
      <c r="AQ630" s="1353"/>
      <c r="AR630" s="1353"/>
      <c r="AS630" s="1354"/>
      <c r="AT630" s="1150" t="str">
        <f t="shared" si="3"/>
        <v/>
      </c>
      <c r="AU630" s="3"/>
      <c r="AZ630" s="3"/>
      <c r="BA630" s="3"/>
      <c r="BB630" s="3"/>
      <c r="BC630" s="3"/>
      <c r="BD630" s="3"/>
    </row>
    <row r="631" spans="2:157" ht="12.95" customHeight="1">
      <c r="B631" s="52" t="s">
        <v>763</v>
      </c>
      <c r="C631" s="1460" t="s">
        <v>2703</v>
      </c>
      <c r="D631" s="1520"/>
      <c r="E631" s="1520"/>
      <c r="F631" s="1520"/>
      <c r="G631" s="1520"/>
      <c r="H631" s="1520"/>
      <c r="I631" s="1520"/>
      <c r="J631" s="1520"/>
      <c r="K631" s="1520"/>
      <c r="L631" s="1520"/>
      <c r="M631" s="1524" t="s">
        <v>2117</v>
      </c>
      <c r="N631" s="1524"/>
      <c r="O631" s="1524"/>
      <c r="P631" s="1524"/>
      <c r="Q631" s="1495">
        <f>Q630</f>
        <v>660</v>
      </c>
      <c r="R631" s="1496"/>
      <c r="S631" s="1497"/>
      <c r="T631" s="1495">
        <f t="shared" si="2"/>
        <v>660</v>
      </c>
      <c r="U631" s="1496"/>
      <c r="V631" s="1497"/>
      <c r="W631" s="1482">
        <v>0.03</v>
      </c>
      <c r="X631" s="1483"/>
      <c r="Y631" s="1484"/>
      <c r="Z631" s="1431" t="s">
        <v>457</v>
      </c>
      <c r="AA631" s="1432"/>
      <c r="AB631" s="1433"/>
      <c r="AC631" s="1404">
        <v>1</v>
      </c>
      <c r="AD631" s="1405"/>
      <c r="AE631" s="1406"/>
      <c r="AF631" s="1428"/>
      <c r="AG631" s="1429"/>
      <c r="AH631" s="1429"/>
      <c r="AI631" s="1429"/>
      <c r="AJ631" s="1430"/>
      <c r="AK631" s="1521"/>
      <c r="AL631" s="1522"/>
      <c r="AM631" s="1522"/>
      <c r="AN631" s="1523"/>
      <c r="AO631" s="1427">
        <v>20000000</v>
      </c>
      <c r="AP631" s="1353"/>
      <c r="AQ631" s="1353"/>
      <c r="AR631" s="1353"/>
      <c r="AS631" s="1354"/>
      <c r="AT631" s="1150" t="str">
        <f t="shared" si="3"/>
        <v/>
      </c>
      <c r="AU631" s="3"/>
      <c r="AZ631" s="3"/>
      <c r="BA631" s="3"/>
      <c r="BB631" s="3"/>
      <c r="BC631" s="3"/>
      <c r="BD631" s="3"/>
    </row>
    <row r="632" spans="2:157" ht="12.95" customHeight="1">
      <c r="B632" s="52" t="s">
        <v>584</v>
      </c>
      <c r="C632" s="1460" t="s">
        <v>2760</v>
      </c>
      <c r="D632" s="1520"/>
      <c r="E632" s="1520"/>
      <c r="F632" s="1520"/>
      <c r="G632" s="1520"/>
      <c r="H632" s="1520"/>
      <c r="I632" s="1520"/>
      <c r="J632" s="1520"/>
      <c r="K632" s="1520"/>
      <c r="L632" s="1520"/>
      <c r="M632" s="1524" t="s">
        <v>2128</v>
      </c>
      <c r="N632" s="1524"/>
      <c r="O632" s="1524"/>
      <c r="P632" s="1524"/>
      <c r="Q632" s="1495"/>
      <c r="R632" s="1496"/>
      <c r="S632" s="1497"/>
      <c r="T632" s="1495"/>
      <c r="U632" s="1496"/>
      <c r="V632" s="1497"/>
      <c r="W632" s="1482"/>
      <c r="X632" s="1483"/>
      <c r="Y632" s="1484"/>
      <c r="Z632" s="1431" t="s">
        <v>1184</v>
      </c>
      <c r="AA632" s="1432"/>
      <c r="AB632" s="1433"/>
      <c r="AC632" s="1404"/>
      <c r="AD632" s="1405"/>
      <c r="AE632" s="1406"/>
      <c r="AF632" s="1428"/>
      <c r="AG632" s="1429"/>
      <c r="AH632" s="1429"/>
      <c r="AI632" s="1429"/>
      <c r="AJ632" s="1430"/>
      <c r="AK632" s="1521"/>
      <c r="AL632" s="1522"/>
      <c r="AM632" s="1522"/>
      <c r="AN632" s="1523"/>
      <c r="AO632" s="1427">
        <v>2000000</v>
      </c>
      <c r="AP632" s="1353"/>
      <c r="AQ632" s="1353"/>
      <c r="AR632" s="1353"/>
      <c r="AS632" s="1354"/>
      <c r="AT632" s="1150" t="str">
        <f t="shared" si="3"/>
        <v/>
      </c>
      <c r="AU632" s="3"/>
      <c r="AZ632" s="3"/>
      <c r="BA632" s="3"/>
      <c r="BB632" s="3"/>
      <c r="BC632" s="3"/>
      <c r="BD632" s="3"/>
    </row>
    <row r="633" spans="2:157" ht="12.95" customHeight="1">
      <c r="B633" s="52" t="s">
        <v>455</v>
      </c>
      <c r="C633" s="1460" t="s">
        <v>2324</v>
      </c>
      <c r="D633" s="1520"/>
      <c r="E633" s="1520"/>
      <c r="F633" s="1520"/>
      <c r="G633" s="1520"/>
      <c r="H633" s="1520"/>
      <c r="I633" s="1520"/>
      <c r="J633" s="1520"/>
      <c r="K633" s="1520"/>
      <c r="L633" s="1520"/>
      <c r="M633" s="1524" t="s">
        <v>2109</v>
      </c>
      <c r="N633" s="1524"/>
      <c r="O633" s="1524"/>
      <c r="P633" s="1524"/>
      <c r="Q633" s="1495"/>
      <c r="R633" s="1496"/>
      <c r="S633" s="1497"/>
      <c r="T633" s="1495"/>
      <c r="U633" s="1496"/>
      <c r="V633" s="1497"/>
      <c r="W633" s="1482"/>
      <c r="X633" s="1483"/>
      <c r="Y633" s="1484"/>
      <c r="Z633" s="1431" t="s">
        <v>1184</v>
      </c>
      <c r="AA633" s="1432"/>
      <c r="AB633" s="1433"/>
      <c r="AC633" s="1404"/>
      <c r="AD633" s="1405"/>
      <c r="AE633" s="1406"/>
      <c r="AF633" s="1428"/>
      <c r="AG633" s="1429"/>
      <c r="AH633" s="1429"/>
      <c r="AI633" s="1429"/>
      <c r="AJ633" s="1430"/>
      <c r="AK633" s="1521"/>
      <c r="AL633" s="1522"/>
      <c r="AM633" s="1522"/>
      <c r="AN633" s="1523"/>
      <c r="AO633" s="1427">
        <v>3500000</v>
      </c>
      <c r="AP633" s="1353"/>
      <c r="AQ633" s="1353"/>
      <c r="AR633" s="1353"/>
      <c r="AS633" s="1354"/>
      <c r="AT633" s="1150" t="str">
        <f t="shared" si="3"/>
        <v/>
      </c>
      <c r="AU633" s="3"/>
      <c r="AV633" s="3"/>
      <c r="AW633" s="3"/>
      <c r="AX633" s="3"/>
      <c r="AY633" s="3"/>
      <c r="AZ633" s="3"/>
      <c r="BA633" s="3"/>
      <c r="BB633" s="3"/>
      <c r="BC633" s="3"/>
      <c r="BD633" s="3"/>
    </row>
    <row r="634" spans="2:157" ht="12.95" customHeight="1">
      <c r="B634" s="52" t="s">
        <v>456</v>
      </c>
      <c r="C634" s="1460" t="s">
        <v>2736</v>
      </c>
      <c r="D634" s="1520"/>
      <c r="E634" s="1520"/>
      <c r="F634" s="1520"/>
      <c r="G634" s="1520"/>
      <c r="H634" s="1520"/>
      <c r="I634" s="1520"/>
      <c r="J634" s="1520"/>
      <c r="K634" s="1520"/>
      <c r="L634" s="1520"/>
      <c r="M634" s="1524" t="s">
        <v>2111</v>
      </c>
      <c r="N634" s="1524"/>
      <c r="O634" s="1524"/>
      <c r="P634" s="1524"/>
      <c r="Q634" s="1495"/>
      <c r="R634" s="1496"/>
      <c r="S634" s="1497"/>
      <c r="T634" s="1495"/>
      <c r="U634" s="1496"/>
      <c r="V634" s="1497"/>
      <c r="W634" s="1482"/>
      <c r="X634" s="1483"/>
      <c r="Y634" s="1484"/>
      <c r="Z634" s="1431" t="s">
        <v>1184</v>
      </c>
      <c r="AA634" s="1432"/>
      <c r="AB634" s="1433"/>
      <c r="AC634" s="1404"/>
      <c r="AD634" s="1405"/>
      <c r="AE634" s="1406"/>
      <c r="AF634" s="1428"/>
      <c r="AG634" s="1429"/>
      <c r="AH634" s="1429"/>
      <c r="AI634" s="1429"/>
      <c r="AJ634" s="1430"/>
      <c r="AK634" s="1521"/>
      <c r="AL634" s="1522"/>
      <c r="AM634" s="1522"/>
      <c r="AN634" s="1523"/>
      <c r="AO634" s="1427">
        <f>374510+858633</f>
        <v>1233143</v>
      </c>
      <c r="AP634" s="1353"/>
      <c r="AQ634" s="1353"/>
      <c r="AR634" s="1353"/>
      <c r="AS634" s="1354"/>
      <c r="AT634" s="1150" t="str">
        <f t="shared" si="3"/>
        <v/>
      </c>
      <c r="AU634" s="3"/>
      <c r="AV634" s="3"/>
      <c r="AW634" s="3"/>
      <c r="AX634" s="3"/>
      <c r="AY634" s="3"/>
      <c r="AZ634" s="3"/>
      <c r="BA634" s="3" t="s">
        <v>1184</v>
      </c>
      <c r="BB634" s="3"/>
      <c r="BC634" s="3"/>
      <c r="BD634" s="3"/>
    </row>
    <row r="635" spans="2:157" ht="12.95" customHeight="1">
      <c r="B635" s="52" t="s">
        <v>461</v>
      </c>
      <c r="C635" s="1460" t="s">
        <v>2737</v>
      </c>
      <c r="D635" s="1520"/>
      <c r="E635" s="1520"/>
      <c r="F635" s="1520"/>
      <c r="G635" s="1520"/>
      <c r="H635" s="1520"/>
      <c r="I635" s="1520"/>
      <c r="J635" s="1520"/>
      <c r="K635" s="1520"/>
      <c r="L635" s="1520"/>
      <c r="M635" s="1524" t="s">
        <v>2111</v>
      </c>
      <c r="N635" s="1524"/>
      <c r="O635" s="1524"/>
      <c r="P635" s="1524"/>
      <c r="Q635" s="1495"/>
      <c r="R635" s="1496"/>
      <c r="S635" s="1497"/>
      <c r="T635" s="1495"/>
      <c r="U635" s="1496"/>
      <c r="V635" s="1497"/>
      <c r="W635" s="1482"/>
      <c r="X635" s="1483"/>
      <c r="Y635" s="1484"/>
      <c r="Z635" s="1431" t="s">
        <v>1184</v>
      </c>
      <c r="AA635" s="1432"/>
      <c r="AB635" s="1433"/>
      <c r="AC635" s="1404"/>
      <c r="AD635" s="1405"/>
      <c r="AE635" s="1406"/>
      <c r="AF635" s="1428"/>
      <c r="AG635" s="1429"/>
      <c r="AH635" s="1429"/>
      <c r="AI635" s="1429"/>
      <c r="AJ635" s="1430"/>
      <c r="AK635" s="1521"/>
      <c r="AL635" s="1522"/>
      <c r="AM635" s="1522"/>
      <c r="AN635" s="1523"/>
      <c r="AO635" s="1427">
        <v>100</v>
      </c>
      <c r="AP635" s="1353"/>
      <c r="AQ635" s="1353"/>
      <c r="AR635" s="1353"/>
      <c r="AS635" s="1354"/>
      <c r="AT635" s="1150" t="str">
        <f t="shared" si="3"/>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4">
        <f t="shared" ref="DX635:DX669" si="4">EZ718*(CP718/$CP$753)</f>
        <v>62.5</v>
      </c>
      <c r="DY635" s="1384"/>
      <c r="DZ635" s="1384"/>
      <c r="EA635" s="1384"/>
      <c r="EB635" s="1384"/>
      <c r="EC635" s="1384" t="e">
        <f t="shared" ref="EC635:EC669" si="5">FE718*(CU718/$CU$753)</f>
        <v>#VALUE!</v>
      </c>
      <c r="ED635" s="1384"/>
      <c r="EE635" s="1384"/>
      <c r="EF635" s="1384"/>
      <c r="EG635" s="1384"/>
      <c r="EH635" s="1384" t="e">
        <f t="shared" ref="EH635:EH669" si="6">FJ718*(CZ718/$CZ$753)</f>
        <v>#VALUE!</v>
      </c>
      <c r="EI635" s="1384"/>
      <c r="EJ635" s="1384"/>
      <c r="EK635" s="1384"/>
      <c r="EL635" s="1384"/>
      <c r="EM635" s="1384" t="e">
        <f t="shared" ref="EM635:EM669" si="7">FO718*(DE718/$DE$753)</f>
        <v>#VALUE!</v>
      </c>
      <c r="EN635" s="1384"/>
      <c r="EO635" s="1384"/>
      <c r="EP635" s="1384"/>
      <c r="EQ635" s="1384"/>
      <c r="ER635" s="1384" t="e">
        <f t="shared" ref="ER635:ER669" si="8">FT718*(DJ718/$DJ$753)</f>
        <v>#VALUE!</v>
      </c>
      <c r="ES635" s="1384"/>
      <c r="ET635" s="1384"/>
      <c r="EU635" s="1384"/>
      <c r="EV635" s="1384"/>
      <c r="EW635" s="1384" t="e">
        <f t="shared" ref="EW635:EW669" si="9">FY718*(DO718/$DO$753)</f>
        <v>#VALUE!</v>
      </c>
      <c r="EX635" s="1384"/>
      <c r="EY635" s="1384"/>
      <c r="EZ635" s="1384"/>
      <c r="FA635" s="1384"/>
    </row>
    <row r="636" spans="2:157" ht="12.95" customHeight="1">
      <c r="B636" s="52" t="s">
        <v>646</v>
      </c>
      <c r="C636" s="1460"/>
      <c r="D636" s="1520"/>
      <c r="E636" s="1520"/>
      <c r="F636" s="1520"/>
      <c r="G636" s="1520"/>
      <c r="H636" s="1520"/>
      <c r="I636" s="1520"/>
      <c r="J636" s="1520"/>
      <c r="K636" s="1520"/>
      <c r="L636" s="1520"/>
      <c r="M636" s="1524" t="s">
        <v>1184</v>
      </c>
      <c r="N636" s="1524"/>
      <c r="O636" s="1524"/>
      <c r="P636" s="1524"/>
      <c r="Q636" s="1495"/>
      <c r="R636" s="1496"/>
      <c r="S636" s="1497"/>
      <c r="T636" s="1495"/>
      <c r="U636" s="1496"/>
      <c r="V636" s="1497"/>
      <c r="W636" s="1482"/>
      <c r="X636" s="1483"/>
      <c r="Y636" s="1484"/>
      <c r="Z636" s="1431" t="s">
        <v>1184</v>
      </c>
      <c r="AA636" s="1432"/>
      <c r="AB636" s="1433"/>
      <c r="AC636" s="1404"/>
      <c r="AD636" s="1405"/>
      <c r="AE636" s="1406"/>
      <c r="AF636" s="1428"/>
      <c r="AG636" s="1429"/>
      <c r="AH636" s="1429"/>
      <c r="AI636" s="1429"/>
      <c r="AJ636" s="1430"/>
      <c r="AK636" s="1521"/>
      <c r="AL636" s="1522"/>
      <c r="AM636" s="1522"/>
      <c r="AN636" s="1523"/>
      <c r="AO636" s="1427"/>
      <c r="AP636" s="1353"/>
      <c r="AQ636" s="1353"/>
      <c r="AR636" s="1353"/>
      <c r="AS636" s="1354"/>
      <c r="AT636" s="1150" t="str">
        <f t="shared" si="3"/>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84">
        <f t="shared" si="4"/>
        <v>59.375</v>
      </c>
      <c r="DY636" s="1384"/>
      <c r="DZ636" s="1384"/>
      <c r="EA636" s="1384"/>
      <c r="EB636" s="1384"/>
      <c r="EC636" s="1384" t="e">
        <f t="shared" si="5"/>
        <v>#VALUE!</v>
      </c>
      <c r="ED636" s="1384"/>
      <c r="EE636" s="1384"/>
      <c r="EF636" s="1384"/>
      <c r="EG636" s="1384"/>
      <c r="EH636" s="1384" t="e">
        <f t="shared" si="6"/>
        <v>#VALUE!</v>
      </c>
      <c r="EI636" s="1384"/>
      <c r="EJ636" s="1384"/>
      <c r="EK636" s="1384"/>
      <c r="EL636" s="1384"/>
      <c r="EM636" s="1384" t="e">
        <f t="shared" si="7"/>
        <v>#VALUE!</v>
      </c>
      <c r="EN636" s="1384"/>
      <c r="EO636" s="1384"/>
      <c r="EP636" s="1384"/>
      <c r="EQ636" s="1384"/>
      <c r="ER636" s="1384" t="e">
        <f t="shared" si="8"/>
        <v>#VALUE!</v>
      </c>
      <c r="ES636" s="1384"/>
      <c r="ET636" s="1384"/>
      <c r="EU636" s="1384"/>
      <c r="EV636" s="1384"/>
      <c r="EW636" s="1384" t="e">
        <f t="shared" si="9"/>
        <v>#VALUE!</v>
      </c>
      <c r="EX636" s="1384"/>
      <c r="EY636" s="1384"/>
      <c r="EZ636" s="1384"/>
      <c r="FA636" s="1384"/>
    </row>
    <row r="637" spans="2:157" ht="12.95" customHeight="1">
      <c r="B637" s="52" t="s">
        <v>361</v>
      </c>
      <c r="C637" s="1520"/>
      <c r="D637" s="1520"/>
      <c r="E637" s="1520"/>
      <c r="F637" s="1520"/>
      <c r="G637" s="1520"/>
      <c r="H637" s="1520"/>
      <c r="I637" s="1520"/>
      <c r="J637" s="1520"/>
      <c r="K637" s="1520"/>
      <c r="L637" s="1520"/>
      <c r="M637" s="1524" t="s">
        <v>1184</v>
      </c>
      <c r="N637" s="1524"/>
      <c r="O637" s="1524"/>
      <c r="P637" s="1524"/>
      <c r="Q637" s="1495"/>
      <c r="R637" s="1496"/>
      <c r="S637" s="1497"/>
      <c r="T637" s="1495"/>
      <c r="U637" s="1496"/>
      <c r="V637" s="1497"/>
      <c r="W637" s="1482"/>
      <c r="X637" s="1483"/>
      <c r="Y637" s="1484"/>
      <c r="Z637" s="1431" t="s">
        <v>1184</v>
      </c>
      <c r="AA637" s="1432"/>
      <c r="AB637" s="1433"/>
      <c r="AC637" s="1404"/>
      <c r="AD637" s="1405"/>
      <c r="AE637" s="1406"/>
      <c r="AF637" s="1428"/>
      <c r="AG637" s="1429"/>
      <c r="AH637" s="1429"/>
      <c r="AI637" s="1429"/>
      <c r="AJ637" s="1430"/>
      <c r="AK637" s="1521"/>
      <c r="AL637" s="1522"/>
      <c r="AM637" s="1522"/>
      <c r="AN637" s="1523"/>
      <c r="AO637" s="1427"/>
      <c r="AP637" s="1353"/>
      <c r="AQ637" s="1353"/>
      <c r="AR637" s="1353"/>
      <c r="AS637" s="1354"/>
      <c r="AT637" s="1150" t="str">
        <f t="shared" si="3"/>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84">
        <f t="shared" si="4"/>
        <v>178.125</v>
      </c>
      <c r="DY637" s="1384"/>
      <c r="DZ637" s="1384"/>
      <c r="EA637" s="1384"/>
      <c r="EB637" s="1384"/>
      <c r="EC637" s="1384" t="e">
        <f t="shared" si="5"/>
        <v>#VALUE!</v>
      </c>
      <c r="ED637" s="1384"/>
      <c r="EE637" s="1384"/>
      <c r="EF637" s="1384"/>
      <c r="EG637" s="1384"/>
      <c r="EH637" s="1384" t="e">
        <f t="shared" si="6"/>
        <v>#VALUE!</v>
      </c>
      <c r="EI637" s="1384"/>
      <c r="EJ637" s="1384"/>
      <c r="EK637" s="1384"/>
      <c r="EL637" s="1384"/>
      <c r="EM637" s="1384" t="e">
        <f t="shared" si="7"/>
        <v>#VALUE!</v>
      </c>
      <c r="EN637" s="1384"/>
      <c r="EO637" s="1384"/>
      <c r="EP637" s="1384"/>
      <c r="EQ637" s="1384"/>
      <c r="ER637" s="1384" t="e">
        <f t="shared" si="8"/>
        <v>#VALUE!</v>
      </c>
      <c r="ES637" s="1384"/>
      <c r="ET637" s="1384"/>
      <c r="EU637" s="1384"/>
      <c r="EV637" s="1384"/>
      <c r="EW637" s="1384" t="e">
        <f t="shared" si="9"/>
        <v>#VALUE!</v>
      </c>
      <c r="EX637" s="1384"/>
      <c r="EY637" s="1384"/>
      <c r="EZ637" s="1384"/>
      <c r="FA637" s="1384"/>
    </row>
    <row r="638" spans="2:157" ht="12.95" customHeight="1">
      <c r="B638" s="52" t="s">
        <v>362</v>
      </c>
      <c r="C638" s="1520"/>
      <c r="D638" s="1520"/>
      <c r="E638" s="1520"/>
      <c r="F638" s="1520"/>
      <c r="G638" s="1520"/>
      <c r="H638" s="1520"/>
      <c r="I638" s="1520"/>
      <c r="J638" s="1520"/>
      <c r="K638" s="1520"/>
      <c r="L638" s="1520"/>
      <c r="M638" s="1524" t="s">
        <v>1184</v>
      </c>
      <c r="N638" s="1524"/>
      <c r="O638" s="1524"/>
      <c r="P638" s="1524"/>
      <c r="Q638" s="1495"/>
      <c r="R638" s="1496"/>
      <c r="S638" s="1497"/>
      <c r="T638" s="1495"/>
      <c r="U638" s="1496"/>
      <c r="V638" s="1497"/>
      <c r="W638" s="1482"/>
      <c r="X638" s="1483"/>
      <c r="Y638" s="1484"/>
      <c r="Z638" s="1431" t="s">
        <v>1184</v>
      </c>
      <c r="AA638" s="1432"/>
      <c r="AB638" s="1433"/>
      <c r="AC638" s="1404"/>
      <c r="AD638" s="1405"/>
      <c r="AE638" s="1406"/>
      <c r="AF638" s="1428"/>
      <c r="AG638" s="1429"/>
      <c r="AH638" s="1429"/>
      <c r="AI638" s="1429"/>
      <c r="AJ638" s="1430"/>
      <c r="AK638" s="1521"/>
      <c r="AL638" s="1522"/>
      <c r="AM638" s="1522"/>
      <c r="AN638" s="1523"/>
      <c r="AO638" s="1427"/>
      <c r="AP638" s="1353"/>
      <c r="AQ638" s="1353"/>
      <c r="AR638" s="1353"/>
      <c r="AS638" s="1354"/>
      <c r="AT638" s="1150" t="str">
        <f t="shared" si="3"/>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84" t="e">
        <f t="shared" si="4"/>
        <v>#VALUE!</v>
      </c>
      <c r="DY638" s="1384"/>
      <c r="DZ638" s="1384"/>
      <c r="EA638" s="1384"/>
      <c r="EB638" s="1384"/>
      <c r="EC638" s="1384" t="e">
        <f t="shared" si="5"/>
        <v>#VALUE!</v>
      </c>
      <c r="ED638" s="1384"/>
      <c r="EE638" s="1384"/>
      <c r="EF638" s="1384"/>
      <c r="EG638" s="1384"/>
      <c r="EH638" s="1384" t="e">
        <f t="shared" si="6"/>
        <v>#VALUE!</v>
      </c>
      <c r="EI638" s="1384"/>
      <c r="EJ638" s="1384"/>
      <c r="EK638" s="1384"/>
      <c r="EL638" s="1384"/>
      <c r="EM638" s="1384" t="e">
        <f t="shared" si="7"/>
        <v>#VALUE!</v>
      </c>
      <c r="EN638" s="1384"/>
      <c r="EO638" s="1384"/>
      <c r="EP638" s="1384"/>
      <c r="EQ638" s="1384"/>
      <c r="ER638" s="1384" t="e">
        <f t="shared" si="8"/>
        <v>#VALUE!</v>
      </c>
      <c r="ES638" s="1384"/>
      <c r="ET638" s="1384"/>
      <c r="EU638" s="1384"/>
      <c r="EV638" s="1384"/>
      <c r="EW638" s="1384" t="e">
        <f t="shared" si="9"/>
        <v>#VALUE!</v>
      </c>
      <c r="EX638" s="1384"/>
      <c r="EY638" s="1384"/>
      <c r="EZ638" s="1384"/>
      <c r="FA638" s="1384"/>
    </row>
    <row r="639" spans="2:157" ht="12.95" customHeight="1">
      <c r="B639" s="1485" t="s">
        <v>128</v>
      </c>
      <c r="C639" s="1486"/>
      <c r="D639" s="1486"/>
      <c r="E639" s="1486"/>
      <c r="F639" s="1486"/>
      <c r="G639" s="1486"/>
      <c r="H639" s="1486"/>
      <c r="I639" s="1486"/>
      <c r="J639" s="1486"/>
      <c r="K639" s="1486"/>
      <c r="L639" s="1486"/>
      <c r="M639" s="1486"/>
      <c r="N639" s="1486"/>
      <c r="O639" s="1486"/>
      <c r="P639" s="1486"/>
      <c r="Q639" s="1486"/>
      <c r="R639" s="1486"/>
      <c r="S639" s="1486"/>
      <c r="T639" s="1486"/>
      <c r="U639" s="1486"/>
      <c r="V639" s="1486"/>
      <c r="W639" s="1486"/>
      <c r="X639" s="1486"/>
      <c r="Y639" s="1486"/>
      <c r="Z639" s="1486"/>
      <c r="AA639" s="1486"/>
      <c r="AB639" s="1486"/>
      <c r="AC639" s="1486"/>
      <c r="AD639" s="1486"/>
      <c r="AE639" s="1486"/>
      <c r="AF639" s="1486"/>
      <c r="AG639" s="1486"/>
      <c r="AH639" s="1486"/>
      <c r="AI639" s="1486"/>
      <c r="AJ639" s="1486"/>
      <c r="AK639" s="1486"/>
      <c r="AL639" s="1486"/>
      <c r="AM639" s="1486"/>
      <c r="AN639" s="1488"/>
      <c r="AO639" s="1424">
        <f>SUM(AO627:AR638)</f>
        <v>48983243</v>
      </c>
      <c r="AP639" s="1425"/>
      <c r="AQ639" s="1425"/>
      <c r="AR639" s="1425"/>
      <c r="AS639" s="142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84" t="e">
        <f t="shared" si="4"/>
        <v>#VALUE!</v>
      </c>
      <c r="DY639" s="1384"/>
      <c r="DZ639" s="1384"/>
      <c r="EA639" s="1384"/>
      <c r="EB639" s="1384"/>
      <c r="EC639" s="1384" t="e">
        <f t="shared" si="5"/>
        <v>#VALUE!</v>
      </c>
      <c r="ED639" s="1384"/>
      <c r="EE639" s="1384"/>
      <c r="EF639" s="1384"/>
      <c r="EG639" s="1384"/>
      <c r="EH639" s="1384" t="e">
        <f t="shared" si="6"/>
        <v>#VALUE!</v>
      </c>
      <c r="EI639" s="1384"/>
      <c r="EJ639" s="1384"/>
      <c r="EK639" s="1384"/>
      <c r="EL639" s="1384"/>
      <c r="EM639" s="1384" t="e">
        <f t="shared" si="7"/>
        <v>#VALUE!</v>
      </c>
      <c r="EN639" s="1384"/>
      <c r="EO639" s="1384"/>
      <c r="EP639" s="1384"/>
      <c r="EQ639" s="1384"/>
      <c r="ER639" s="1384" t="e">
        <f t="shared" si="8"/>
        <v>#VALUE!</v>
      </c>
      <c r="ES639" s="1384"/>
      <c r="ET639" s="1384"/>
      <c r="EU639" s="1384"/>
      <c r="EV639" s="1384"/>
      <c r="EW639" s="1384" t="e">
        <f t="shared" si="9"/>
        <v>#VALUE!</v>
      </c>
      <c r="EX639" s="1384"/>
      <c r="EY639" s="1384"/>
      <c r="EZ639" s="1384"/>
      <c r="FA639" s="1384"/>
    </row>
    <row r="640" spans="2:157" ht="12.95" customHeight="1">
      <c r="B640" s="1485" t="s">
        <v>266</v>
      </c>
      <c r="C640" s="1486"/>
      <c r="D640" s="1486"/>
      <c r="E640" s="1486"/>
      <c r="F640" s="1486"/>
      <c r="G640" s="1486"/>
      <c r="H640" s="1486"/>
      <c r="I640" s="1486"/>
      <c r="J640" s="1486"/>
      <c r="K640" s="1486"/>
      <c r="L640" s="1486"/>
      <c r="M640" s="1486"/>
      <c r="N640" s="1486"/>
      <c r="O640" s="1486"/>
      <c r="P640" s="1486"/>
      <c r="Q640" s="1486"/>
      <c r="R640" s="1486"/>
      <c r="S640" s="1486"/>
      <c r="T640" s="1486"/>
      <c r="U640" s="1486"/>
      <c r="V640" s="1486"/>
      <c r="W640" s="1486"/>
      <c r="X640" s="1486"/>
      <c r="Y640" s="1486"/>
      <c r="Z640" s="1486"/>
      <c r="AA640" s="1486"/>
      <c r="AB640" s="1486"/>
      <c r="AC640" s="1486"/>
      <c r="AD640" s="1486"/>
      <c r="AE640" s="1486"/>
      <c r="AF640" s="1486"/>
      <c r="AG640" s="1486"/>
      <c r="AH640" s="1486"/>
      <c r="AI640" s="1486"/>
      <c r="AJ640" s="1486"/>
      <c r="AK640" s="1486"/>
      <c r="AL640" s="1486"/>
      <c r="AM640" s="1486"/>
      <c r="AN640" s="1488"/>
      <c r="AO640" s="1427">
        <v>37063220</v>
      </c>
      <c r="AP640" s="1353"/>
      <c r="AQ640" s="1353"/>
      <c r="AR640" s="1353"/>
      <c r="AS640" s="135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84" t="e">
        <f t="shared" si="4"/>
        <v>#VALUE!</v>
      </c>
      <c r="DY640" s="1384"/>
      <c r="DZ640" s="1384"/>
      <c r="EA640" s="1384"/>
      <c r="EB640" s="1384"/>
      <c r="EC640" s="1384" t="e">
        <f t="shared" si="5"/>
        <v>#VALUE!</v>
      </c>
      <c r="ED640" s="1384"/>
      <c r="EE640" s="1384"/>
      <c r="EF640" s="1384"/>
      <c r="EG640" s="1384"/>
      <c r="EH640" s="1384" t="e">
        <f t="shared" si="6"/>
        <v>#VALUE!</v>
      </c>
      <c r="EI640" s="1384"/>
      <c r="EJ640" s="1384"/>
      <c r="EK640" s="1384"/>
      <c r="EL640" s="1384"/>
      <c r="EM640" s="1384" t="e">
        <f t="shared" si="7"/>
        <v>#VALUE!</v>
      </c>
      <c r="EN640" s="1384"/>
      <c r="EO640" s="1384"/>
      <c r="EP640" s="1384"/>
      <c r="EQ640" s="1384"/>
      <c r="ER640" s="1384" t="e">
        <f t="shared" si="8"/>
        <v>#VALUE!</v>
      </c>
      <c r="ES640" s="1384"/>
      <c r="ET640" s="1384"/>
      <c r="EU640" s="1384"/>
      <c r="EV640" s="1384"/>
      <c r="EW640" s="1384" t="e">
        <f t="shared" si="9"/>
        <v>#VALUE!</v>
      </c>
      <c r="EX640" s="1384"/>
      <c r="EY640" s="1384"/>
      <c r="EZ640" s="1384"/>
      <c r="FA640" s="1384"/>
    </row>
    <row r="641" spans="1:157" ht="12.95" customHeight="1">
      <c r="B641" s="1676" t="s">
        <v>267</v>
      </c>
      <c r="C641" s="1487"/>
      <c r="D641" s="1487"/>
      <c r="E641" s="1487"/>
      <c r="F641" s="1487"/>
      <c r="G641" s="1487"/>
      <c r="H641" s="1487"/>
      <c r="I641" s="1487"/>
      <c r="J641" s="1487"/>
      <c r="K641" s="1487"/>
      <c r="L641" s="1487"/>
      <c r="M641" s="1487"/>
      <c r="N641" s="1487"/>
      <c r="O641" s="1487"/>
      <c r="P641" s="1487"/>
      <c r="Q641" s="1487"/>
      <c r="R641" s="1487"/>
      <c r="S641" s="1487"/>
      <c r="T641" s="1487"/>
      <c r="U641" s="1487"/>
      <c r="V641" s="1487"/>
      <c r="W641" s="1487"/>
      <c r="X641" s="1487"/>
      <c r="Y641" s="1487"/>
      <c r="Z641" s="1487"/>
      <c r="AA641" s="1487"/>
      <c r="AB641" s="1487"/>
      <c r="AC641" s="1487"/>
      <c r="AD641" s="1487"/>
      <c r="AE641" s="1487"/>
      <c r="AF641" s="1487"/>
      <c r="AG641" s="1487"/>
      <c r="AH641" s="1487"/>
      <c r="AI641" s="1487"/>
      <c r="AJ641" s="1487"/>
      <c r="AK641" s="1487"/>
      <c r="AL641" s="1487"/>
      <c r="AM641" s="1487"/>
      <c r="AN641" s="1677"/>
      <c r="AO641" s="1424">
        <f>AO639+AO640</f>
        <v>86046463</v>
      </c>
      <c r="AP641" s="1425"/>
      <c r="AQ641" s="1425"/>
      <c r="AR641" s="1425"/>
      <c r="AS641" s="142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84" t="e">
        <f t="shared" si="4"/>
        <v>#VALUE!</v>
      </c>
      <c r="DY641" s="1384"/>
      <c r="DZ641" s="1384"/>
      <c r="EA641" s="1384"/>
      <c r="EB641" s="1384"/>
      <c r="EC641" s="1384" t="e">
        <f t="shared" si="5"/>
        <v>#VALUE!</v>
      </c>
      <c r="ED641" s="1384"/>
      <c r="EE641" s="1384"/>
      <c r="EF641" s="1384"/>
      <c r="EG641" s="1384"/>
      <c r="EH641" s="1384" t="e">
        <f t="shared" si="6"/>
        <v>#VALUE!</v>
      </c>
      <c r="EI641" s="1384"/>
      <c r="EJ641" s="1384"/>
      <c r="EK641" s="1384"/>
      <c r="EL641" s="1384"/>
      <c r="EM641" s="1384" t="e">
        <f t="shared" si="7"/>
        <v>#VALUE!</v>
      </c>
      <c r="EN641" s="1384"/>
      <c r="EO641" s="1384"/>
      <c r="EP641" s="1384"/>
      <c r="EQ641" s="1384"/>
      <c r="ER641" s="1384" t="e">
        <f t="shared" si="8"/>
        <v>#VALUE!</v>
      </c>
      <c r="ES641" s="1384"/>
      <c r="ET641" s="1384"/>
      <c r="EU641" s="1384"/>
      <c r="EV641" s="1384"/>
      <c r="EW641" s="1384" t="e">
        <f t="shared" si="9"/>
        <v>#VALUE!</v>
      </c>
      <c r="EX641" s="1384"/>
      <c r="EY641" s="1384"/>
      <c r="EZ641" s="1384"/>
      <c r="FA641" s="1384"/>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84" t="e">
        <f t="shared" si="4"/>
        <v>#VALUE!</v>
      </c>
      <c r="DY642" s="1384"/>
      <c r="DZ642" s="1384"/>
      <c r="EA642" s="1384"/>
      <c r="EB642" s="1384"/>
      <c r="EC642" s="1384" t="e">
        <f t="shared" si="5"/>
        <v>#VALUE!</v>
      </c>
      <c r="ED642" s="1384"/>
      <c r="EE642" s="1384"/>
      <c r="EF642" s="1384"/>
      <c r="EG642" s="1384"/>
      <c r="EH642" s="1384" t="e">
        <f t="shared" si="6"/>
        <v>#VALUE!</v>
      </c>
      <c r="EI642" s="1384"/>
      <c r="EJ642" s="1384"/>
      <c r="EK642" s="1384"/>
      <c r="EL642" s="1384"/>
      <c r="EM642" s="1384" t="e">
        <f t="shared" si="7"/>
        <v>#VALUE!</v>
      </c>
      <c r="EN642" s="1384"/>
      <c r="EO642" s="1384"/>
      <c r="EP642" s="1384"/>
      <c r="EQ642" s="1384"/>
      <c r="ER642" s="1384" t="e">
        <f t="shared" si="8"/>
        <v>#VALUE!</v>
      </c>
      <c r="ES642" s="1384"/>
      <c r="ET642" s="1384"/>
      <c r="EU642" s="1384"/>
      <c r="EV642" s="1384"/>
      <c r="EW642" s="1384" t="e">
        <f t="shared" si="9"/>
        <v>#VALUE!</v>
      </c>
      <c r="EX642" s="1384"/>
      <c r="EY642" s="1384"/>
      <c r="EZ642" s="1384"/>
      <c r="FA642" s="1384"/>
    </row>
    <row r="643" spans="1:157" ht="12.95" customHeight="1">
      <c r="A643" s="55" t="s">
        <v>112</v>
      </c>
      <c r="B643" t="s">
        <v>463</v>
      </c>
      <c r="G643" s="1492" t="str">
        <f>C627</f>
        <v xml:space="preserve">HUD 202 Capital Advance </v>
      </c>
      <c r="H643" s="1492"/>
      <c r="I643" s="1492"/>
      <c r="J643" s="1492"/>
      <c r="K643" s="1492"/>
      <c r="L643" s="1492"/>
      <c r="M643" s="1492"/>
      <c r="N643" s="1492"/>
      <c r="O643" s="1492"/>
      <c r="P643" s="1492"/>
      <c r="Q643" s="1492"/>
      <c r="R643" s="1492"/>
      <c r="S643" s="8"/>
      <c r="T643" s="55" t="s">
        <v>113</v>
      </c>
      <c r="U643" t="s">
        <v>463</v>
      </c>
      <c r="Z643" s="1492" t="str">
        <f>C628</f>
        <v>City of Oakland CDBG</v>
      </c>
      <c r="AA643" s="1492"/>
      <c r="AB643" s="1492"/>
      <c r="AC643" s="1492"/>
      <c r="AD643" s="1492"/>
      <c r="AE643" s="1492"/>
      <c r="AF643" s="1492"/>
      <c r="AG643" s="1492"/>
      <c r="AH643" s="1492"/>
      <c r="AI643" s="1492"/>
      <c r="AJ643" s="1492"/>
      <c r="AK643" s="149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4" t="e">
        <f t="shared" si="4"/>
        <v>#VALUE!</v>
      </c>
      <c r="DY643" s="1384"/>
      <c r="DZ643" s="1384"/>
      <c r="EA643" s="1384"/>
      <c r="EB643" s="1384"/>
      <c r="EC643" s="1384" t="e">
        <f t="shared" si="5"/>
        <v>#VALUE!</v>
      </c>
      <c r="ED643" s="1384"/>
      <c r="EE643" s="1384"/>
      <c r="EF643" s="1384"/>
      <c r="EG643" s="1384"/>
      <c r="EH643" s="1384" t="e">
        <f t="shared" si="6"/>
        <v>#VALUE!</v>
      </c>
      <c r="EI643" s="1384"/>
      <c r="EJ643" s="1384"/>
      <c r="EK643" s="1384"/>
      <c r="EL643" s="1384"/>
      <c r="EM643" s="1384" t="e">
        <f t="shared" si="7"/>
        <v>#VALUE!</v>
      </c>
      <c r="EN643" s="1384"/>
      <c r="EO643" s="1384"/>
      <c r="EP643" s="1384"/>
      <c r="EQ643" s="1384"/>
      <c r="ER643" s="1384" t="e">
        <f t="shared" si="8"/>
        <v>#VALUE!</v>
      </c>
      <c r="ES643" s="1384"/>
      <c r="ET643" s="1384"/>
      <c r="EU643" s="1384"/>
      <c r="EV643" s="1384"/>
      <c r="EW643" s="1384" t="e">
        <f t="shared" si="9"/>
        <v>#VALUE!</v>
      </c>
      <c r="EX643" s="1384"/>
      <c r="EY643" s="1384"/>
      <c r="EZ643" s="1384"/>
      <c r="FA643" s="1384"/>
    </row>
    <row r="644" spans="1:157" ht="12.95" customHeight="1">
      <c r="A644" s="22"/>
      <c r="B644" t="s">
        <v>85</v>
      </c>
      <c r="G644" s="1457" t="s">
        <v>2723</v>
      </c>
      <c r="H644" s="1457"/>
      <c r="I644" s="1457"/>
      <c r="J644" s="1457"/>
      <c r="K644" s="1457"/>
      <c r="L644" s="1457"/>
      <c r="M644" s="1457"/>
      <c r="N644" s="1457"/>
      <c r="O644" s="1457"/>
      <c r="P644" s="1457"/>
      <c r="Q644" s="1457"/>
      <c r="R644" s="1457"/>
      <c r="S644" s="8"/>
      <c r="T644" s="22"/>
      <c r="U644" t="s">
        <v>85</v>
      </c>
      <c r="Z644" s="1457" t="s">
        <v>2716</v>
      </c>
      <c r="AA644" s="1457"/>
      <c r="AB644" s="1457"/>
      <c r="AC644" s="1457"/>
      <c r="AD644" s="1457"/>
      <c r="AE644" s="1457"/>
      <c r="AF644" s="1457"/>
      <c r="AG644" s="1457"/>
      <c r="AH644" s="1457"/>
      <c r="AI644" s="1457"/>
      <c r="AJ644" s="1457"/>
      <c r="AK644" s="1457"/>
      <c r="AV644" s="3"/>
      <c r="AW644" s="3"/>
      <c r="AX644" s="3"/>
      <c r="AY644" s="3"/>
      <c r="AZ644" s="3"/>
      <c r="BA644" s="3"/>
      <c r="BB644" s="3"/>
      <c r="BC644" s="3"/>
      <c r="BD644" s="3"/>
      <c r="BE644" s="3"/>
      <c r="BF644" s="3"/>
      <c r="BG644" s="3"/>
      <c r="BH644" s="3"/>
      <c r="BI644" s="3"/>
      <c r="BJ644" s="3"/>
      <c r="BK644" s="3"/>
      <c r="BL644" s="3"/>
      <c r="BM644" s="3"/>
      <c r="DX644" s="1384" t="e">
        <f t="shared" si="4"/>
        <v>#VALUE!</v>
      </c>
      <c r="DY644" s="1384"/>
      <c r="DZ644" s="1384"/>
      <c r="EA644" s="1384"/>
      <c r="EB644" s="1384"/>
      <c r="EC644" s="1384" t="e">
        <f t="shared" si="5"/>
        <v>#VALUE!</v>
      </c>
      <c r="ED644" s="1384"/>
      <c r="EE644" s="1384"/>
      <c r="EF644" s="1384"/>
      <c r="EG644" s="1384"/>
      <c r="EH644" s="1384" t="e">
        <f t="shared" si="6"/>
        <v>#VALUE!</v>
      </c>
      <c r="EI644" s="1384"/>
      <c r="EJ644" s="1384"/>
      <c r="EK644" s="1384"/>
      <c r="EL644" s="1384"/>
      <c r="EM644" s="1384" t="e">
        <f t="shared" si="7"/>
        <v>#VALUE!</v>
      </c>
      <c r="EN644" s="1384"/>
      <c r="EO644" s="1384"/>
      <c r="EP644" s="1384"/>
      <c r="EQ644" s="1384"/>
      <c r="ER644" s="1384" t="e">
        <f t="shared" si="8"/>
        <v>#VALUE!</v>
      </c>
      <c r="ES644" s="1384"/>
      <c r="ET644" s="1384"/>
      <c r="EU644" s="1384"/>
      <c r="EV644" s="1384"/>
      <c r="EW644" s="1384" t="e">
        <f t="shared" si="9"/>
        <v>#VALUE!</v>
      </c>
      <c r="EX644" s="1384"/>
      <c r="EY644" s="1384"/>
      <c r="EZ644" s="1384"/>
      <c r="FA644" s="1384"/>
    </row>
    <row r="645" spans="1:157" ht="12.95" customHeight="1">
      <c r="A645" s="22"/>
      <c r="B645" t="s">
        <v>580</v>
      </c>
      <c r="G645" s="1457" t="s">
        <v>2724</v>
      </c>
      <c r="H645" s="1457"/>
      <c r="I645" s="1457"/>
      <c r="J645" s="1457"/>
      <c r="K645" s="1457"/>
      <c r="L645" s="1457"/>
      <c r="M645" s="1457"/>
      <c r="N645" s="1457"/>
      <c r="O645" s="1457"/>
      <c r="P645" s="1457"/>
      <c r="Q645" s="1457"/>
      <c r="R645" s="1457"/>
      <c r="T645" s="22"/>
      <c r="U645" t="s">
        <v>580</v>
      </c>
      <c r="Z645" s="1416" t="s">
        <v>2637</v>
      </c>
      <c r="AA645" s="1416"/>
      <c r="AB645" s="1416"/>
      <c r="AC645" s="1416"/>
      <c r="AD645" s="1416"/>
      <c r="AE645" s="1416"/>
      <c r="AF645" s="1416"/>
      <c r="AG645" s="1416"/>
      <c r="AH645" s="1416"/>
      <c r="AI645" s="1416"/>
      <c r="AJ645" s="1416"/>
      <c r="AK645" s="1416"/>
      <c r="AV645" s="3"/>
      <c r="AW645" s="3"/>
      <c r="AX645" s="3"/>
      <c r="AY645" s="3"/>
      <c r="AZ645" s="3"/>
      <c r="BA645" s="3"/>
      <c r="BB645" s="3"/>
      <c r="BC645" s="3"/>
      <c r="BD645" s="3"/>
      <c r="BE645" s="3"/>
      <c r="BF645" s="3"/>
      <c r="BG645" s="3"/>
      <c r="BH645" s="3"/>
      <c r="BI645" s="3"/>
      <c r="BJ645" s="3"/>
      <c r="BK645" s="3"/>
      <c r="BL645" s="3"/>
      <c r="BM645" s="3"/>
      <c r="DX645" s="1384" t="e">
        <f t="shared" si="4"/>
        <v>#VALUE!</v>
      </c>
      <c r="DY645" s="1384"/>
      <c r="DZ645" s="1384"/>
      <c r="EA645" s="1384"/>
      <c r="EB645" s="1384"/>
      <c r="EC645" s="1384" t="e">
        <f t="shared" si="5"/>
        <v>#VALUE!</v>
      </c>
      <c r="ED645" s="1384"/>
      <c r="EE645" s="1384"/>
      <c r="EF645" s="1384"/>
      <c r="EG645" s="1384"/>
      <c r="EH645" s="1384" t="e">
        <f t="shared" si="6"/>
        <v>#VALUE!</v>
      </c>
      <c r="EI645" s="1384"/>
      <c r="EJ645" s="1384"/>
      <c r="EK645" s="1384"/>
      <c r="EL645" s="1384"/>
      <c r="EM645" s="1384" t="e">
        <f t="shared" si="7"/>
        <v>#VALUE!</v>
      </c>
      <c r="EN645" s="1384"/>
      <c r="EO645" s="1384"/>
      <c r="EP645" s="1384"/>
      <c r="EQ645" s="1384"/>
      <c r="ER645" s="1384" t="e">
        <f t="shared" si="8"/>
        <v>#VALUE!</v>
      </c>
      <c r="ES645" s="1384"/>
      <c r="ET645" s="1384"/>
      <c r="EU645" s="1384"/>
      <c r="EV645" s="1384"/>
      <c r="EW645" s="1384" t="e">
        <f t="shared" si="9"/>
        <v>#VALUE!</v>
      </c>
      <c r="EX645" s="1384"/>
      <c r="EY645" s="1384"/>
      <c r="EZ645" s="1384"/>
      <c r="FA645" s="1384"/>
    </row>
    <row r="646" spans="1:157" ht="12.95" customHeight="1">
      <c r="A646" s="22"/>
      <c r="B646" t="s">
        <v>17</v>
      </c>
      <c r="G646" s="1457" t="s">
        <v>2726</v>
      </c>
      <c r="H646" s="1457"/>
      <c r="I646" s="1457"/>
      <c r="J646" s="1457"/>
      <c r="K646" s="1457"/>
      <c r="L646" s="1457"/>
      <c r="M646" s="1457"/>
      <c r="N646" s="1457"/>
      <c r="O646" s="1457"/>
      <c r="P646" s="1457"/>
      <c r="Q646" s="1457"/>
      <c r="R646" s="1457"/>
      <c r="S646" s="8"/>
      <c r="T646" s="22"/>
      <c r="U646" t="s">
        <v>17</v>
      </c>
      <c r="Z646" s="1416" t="s">
        <v>2717</v>
      </c>
      <c r="AA646" s="1416"/>
      <c r="AB646" s="1416"/>
      <c r="AC646" s="1416"/>
      <c r="AD646" s="1416"/>
      <c r="AE646" s="1416"/>
      <c r="AF646" s="1416"/>
      <c r="AG646" s="1416"/>
      <c r="AH646" s="1416"/>
      <c r="AI646" s="1416"/>
      <c r="AJ646" s="1416"/>
      <c r="AK646" s="1416"/>
      <c r="AZ646" s="3"/>
      <c r="BA646" s="3"/>
      <c r="BB646" s="3"/>
      <c r="BC646" s="3"/>
      <c r="BD646" s="3"/>
      <c r="BE646" s="3"/>
      <c r="BF646" s="3"/>
      <c r="BG646" s="3"/>
      <c r="BH646" s="3"/>
      <c r="BI646" s="3"/>
      <c r="BJ646" s="3"/>
      <c r="BK646" s="3"/>
      <c r="BL646" s="3"/>
      <c r="BM646" s="3"/>
      <c r="DX646" s="1384" t="e">
        <f t="shared" si="4"/>
        <v>#VALUE!</v>
      </c>
      <c r="DY646" s="1384"/>
      <c r="DZ646" s="1384"/>
      <c r="EA646" s="1384"/>
      <c r="EB646" s="1384"/>
      <c r="EC646" s="1384" t="e">
        <f t="shared" si="5"/>
        <v>#VALUE!</v>
      </c>
      <c r="ED646" s="1384"/>
      <c r="EE646" s="1384"/>
      <c r="EF646" s="1384"/>
      <c r="EG646" s="1384"/>
      <c r="EH646" s="1384" t="e">
        <f t="shared" si="6"/>
        <v>#VALUE!</v>
      </c>
      <c r="EI646" s="1384"/>
      <c r="EJ646" s="1384"/>
      <c r="EK646" s="1384"/>
      <c r="EL646" s="1384"/>
      <c r="EM646" s="1384" t="e">
        <f t="shared" si="7"/>
        <v>#VALUE!</v>
      </c>
      <c r="EN646" s="1384"/>
      <c r="EO646" s="1384"/>
      <c r="EP646" s="1384"/>
      <c r="EQ646" s="1384"/>
      <c r="ER646" s="1384" t="e">
        <f t="shared" si="8"/>
        <v>#VALUE!</v>
      </c>
      <c r="ES646" s="1384"/>
      <c r="ET646" s="1384"/>
      <c r="EU646" s="1384"/>
      <c r="EV646" s="1384"/>
      <c r="EW646" s="1384" t="e">
        <f t="shared" si="9"/>
        <v>#VALUE!</v>
      </c>
      <c r="EX646" s="1384"/>
      <c r="EY646" s="1384"/>
      <c r="EZ646" s="1384"/>
      <c r="FA646" s="1384"/>
    </row>
    <row r="647" spans="1:157" ht="12.95" customHeight="1">
      <c r="A647" s="22"/>
      <c r="B647" t="s">
        <v>315</v>
      </c>
      <c r="G647" s="1464" t="s">
        <v>2725</v>
      </c>
      <c r="H647" s="1464"/>
      <c r="I647" s="1464"/>
      <c r="J647" s="1464"/>
      <c r="K647" s="1464"/>
      <c r="L647" s="1464"/>
      <c r="O647" s="33" t="s">
        <v>205</v>
      </c>
      <c r="P647" s="1459"/>
      <c r="Q647" s="1459"/>
      <c r="R647" s="1459"/>
      <c r="S647" s="10"/>
      <c r="T647" s="22"/>
      <c r="U647" t="s">
        <v>315</v>
      </c>
      <c r="Z647" s="1464" t="s">
        <v>2718</v>
      </c>
      <c r="AA647" s="1464"/>
      <c r="AB647" s="1464"/>
      <c r="AC647" s="1464"/>
      <c r="AD647" s="1464"/>
      <c r="AE647" s="1464"/>
      <c r="AH647" s="33" t="s">
        <v>205</v>
      </c>
      <c r="AI647" s="1459"/>
      <c r="AJ647" s="1459"/>
      <c r="AK647" s="1459"/>
      <c r="AZ647" s="34"/>
      <c r="BA647" s="34"/>
      <c r="BB647" s="34"/>
      <c r="BC647" s="34"/>
      <c r="BD647" s="34"/>
      <c r="BE647" s="34"/>
      <c r="BF647" s="34"/>
      <c r="BG647" s="34"/>
      <c r="BH647" s="34"/>
      <c r="BI647" s="34"/>
      <c r="BJ647" s="34"/>
      <c r="BK647" s="34"/>
      <c r="BL647" s="34"/>
      <c r="BM647" s="34"/>
      <c r="DX647" s="1384" t="e">
        <f t="shared" si="4"/>
        <v>#VALUE!</v>
      </c>
      <c r="DY647" s="1384"/>
      <c r="DZ647" s="1384"/>
      <c r="EA647" s="1384"/>
      <c r="EB647" s="1384"/>
      <c r="EC647" s="1384" t="e">
        <f t="shared" si="5"/>
        <v>#VALUE!</v>
      </c>
      <c r="ED647" s="1384"/>
      <c r="EE647" s="1384"/>
      <c r="EF647" s="1384"/>
      <c r="EG647" s="1384"/>
      <c r="EH647" s="1384" t="e">
        <f t="shared" si="6"/>
        <v>#VALUE!</v>
      </c>
      <c r="EI647" s="1384"/>
      <c r="EJ647" s="1384"/>
      <c r="EK647" s="1384"/>
      <c r="EL647" s="1384"/>
      <c r="EM647" s="1384" t="e">
        <f t="shared" si="7"/>
        <v>#VALUE!</v>
      </c>
      <c r="EN647" s="1384"/>
      <c r="EO647" s="1384"/>
      <c r="EP647" s="1384"/>
      <c r="EQ647" s="1384"/>
      <c r="ER647" s="1384" t="e">
        <f t="shared" si="8"/>
        <v>#VALUE!</v>
      </c>
      <c r="ES647" s="1384"/>
      <c r="ET647" s="1384"/>
      <c r="EU647" s="1384"/>
      <c r="EV647" s="1384"/>
      <c r="EW647" s="1384" t="e">
        <f t="shared" si="9"/>
        <v>#VALUE!</v>
      </c>
      <c r="EX647" s="1384"/>
      <c r="EY647" s="1384"/>
      <c r="EZ647" s="1384"/>
      <c r="FA647" s="1384"/>
    </row>
    <row r="648" spans="1:157" ht="12.95" customHeight="1">
      <c r="A648" s="22"/>
      <c r="B648" t="s">
        <v>18</v>
      </c>
      <c r="H648" s="1457"/>
      <c r="I648" s="1457"/>
      <c r="J648" s="1457"/>
      <c r="K648" s="1457"/>
      <c r="L648" s="1457"/>
      <c r="M648" s="1457"/>
      <c r="N648" s="1457"/>
      <c r="O648" s="1457"/>
      <c r="P648" s="1457"/>
      <c r="Q648" s="1457"/>
      <c r="R648" s="1457"/>
      <c r="S648" s="8"/>
      <c r="T648" s="22"/>
      <c r="U648" t="s">
        <v>18</v>
      </c>
      <c r="AA648" s="1457"/>
      <c r="AB648" s="1457"/>
      <c r="AC648" s="1457"/>
      <c r="AD648" s="1457"/>
      <c r="AE648" s="1457"/>
      <c r="AF648" s="1457"/>
      <c r="AG648" s="1457"/>
      <c r="AH648" s="1457"/>
      <c r="AI648" s="1457"/>
      <c r="AJ648" s="1457"/>
      <c r="AK648" s="1457"/>
      <c r="AZ648" s="34"/>
      <c r="BA648" s="34"/>
      <c r="BB648" s="34"/>
      <c r="BC648" s="34"/>
      <c r="BD648" s="34"/>
      <c r="BE648" s="34"/>
      <c r="BF648" s="34"/>
      <c r="BG648" s="34"/>
      <c r="BH648" s="34"/>
      <c r="BI648" s="34"/>
      <c r="BJ648" s="34"/>
      <c r="BK648" s="34"/>
      <c r="BL648" s="34"/>
      <c r="BM648" s="34"/>
      <c r="DX648" s="1384" t="e">
        <f t="shared" si="4"/>
        <v>#VALUE!</v>
      </c>
      <c r="DY648" s="1384"/>
      <c r="DZ648" s="1384"/>
      <c r="EA648" s="1384"/>
      <c r="EB648" s="1384"/>
      <c r="EC648" s="1384" t="e">
        <f t="shared" si="5"/>
        <v>#VALUE!</v>
      </c>
      <c r="ED648" s="1384"/>
      <c r="EE648" s="1384"/>
      <c r="EF648" s="1384"/>
      <c r="EG648" s="1384"/>
      <c r="EH648" s="1384" t="e">
        <f t="shared" si="6"/>
        <v>#VALUE!</v>
      </c>
      <c r="EI648" s="1384"/>
      <c r="EJ648" s="1384"/>
      <c r="EK648" s="1384"/>
      <c r="EL648" s="1384"/>
      <c r="EM648" s="1384" t="e">
        <f t="shared" si="7"/>
        <v>#VALUE!</v>
      </c>
      <c r="EN648" s="1384"/>
      <c r="EO648" s="1384"/>
      <c r="EP648" s="1384"/>
      <c r="EQ648" s="1384"/>
      <c r="ER648" s="1384" t="e">
        <f t="shared" si="8"/>
        <v>#VALUE!</v>
      </c>
      <c r="ES648" s="1384"/>
      <c r="ET648" s="1384"/>
      <c r="EU648" s="1384"/>
      <c r="EV648" s="1384"/>
      <c r="EW648" s="1384" t="e">
        <f t="shared" si="9"/>
        <v>#VALUE!</v>
      </c>
      <c r="EX648" s="1384"/>
      <c r="EY648" s="1384"/>
      <c r="EZ648" s="1384"/>
      <c r="FA648" s="1384"/>
    </row>
    <row r="649" spans="1:157" ht="12.95" customHeight="1">
      <c r="A649" s="22"/>
      <c r="B649" t="s">
        <v>20</v>
      </c>
      <c r="N649" s="1398" t="s">
        <v>545</v>
      </c>
      <c r="O649" s="1398"/>
      <c r="T649" s="22"/>
      <c r="U649" t="s">
        <v>20</v>
      </c>
      <c r="AG649" s="1398" t="s">
        <v>545</v>
      </c>
      <c r="AH649" s="1398"/>
      <c r="AZ649" s="34"/>
      <c r="BA649" s="34"/>
      <c r="BB649" s="34"/>
      <c r="BC649" s="34"/>
      <c r="BD649" s="34"/>
      <c r="BE649" s="34"/>
      <c r="BF649" s="34"/>
      <c r="BG649" s="34"/>
      <c r="BH649" s="34"/>
      <c r="BI649" s="34"/>
      <c r="BJ649" s="34"/>
      <c r="BK649" s="34"/>
      <c r="BL649" s="34"/>
      <c r="BM649" s="34"/>
      <c r="DX649" s="1384" t="e">
        <f t="shared" si="4"/>
        <v>#VALUE!</v>
      </c>
      <c r="DY649" s="1384"/>
      <c r="DZ649" s="1384"/>
      <c r="EA649" s="1384"/>
      <c r="EB649" s="1384"/>
      <c r="EC649" s="1384" t="e">
        <f t="shared" si="5"/>
        <v>#VALUE!</v>
      </c>
      <c r="ED649" s="1384"/>
      <c r="EE649" s="1384"/>
      <c r="EF649" s="1384"/>
      <c r="EG649" s="1384"/>
      <c r="EH649" s="1384" t="e">
        <f t="shared" si="6"/>
        <v>#VALUE!</v>
      </c>
      <c r="EI649" s="1384"/>
      <c r="EJ649" s="1384"/>
      <c r="EK649" s="1384"/>
      <c r="EL649" s="1384"/>
      <c r="EM649" s="1384" t="e">
        <f t="shared" si="7"/>
        <v>#VALUE!</v>
      </c>
      <c r="EN649" s="1384"/>
      <c r="EO649" s="1384"/>
      <c r="EP649" s="1384"/>
      <c r="EQ649" s="1384"/>
      <c r="ER649" s="1384" t="e">
        <f t="shared" si="8"/>
        <v>#VALUE!</v>
      </c>
      <c r="ES649" s="1384"/>
      <c r="ET649" s="1384"/>
      <c r="EU649" s="1384"/>
      <c r="EV649" s="1384"/>
      <c r="EW649" s="1384" t="e">
        <f t="shared" si="9"/>
        <v>#VALUE!</v>
      </c>
      <c r="EX649" s="1384"/>
      <c r="EY649" s="1384"/>
      <c r="EZ649" s="1384"/>
      <c r="FA649" s="1384"/>
    </row>
    <row r="650" spans="1:157" ht="12.95" customHeight="1">
      <c r="A650" s="22"/>
      <c r="T650" s="22"/>
      <c r="AZ650" s="34"/>
      <c r="BA650" s="34"/>
      <c r="BB650" s="34"/>
      <c r="BC650" s="34"/>
      <c r="BD650" s="34"/>
      <c r="BE650" s="34"/>
      <c r="BF650" s="34"/>
      <c r="BG650" s="34"/>
      <c r="BH650" s="34"/>
      <c r="BI650" s="34"/>
      <c r="BJ650" s="34"/>
      <c r="BK650" s="34"/>
      <c r="BL650" s="34"/>
      <c r="BM650" s="34"/>
      <c r="DX650" s="1384" t="e">
        <f t="shared" si="4"/>
        <v>#VALUE!</v>
      </c>
      <c r="DY650" s="1384"/>
      <c r="DZ650" s="1384"/>
      <c r="EA650" s="1384"/>
      <c r="EB650" s="1384"/>
      <c r="EC650" s="1384" t="e">
        <f t="shared" si="5"/>
        <v>#VALUE!</v>
      </c>
      <c r="ED650" s="1384"/>
      <c r="EE650" s="1384"/>
      <c r="EF650" s="1384"/>
      <c r="EG650" s="1384"/>
      <c r="EH650" s="1384" t="e">
        <f t="shared" si="6"/>
        <v>#VALUE!</v>
      </c>
      <c r="EI650" s="1384"/>
      <c r="EJ650" s="1384"/>
      <c r="EK650" s="1384"/>
      <c r="EL650" s="1384"/>
      <c r="EM650" s="1384" t="e">
        <f t="shared" si="7"/>
        <v>#VALUE!</v>
      </c>
      <c r="EN650" s="1384"/>
      <c r="EO650" s="1384"/>
      <c r="EP650" s="1384"/>
      <c r="EQ650" s="1384"/>
      <c r="ER650" s="1384" t="e">
        <f t="shared" si="8"/>
        <v>#VALUE!</v>
      </c>
      <c r="ES650" s="1384"/>
      <c r="ET650" s="1384"/>
      <c r="EU650" s="1384"/>
      <c r="EV650" s="1384"/>
      <c r="EW650" s="1384" t="e">
        <f t="shared" si="9"/>
        <v>#VALUE!</v>
      </c>
      <c r="EX650" s="1384"/>
      <c r="EY650" s="1384"/>
      <c r="EZ650" s="1384"/>
      <c r="FA650" s="1384"/>
    </row>
    <row r="651" spans="1:157" ht="12.95" customHeight="1">
      <c r="A651" s="55" t="s">
        <v>119</v>
      </c>
      <c r="B651" t="s">
        <v>463</v>
      </c>
      <c r="G651" s="1492" t="str">
        <f>C629</f>
        <v>Ferguson Foundation Grant - Sponsor Loan</v>
      </c>
      <c r="H651" s="1492"/>
      <c r="I651" s="1492"/>
      <c r="J651" s="1492"/>
      <c r="K651" s="1492"/>
      <c r="L651" s="1492"/>
      <c r="M651" s="1492"/>
      <c r="N651" s="1492"/>
      <c r="O651" s="1492"/>
      <c r="P651" s="1492"/>
      <c r="Q651" s="1492"/>
      <c r="R651" s="1492"/>
      <c r="T651" s="55" t="s">
        <v>581</v>
      </c>
      <c r="U651" t="s">
        <v>463</v>
      </c>
      <c r="Z651" s="1492" t="str">
        <f>C630</f>
        <v>GP Loan AHP</v>
      </c>
      <c r="AA651" s="1492"/>
      <c r="AB651" s="1492"/>
      <c r="AC651" s="1492"/>
      <c r="AD651" s="1492"/>
      <c r="AE651" s="1492"/>
      <c r="AF651" s="1492"/>
      <c r="AG651" s="1492"/>
      <c r="AH651" s="1492"/>
      <c r="AI651" s="1492"/>
      <c r="AJ651" s="1492"/>
      <c r="AK651" s="1492"/>
      <c r="AZ651" s="34"/>
      <c r="BA651" s="34"/>
      <c r="BB651" s="34"/>
      <c r="BC651" s="34"/>
      <c r="BD651" s="34"/>
      <c r="BE651" s="34"/>
      <c r="BF651" s="34"/>
      <c r="BG651" s="34"/>
      <c r="BH651" s="34"/>
      <c r="BI651" s="34"/>
      <c r="BJ651" s="34"/>
      <c r="BK651" s="34"/>
      <c r="BL651" s="34"/>
      <c r="BM651" s="34"/>
      <c r="DX651" s="1384" t="e">
        <f t="shared" si="4"/>
        <v>#VALUE!</v>
      </c>
      <c r="DY651" s="1384"/>
      <c r="DZ651" s="1384"/>
      <c r="EA651" s="1384"/>
      <c r="EB651" s="1384"/>
      <c r="EC651" s="1384" t="e">
        <f t="shared" si="5"/>
        <v>#VALUE!</v>
      </c>
      <c r="ED651" s="1384"/>
      <c r="EE651" s="1384"/>
      <c r="EF651" s="1384"/>
      <c r="EG651" s="1384"/>
      <c r="EH651" s="1384" t="e">
        <f t="shared" si="6"/>
        <v>#VALUE!</v>
      </c>
      <c r="EI651" s="1384"/>
      <c r="EJ651" s="1384"/>
      <c r="EK651" s="1384"/>
      <c r="EL651" s="1384"/>
      <c r="EM651" s="1384" t="e">
        <f t="shared" si="7"/>
        <v>#VALUE!</v>
      </c>
      <c r="EN651" s="1384"/>
      <c r="EO651" s="1384"/>
      <c r="EP651" s="1384"/>
      <c r="EQ651" s="1384"/>
      <c r="ER651" s="1384" t="e">
        <f t="shared" si="8"/>
        <v>#VALUE!</v>
      </c>
      <c r="ES651" s="1384"/>
      <c r="ET651" s="1384"/>
      <c r="EU651" s="1384"/>
      <c r="EV651" s="1384"/>
      <c r="EW651" s="1384" t="e">
        <f t="shared" si="9"/>
        <v>#VALUE!</v>
      </c>
      <c r="EX651" s="1384"/>
      <c r="EY651" s="1384"/>
      <c r="EZ651" s="1384"/>
      <c r="FA651" s="1384"/>
    </row>
    <row r="652" spans="1:157" ht="12.95" customHeight="1">
      <c r="A652" s="22"/>
      <c r="B652" t="s">
        <v>85</v>
      </c>
      <c r="G652" s="1457" t="s">
        <v>2722</v>
      </c>
      <c r="H652" s="1457"/>
      <c r="I652" s="1457"/>
      <c r="J652" s="1457"/>
      <c r="K652" s="1457"/>
      <c r="L652" s="1457"/>
      <c r="M652" s="1457"/>
      <c r="N652" s="1457"/>
      <c r="O652" s="1457"/>
      <c r="P652" s="1457"/>
      <c r="Q652" s="1457"/>
      <c r="R652" s="1457"/>
      <c r="T652" s="22"/>
      <c r="U652" t="s">
        <v>85</v>
      </c>
      <c r="Z652" s="1457" t="s">
        <v>2722</v>
      </c>
      <c r="AA652" s="1457"/>
      <c r="AB652" s="1457"/>
      <c r="AC652" s="1457"/>
      <c r="AD652" s="1457"/>
      <c r="AE652" s="1457"/>
      <c r="AF652" s="1457"/>
      <c r="AG652" s="1457"/>
      <c r="AH652" s="1457"/>
      <c r="AI652" s="1457"/>
      <c r="AJ652" s="1457"/>
      <c r="AK652" s="1457"/>
      <c r="AZ652" s="34"/>
      <c r="BA652" s="34"/>
      <c r="BB652" s="34"/>
      <c r="BC652" s="34"/>
      <c r="BD652" s="34"/>
      <c r="BE652" s="34"/>
      <c r="BF652" s="34"/>
      <c r="BG652" s="34"/>
      <c r="BH652" s="34"/>
      <c r="BI652" s="34"/>
      <c r="BJ652" s="34"/>
      <c r="BK652" s="34"/>
      <c r="BL652" s="34"/>
      <c r="BM652" s="34"/>
      <c r="DX652" s="1384" t="e">
        <f t="shared" si="4"/>
        <v>#VALUE!</v>
      </c>
      <c r="DY652" s="1384"/>
      <c r="DZ652" s="1384"/>
      <c r="EA652" s="1384"/>
      <c r="EB652" s="1384"/>
      <c r="EC652" s="1384" t="e">
        <f t="shared" si="5"/>
        <v>#VALUE!</v>
      </c>
      <c r="ED652" s="1384"/>
      <c r="EE652" s="1384"/>
      <c r="EF652" s="1384"/>
      <c r="EG652" s="1384"/>
      <c r="EH652" s="1384" t="e">
        <f t="shared" si="6"/>
        <v>#VALUE!</v>
      </c>
      <c r="EI652" s="1384"/>
      <c r="EJ652" s="1384"/>
      <c r="EK652" s="1384"/>
      <c r="EL652" s="1384"/>
      <c r="EM652" s="1384" t="e">
        <f t="shared" si="7"/>
        <v>#VALUE!</v>
      </c>
      <c r="EN652" s="1384"/>
      <c r="EO652" s="1384"/>
      <c r="EP652" s="1384"/>
      <c r="EQ652" s="1384"/>
      <c r="ER652" s="1384" t="e">
        <f t="shared" si="8"/>
        <v>#VALUE!</v>
      </c>
      <c r="ES652" s="1384"/>
      <c r="ET652" s="1384"/>
      <c r="EU652" s="1384"/>
      <c r="EV652" s="1384"/>
      <c r="EW652" s="1384" t="e">
        <f t="shared" si="9"/>
        <v>#VALUE!</v>
      </c>
      <c r="EX652" s="1384"/>
      <c r="EY652" s="1384"/>
      <c r="EZ652" s="1384"/>
      <c r="FA652" s="1384"/>
    </row>
    <row r="653" spans="1:157" ht="12.95" customHeight="1">
      <c r="A653" s="22"/>
      <c r="B653" t="s">
        <v>580</v>
      </c>
      <c r="G653" s="1416" t="s">
        <v>2720</v>
      </c>
      <c r="H653" s="1416"/>
      <c r="I653" s="1416"/>
      <c r="J653" s="1416"/>
      <c r="K653" s="1416"/>
      <c r="L653" s="1416"/>
      <c r="M653" s="1416"/>
      <c r="N653" s="1416"/>
      <c r="O653" s="1416"/>
      <c r="P653" s="1416"/>
      <c r="Q653" s="1416"/>
      <c r="R653" s="1416"/>
      <c r="T653" s="22"/>
      <c r="U653" t="s">
        <v>580</v>
      </c>
      <c r="Z653" s="1416" t="s">
        <v>2720</v>
      </c>
      <c r="AA653" s="1416"/>
      <c r="AB653" s="1416"/>
      <c r="AC653" s="1416"/>
      <c r="AD653" s="1416"/>
      <c r="AE653" s="1416"/>
      <c r="AF653" s="1416"/>
      <c r="AG653" s="1416"/>
      <c r="AH653" s="1416"/>
      <c r="AI653" s="1416"/>
      <c r="AJ653" s="1416"/>
      <c r="AK653" s="1416"/>
      <c r="AZ653" s="34"/>
      <c r="BA653" s="34"/>
      <c r="BB653" s="34"/>
      <c r="BC653" s="34"/>
      <c r="BD653" s="34"/>
      <c r="BE653" s="34"/>
      <c r="BF653" s="34"/>
      <c r="BG653" s="34"/>
      <c r="BH653" s="34"/>
      <c r="BI653" s="34"/>
      <c r="BJ653" s="34"/>
      <c r="BK653" s="34"/>
      <c r="BL653" s="34"/>
      <c r="BM653" s="34"/>
      <c r="DX653" s="1384" t="e">
        <f t="shared" si="4"/>
        <v>#VALUE!</v>
      </c>
      <c r="DY653" s="1384"/>
      <c r="DZ653" s="1384"/>
      <c r="EA653" s="1384"/>
      <c r="EB653" s="1384"/>
      <c r="EC653" s="1384" t="e">
        <f t="shared" si="5"/>
        <v>#VALUE!</v>
      </c>
      <c r="ED653" s="1384"/>
      <c r="EE653" s="1384"/>
      <c r="EF653" s="1384"/>
      <c r="EG653" s="1384"/>
      <c r="EH653" s="1384" t="e">
        <f t="shared" si="6"/>
        <v>#VALUE!</v>
      </c>
      <c r="EI653" s="1384"/>
      <c r="EJ653" s="1384"/>
      <c r="EK653" s="1384"/>
      <c r="EL653" s="1384"/>
      <c r="EM653" s="1384" t="e">
        <f t="shared" si="7"/>
        <v>#VALUE!</v>
      </c>
      <c r="EN653" s="1384"/>
      <c r="EO653" s="1384"/>
      <c r="EP653" s="1384"/>
      <c r="EQ653" s="1384"/>
      <c r="ER653" s="1384" t="e">
        <f t="shared" si="8"/>
        <v>#VALUE!</v>
      </c>
      <c r="ES653" s="1384"/>
      <c r="ET653" s="1384"/>
      <c r="EU653" s="1384"/>
      <c r="EV653" s="1384"/>
      <c r="EW653" s="1384" t="e">
        <f t="shared" si="9"/>
        <v>#VALUE!</v>
      </c>
      <c r="EX653" s="1384"/>
      <c r="EY653" s="1384"/>
      <c r="EZ653" s="1384"/>
      <c r="FA653" s="1384"/>
    </row>
    <row r="654" spans="1:157" ht="12.95" customHeight="1">
      <c r="A654" s="22"/>
      <c r="B654" t="s">
        <v>17</v>
      </c>
      <c r="G654" s="1416" t="s">
        <v>2628</v>
      </c>
      <c r="H654" s="1416"/>
      <c r="I654" s="1416"/>
      <c r="J654" s="1416"/>
      <c r="K654" s="1416"/>
      <c r="L654" s="1416"/>
      <c r="M654" s="1416"/>
      <c r="N654" s="1416"/>
      <c r="O654" s="1416"/>
      <c r="P654" s="1416"/>
      <c r="Q654" s="1416"/>
      <c r="R654" s="1416"/>
      <c r="T654" s="22"/>
      <c r="U654" t="s">
        <v>17</v>
      </c>
      <c r="Z654" s="1416" t="s">
        <v>2628</v>
      </c>
      <c r="AA654" s="1416"/>
      <c r="AB654" s="1416"/>
      <c r="AC654" s="1416"/>
      <c r="AD654" s="1416"/>
      <c r="AE654" s="1416"/>
      <c r="AF654" s="1416"/>
      <c r="AG654" s="1416"/>
      <c r="AH654" s="1416"/>
      <c r="AI654" s="1416"/>
      <c r="AJ654" s="1416"/>
      <c r="AK654" s="1416"/>
      <c r="AZ654" s="34"/>
      <c r="BA654" s="34"/>
      <c r="BB654" s="34"/>
      <c r="BC654" s="34"/>
      <c r="BD654" s="34"/>
      <c r="BE654" s="34"/>
      <c r="BF654" s="34"/>
      <c r="BG654" s="34"/>
      <c r="BH654" s="34"/>
      <c r="BI654" s="34"/>
      <c r="BJ654" s="34"/>
      <c r="BK654" s="34"/>
      <c r="BL654" s="34"/>
      <c r="BM654" s="34"/>
      <c r="DX654" s="1384" t="e">
        <f t="shared" si="4"/>
        <v>#VALUE!</v>
      </c>
      <c r="DY654" s="1384"/>
      <c r="DZ654" s="1384"/>
      <c r="EA654" s="1384"/>
      <c r="EB654" s="1384"/>
      <c r="EC654" s="1384" t="e">
        <f t="shared" si="5"/>
        <v>#VALUE!</v>
      </c>
      <c r="ED654" s="1384"/>
      <c r="EE654" s="1384"/>
      <c r="EF654" s="1384"/>
      <c r="EG654" s="1384"/>
      <c r="EH654" s="1384" t="e">
        <f t="shared" si="6"/>
        <v>#VALUE!</v>
      </c>
      <c r="EI654" s="1384"/>
      <c r="EJ654" s="1384"/>
      <c r="EK654" s="1384"/>
      <c r="EL654" s="1384"/>
      <c r="EM654" s="1384" t="e">
        <f t="shared" si="7"/>
        <v>#VALUE!</v>
      </c>
      <c r="EN654" s="1384"/>
      <c r="EO654" s="1384"/>
      <c r="EP654" s="1384"/>
      <c r="EQ654" s="1384"/>
      <c r="ER654" s="1384" t="e">
        <f t="shared" si="8"/>
        <v>#VALUE!</v>
      </c>
      <c r="ES654" s="1384"/>
      <c r="ET654" s="1384"/>
      <c r="EU654" s="1384"/>
      <c r="EV654" s="1384"/>
      <c r="EW654" s="1384" t="e">
        <f t="shared" si="9"/>
        <v>#VALUE!</v>
      </c>
      <c r="EX654" s="1384"/>
      <c r="EY654" s="1384"/>
      <c r="EZ654" s="1384"/>
      <c r="FA654" s="1384"/>
    </row>
    <row r="655" spans="1:157" ht="12.95" customHeight="1">
      <c r="A655" s="22"/>
      <c r="B655" t="s">
        <v>315</v>
      </c>
      <c r="G655" s="1464" t="s">
        <v>2714</v>
      </c>
      <c r="H655" s="1464"/>
      <c r="I655" s="1464"/>
      <c r="J655" s="1464"/>
      <c r="K655" s="1464"/>
      <c r="L655" s="1464"/>
      <c r="O655" s="33" t="s">
        <v>205</v>
      </c>
      <c r="P655" s="1459"/>
      <c r="Q655" s="1459"/>
      <c r="R655" s="1459"/>
      <c r="T655" s="22"/>
      <c r="U655" t="s">
        <v>315</v>
      </c>
      <c r="Z655" s="1561" t="s">
        <v>2714</v>
      </c>
      <c r="AA655" s="1464"/>
      <c r="AB655" s="1464"/>
      <c r="AC655" s="1464"/>
      <c r="AD655" s="1464"/>
      <c r="AE655" s="1464"/>
      <c r="AH655" s="33" t="s">
        <v>205</v>
      </c>
      <c r="AI655" s="1459"/>
      <c r="AJ655" s="1459"/>
      <c r="AK655" s="1459"/>
      <c r="AZ655" s="34"/>
      <c r="BA655" s="34"/>
      <c r="BB655" s="34"/>
      <c r="BC655" s="34"/>
      <c r="BD655" s="34"/>
      <c r="BE655" s="34"/>
      <c r="BF655" s="34"/>
      <c r="BG655" s="34"/>
      <c r="BH655" s="34"/>
      <c r="BI655" s="34"/>
      <c r="BJ655" s="34"/>
      <c r="BK655" s="34"/>
      <c r="BL655" s="34"/>
      <c r="BM655" s="34"/>
      <c r="DX655" s="1384" t="e">
        <f t="shared" si="4"/>
        <v>#VALUE!</v>
      </c>
      <c r="DY655" s="1384"/>
      <c r="DZ655" s="1384"/>
      <c r="EA655" s="1384"/>
      <c r="EB655" s="1384"/>
      <c r="EC655" s="1384" t="e">
        <f t="shared" si="5"/>
        <v>#VALUE!</v>
      </c>
      <c r="ED655" s="1384"/>
      <c r="EE655" s="1384"/>
      <c r="EF655" s="1384"/>
      <c r="EG655" s="1384"/>
      <c r="EH655" s="1384" t="e">
        <f t="shared" si="6"/>
        <v>#VALUE!</v>
      </c>
      <c r="EI655" s="1384"/>
      <c r="EJ655" s="1384"/>
      <c r="EK655" s="1384"/>
      <c r="EL655" s="1384"/>
      <c r="EM655" s="1384" t="e">
        <f t="shared" si="7"/>
        <v>#VALUE!</v>
      </c>
      <c r="EN655" s="1384"/>
      <c r="EO655" s="1384"/>
      <c r="EP655" s="1384"/>
      <c r="EQ655" s="1384"/>
      <c r="ER655" s="1384" t="e">
        <f t="shared" si="8"/>
        <v>#VALUE!</v>
      </c>
      <c r="ES655" s="1384"/>
      <c r="ET655" s="1384"/>
      <c r="EU655" s="1384"/>
      <c r="EV655" s="1384"/>
      <c r="EW655" s="1384" t="e">
        <f t="shared" si="9"/>
        <v>#VALUE!</v>
      </c>
      <c r="EX655" s="1384"/>
      <c r="EY655" s="1384"/>
      <c r="EZ655" s="1384"/>
      <c r="FA655" s="1384"/>
    </row>
    <row r="656" spans="1:157" ht="12.95" customHeight="1">
      <c r="A656" s="22"/>
      <c r="B656" t="s">
        <v>18</v>
      </c>
      <c r="H656" s="1457"/>
      <c r="I656" s="1457"/>
      <c r="J656" s="1457"/>
      <c r="K656" s="1457"/>
      <c r="L656" s="1457"/>
      <c r="M656" s="1457"/>
      <c r="N656" s="1457"/>
      <c r="O656" s="1457"/>
      <c r="P656" s="1457"/>
      <c r="Q656" s="1457"/>
      <c r="R656" s="1457"/>
      <c r="T656" s="22"/>
      <c r="U656" t="s">
        <v>18</v>
      </c>
      <c r="AA656" s="1457"/>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DX656" s="1384" t="e">
        <f t="shared" si="4"/>
        <v>#VALUE!</v>
      </c>
      <c r="DY656" s="1384"/>
      <c r="DZ656" s="1384"/>
      <c r="EA656" s="1384"/>
      <c r="EB656" s="1384"/>
      <c r="EC656" s="1384" t="e">
        <f t="shared" si="5"/>
        <v>#VALUE!</v>
      </c>
      <c r="ED656" s="1384"/>
      <c r="EE656" s="1384"/>
      <c r="EF656" s="1384"/>
      <c r="EG656" s="1384"/>
      <c r="EH656" s="1384" t="e">
        <f t="shared" si="6"/>
        <v>#VALUE!</v>
      </c>
      <c r="EI656" s="1384"/>
      <c r="EJ656" s="1384"/>
      <c r="EK656" s="1384"/>
      <c r="EL656" s="1384"/>
      <c r="EM656" s="1384" t="e">
        <f t="shared" si="7"/>
        <v>#VALUE!</v>
      </c>
      <c r="EN656" s="1384"/>
      <c r="EO656" s="1384"/>
      <c r="EP656" s="1384"/>
      <c r="EQ656" s="1384"/>
      <c r="ER656" s="1384" t="e">
        <f t="shared" si="8"/>
        <v>#VALUE!</v>
      </c>
      <c r="ES656" s="1384"/>
      <c r="ET656" s="1384"/>
      <c r="EU656" s="1384"/>
      <c r="EV656" s="1384"/>
      <c r="EW656" s="1384" t="e">
        <f t="shared" si="9"/>
        <v>#VALUE!</v>
      </c>
      <c r="EX656" s="1384"/>
      <c r="EY656" s="1384"/>
      <c r="EZ656" s="1384"/>
      <c r="FA656" s="1384"/>
    </row>
    <row r="657" spans="1:157" ht="12.95" customHeight="1">
      <c r="A657" s="22"/>
      <c r="B657" t="s">
        <v>20</v>
      </c>
      <c r="N657" s="1398" t="s">
        <v>545</v>
      </c>
      <c r="O657" s="1398"/>
      <c r="T657" s="22"/>
      <c r="U657" t="s">
        <v>20</v>
      </c>
      <c r="AG657" s="1398" t="s">
        <v>669</v>
      </c>
      <c r="AH657" s="1398"/>
      <c r="AZ657" s="34"/>
      <c r="BA657" s="34"/>
      <c r="BB657" s="34"/>
      <c r="BC657" s="34"/>
      <c r="BD657" s="34"/>
      <c r="BE657" s="34"/>
      <c r="BF657" s="34"/>
      <c r="BG657" s="34"/>
      <c r="BH657" s="34"/>
      <c r="BI657" s="34"/>
      <c r="BJ657" s="34"/>
      <c r="BK657" s="34"/>
      <c r="BL657" s="34"/>
      <c r="BM657" s="34"/>
      <c r="DX657" s="1384" t="e">
        <f t="shared" si="4"/>
        <v>#VALUE!</v>
      </c>
      <c r="DY657" s="1384"/>
      <c r="DZ657" s="1384"/>
      <c r="EA657" s="1384"/>
      <c r="EB657" s="1384"/>
      <c r="EC657" s="1384" t="e">
        <f t="shared" si="5"/>
        <v>#VALUE!</v>
      </c>
      <c r="ED657" s="1384"/>
      <c r="EE657" s="1384"/>
      <c r="EF657" s="1384"/>
      <c r="EG657" s="1384"/>
      <c r="EH657" s="1384" t="e">
        <f t="shared" si="6"/>
        <v>#VALUE!</v>
      </c>
      <c r="EI657" s="1384"/>
      <c r="EJ657" s="1384"/>
      <c r="EK657" s="1384"/>
      <c r="EL657" s="1384"/>
      <c r="EM657" s="1384" t="e">
        <f t="shared" si="7"/>
        <v>#VALUE!</v>
      </c>
      <c r="EN657" s="1384"/>
      <c r="EO657" s="1384"/>
      <c r="EP657" s="1384"/>
      <c r="EQ657" s="1384"/>
      <c r="ER657" s="1384" t="e">
        <f t="shared" si="8"/>
        <v>#VALUE!</v>
      </c>
      <c r="ES657" s="1384"/>
      <c r="ET657" s="1384"/>
      <c r="EU657" s="1384"/>
      <c r="EV657" s="1384"/>
      <c r="EW657" s="1384" t="e">
        <f t="shared" si="9"/>
        <v>#VALUE!</v>
      </c>
      <c r="EX657" s="1384"/>
      <c r="EY657" s="1384"/>
      <c r="EZ657" s="1384"/>
      <c r="FA657" s="1384"/>
    </row>
    <row r="658" spans="1:157" ht="12.95" customHeight="1">
      <c r="A658" s="22"/>
      <c r="T658" s="22"/>
      <c r="AZ658" s="34"/>
      <c r="BA658" s="34"/>
      <c r="BB658" s="34"/>
      <c r="BC658" s="34"/>
      <c r="BD658" s="34"/>
      <c r="BE658" s="34"/>
      <c r="BF658" s="34"/>
      <c r="BG658" s="34"/>
      <c r="BH658" s="34"/>
      <c r="BI658" s="34"/>
      <c r="BJ658" s="34"/>
      <c r="BK658" s="34"/>
      <c r="BL658" s="34"/>
      <c r="BM658" s="34"/>
      <c r="DX658" s="1384" t="e">
        <f t="shared" si="4"/>
        <v>#VALUE!</v>
      </c>
      <c r="DY658" s="1384"/>
      <c r="DZ658" s="1384"/>
      <c r="EA658" s="1384"/>
      <c r="EB658" s="1384"/>
      <c r="EC658" s="1384" t="e">
        <f t="shared" si="5"/>
        <v>#VALUE!</v>
      </c>
      <c r="ED658" s="1384"/>
      <c r="EE658" s="1384"/>
      <c r="EF658" s="1384"/>
      <c r="EG658" s="1384"/>
      <c r="EH658" s="1384" t="e">
        <f t="shared" si="6"/>
        <v>#VALUE!</v>
      </c>
      <c r="EI658" s="1384"/>
      <c r="EJ658" s="1384"/>
      <c r="EK658" s="1384"/>
      <c r="EL658" s="1384"/>
      <c r="EM658" s="1384" t="e">
        <f t="shared" si="7"/>
        <v>#VALUE!</v>
      </c>
      <c r="EN658" s="1384"/>
      <c r="EO658" s="1384"/>
      <c r="EP658" s="1384"/>
      <c r="EQ658" s="1384"/>
      <c r="ER658" s="1384" t="e">
        <f t="shared" si="8"/>
        <v>#VALUE!</v>
      </c>
      <c r="ES658" s="1384"/>
      <c r="ET658" s="1384"/>
      <c r="EU658" s="1384"/>
      <c r="EV658" s="1384"/>
      <c r="EW658" s="1384" t="e">
        <f t="shared" si="9"/>
        <v>#VALUE!</v>
      </c>
      <c r="EX658" s="1384"/>
      <c r="EY658" s="1384"/>
      <c r="EZ658" s="1384"/>
      <c r="FA658" s="1384"/>
    </row>
    <row r="659" spans="1:157" ht="12.95" customHeight="1">
      <c r="A659" s="55" t="s">
        <v>763</v>
      </c>
      <c r="B659" t="s">
        <v>463</v>
      </c>
      <c r="G659" s="1492" t="str">
        <f>C631</f>
        <v>City of Oakland Loan</v>
      </c>
      <c r="H659" s="1492"/>
      <c r="I659" s="1492"/>
      <c r="J659" s="1492"/>
      <c r="K659" s="1492"/>
      <c r="L659" s="1492"/>
      <c r="M659" s="1492"/>
      <c r="N659" s="1492"/>
      <c r="O659" s="1492"/>
      <c r="P659" s="1492"/>
      <c r="Q659" s="1492"/>
      <c r="R659" s="1492"/>
      <c r="T659" s="55" t="s">
        <v>584</v>
      </c>
      <c r="U659" t="s">
        <v>463</v>
      </c>
      <c r="Z659" s="1492" t="str">
        <f>C632</f>
        <v>GP Contribution - Donated Land</v>
      </c>
      <c r="AA659" s="1492"/>
      <c r="AB659" s="1492"/>
      <c r="AC659" s="1492"/>
      <c r="AD659" s="1492"/>
      <c r="AE659" s="1492"/>
      <c r="AF659" s="1492"/>
      <c r="AG659" s="1492"/>
      <c r="AH659" s="1492"/>
      <c r="AI659" s="1492"/>
      <c r="AJ659" s="1492"/>
      <c r="AK659" s="1492"/>
      <c r="AZ659" s="34"/>
      <c r="BA659" s="34"/>
      <c r="BB659" s="34"/>
      <c r="BC659" s="34"/>
      <c r="BD659" s="34"/>
      <c r="BE659" s="34"/>
      <c r="BF659" s="34"/>
      <c r="BG659" s="34"/>
      <c r="BH659" s="34"/>
      <c r="BI659" s="34"/>
      <c r="BJ659" s="34"/>
      <c r="BK659" s="34"/>
      <c r="BL659" s="34"/>
      <c r="BM659" s="34"/>
      <c r="DX659" s="1384" t="e">
        <f t="shared" si="4"/>
        <v>#VALUE!</v>
      </c>
      <c r="DY659" s="1384"/>
      <c r="DZ659" s="1384"/>
      <c r="EA659" s="1384"/>
      <c r="EB659" s="1384"/>
      <c r="EC659" s="1384" t="e">
        <f t="shared" si="5"/>
        <v>#VALUE!</v>
      </c>
      <c r="ED659" s="1384"/>
      <c r="EE659" s="1384"/>
      <c r="EF659" s="1384"/>
      <c r="EG659" s="1384"/>
      <c r="EH659" s="1384" t="e">
        <f t="shared" si="6"/>
        <v>#VALUE!</v>
      </c>
      <c r="EI659" s="1384"/>
      <c r="EJ659" s="1384"/>
      <c r="EK659" s="1384"/>
      <c r="EL659" s="1384"/>
      <c r="EM659" s="1384" t="e">
        <f t="shared" si="7"/>
        <v>#VALUE!</v>
      </c>
      <c r="EN659" s="1384"/>
      <c r="EO659" s="1384"/>
      <c r="EP659" s="1384"/>
      <c r="EQ659" s="1384"/>
      <c r="ER659" s="1384" t="e">
        <f t="shared" si="8"/>
        <v>#VALUE!</v>
      </c>
      <c r="ES659" s="1384"/>
      <c r="ET659" s="1384"/>
      <c r="EU659" s="1384"/>
      <c r="EV659" s="1384"/>
      <c r="EW659" s="1384" t="e">
        <f t="shared" si="9"/>
        <v>#VALUE!</v>
      </c>
      <c r="EX659" s="1384"/>
      <c r="EY659" s="1384"/>
      <c r="EZ659" s="1384"/>
      <c r="FA659" s="1384"/>
    </row>
    <row r="660" spans="1:157" ht="12.95" customHeight="1">
      <c r="A660" s="22"/>
      <c r="B660" t="s">
        <v>85</v>
      </c>
      <c r="G660" s="1457" t="s">
        <v>2716</v>
      </c>
      <c r="H660" s="1457"/>
      <c r="I660" s="1457"/>
      <c r="J660" s="1457"/>
      <c r="K660" s="1457"/>
      <c r="L660" s="1457"/>
      <c r="M660" s="1457"/>
      <c r="N660" s="1457"/>
      <c r="O660" s="1457"/>
      <c r="P660" s="1457"/>
      <c r="Q660" s="1457"/>
      <c r="R660" s="1457"/>
      <c r="T660" s="22"/>
      <c r="U660" t="s">
        <v>85</v>
      </c>
      <c r="Z660" s="1457" t="s">
        <v>2722</v>
      </c>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DX660" s="1384" t="e">
        <f t="shared" si="4"/>
        <v>#VALUE!</v>
      </c>
      <c r="DY660" s="1384"/>
      <c r="DZ660" s="1384"/>
      <c r="EA660" s="1384"/>
      <c r="EB660" s="1384"/>
      <c r="EC660" s="1384" t="e">
        <f t="shared" si="5"/>
        <v>#VALUE!</v>
      </c>
      <c r="ED660" s="1384"/>
      <c r="EE660" s="1384"/>
      <c r="EF660" s="1384"/>
      <c r="EG660" s="1384"/>
      <c r="EH660" s="1384" t="e">
        <f t="shared" si="6"/>
        <v>#VALUE!</v>
      </c>
      <c r="EI660" s="1384"/>
      <c r="EJ660" s="1384"/>
      <c r="EK660" s="1384"/>
      <c r="EL660" s="1384"/>
      <c r="EM660" s="1384" t="e">
        <f t="shared" si="7"/>
        <v>#VALUE!</v>
      </c>
      <c r="EN660" s="1384"/>
      <c r="EO660" s="1384"/>
      <c r="EP660" s="1384"/>
      <c r="EQ660" s="1384"/>
      <c r="ER660" s="1384" t="e">
        <f t="shared" si="8"/>
        <v>#VALUE!</v>
      </c>
      <c r="ES660" s="1384"/>
      <c r="ET660" s="1384"/>
      <c r="EU660" s="1384"/>
      <c r="EV660" s="1384"/>
      <c r="EW660" s="1384" t="e">
        <f t="shared" si="9"/>
        <v>#VALUE!</v>
      </c>
      <c r="EX660" s="1384"/>
      <c r="EY660" s="1384"/>
      <c r="EZ660" s="1384"/>
      <c r="FA660" s="1384"/>
    </row>
    <row r="661" spans="1:157" ht="12.95" customHeight="1">
      <c r="A661" s="22"/>
      <c r="B661" t="s">
        <v>580</v>
      </c>
      <c r="G661" s="1457" t="s">
        <v>2637</v>
      </c>
      <c r="H661" s="1457"/>
      <c r="I661" s="1457"/>
      <c r="J661" s="1457"/>
      <c r="K661" s="1457"/>
      <c r="L661" s="1457"/>
      <c r="M661" s="1457"/>
      <c r="N661" s="1457"/>
      <c r="O661" s="1457"/>
      <c r="P661" s="1457"/>
      <c r="Q661" s="1457"/>
      <c r="R661" s="1457"/>
      <c r="T661" s="22"/>
      <c r="U661" t="s">
        <v>580</v>
      </c>
      <c r="Z661" s="1416" t="s">
        <v>2720</v>
      </c>
      <c r="AA661" s="1416"/>
      <c r="AB661" s="1416"/>
      <c r="AC661" s="1416"/>
      <c r="AD661" s="1416"/>
      <c r="AE661" s="1416"/>
      <c r="AF661" s="1416"/>
      <c r="AG661" s="1416"/>
      <c r="AH661" s="1416"/>
      <c r="AI661" s="1416"/>
      <c r="AJ661" s="1416"/>
      <c r="AK661" s="1416"/>
      <c r="AZ661" s="34"/>
      <c r="BA661" s="34"/>
      <c r="BB661" s="34"/>
      <c r="BC661" s="34"/>
      <c r="BD661" s="34"/>
      <c r="BE661" s="34"/>
      <c r="BF661" s="34"/>
      <c r="BG661" s="34"/>
      <c r="BH661" s="34"/>
      <c r="BI661" s="34"/>
      <c r="BJ661" s="34"/>
      <c r="BK661" s="34"/>
      <c r="BL661" s="34"/>
      <c r="BM661" s="34"/>
      <c r="DX661" s="1384" t="e">
        <f t="shared" si="4"/>
        <v>#VALUE!</v>
      </c>
      <c r="DY661" s="1384"/>
      <c r="DZ661" s="1384"/>
      <c r="EA661" s="1384"/>
      <c r="EB661" s="1384"/>
      <c r="EC661" s="1384" t="e">
        <f t="shared" si="5"/>
        <v>#VALUE!</v>
      </c>
      <c r="ED661" s="1384"/>
      <c r="EE661" s="1384"/>
      <c r="EF661" s="1384"/>
      <c r="EG661" s="1384"/>
      <c r="EH661" s="1384" t="e">
        <f t="shared" si="6"/>
        <v>#VALUE!</v>
      </c>
      <c r="EI661" s="1384"/>
      <c r="EJ661" s="1384"/>
      <c r="EK661" s="1384"/>
      <c r="EL661" s="1384"/>
      <c r="EM661" s="1384" t="e">
        <f t="shared" si="7"/>
        <v>#VALUE!</v>
      </c>
      <c r="EN661" s="1384"/>
      <c r="EO661" s="1384"/>
      <c r="EP661" s="1384"/>
      <c r="EQ661" s="1384"/>
      <c r="ER661" s="1384" t="e">
        <f t="shared" si="8"/>
        <v>#VALUE!</v>
      </c>
      <c r="ES661" s="1384"/>
      <c r="ET661" s="1384"/>
      <c r="EU661" s="1384"/>
      <c r="EV661" s="1384"/>
      <c r="EW661" s="1384" t="e">
        <f t="shared" si="9"/>
        <v>#VALUE!</v>
      </c>
      <c r="EX661" s="1384"/>
      <c r="EY661" s="1384"/>
      <c r="EZ661" s="1384"/>
      <c r="FA661" s="1384"/>
    </row>
    <row r="662" spans="1:157" ht="12.95" customHeight="1">
      <c r="A662" s="22"/>
      <c r="B662" t="s">
        <v>17</v>
      </c>
      <c r="G662" s="1457" t="s">
        <v>2717</v>
      </c>
      <c r="H662" s="1457"/>
      <c r="I662" s="1457"/>
      <c r="J662" s="1457"/>
      <c r="K662" s="1457"/>
      <c r="L662" s="1457"/>
      <c r="M662" s="1457"/>
      <c r="N662" s="1457"/>
      <c r="O662" s="1457"/>
      <c r="P662" s="1457"/>
      <c r="Q662" s="1457"/>
      <c r="R662" s="1457"/>
      <c r="T662" s="22"/>
      <c r="U662" t="s">
        <v>17</v>
      </c>
      <c r="Z662" s="1416" t="s">
        <v>2628</v>
      </c>
      <c r="AA662" s="1416"/>
      <c r="AB662" s="1416"/>
      <c r="AC662" s="1416"/>
      <c r="AD662" s="1416"/>
      <c r="AE662" s="1416"/>
      <c r="AF662" s="1416"/>
      <c r="AG662" s="1416"/>
      <c r="AH662" s="1416"/>
      <c r="AI662" s="1416"/>
      <c r="AJ662" s="1416"/>
      <c r="AK662" s="141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4" t="e">
        <f t="shared" si="4"/>
        <v>#VALUE!</v>
      </c>
      <c r="DY662" s="1384"/>
      <c r="DZ662" s="1384"/>
      <c r="EA662" s="1384"/>
      <c r="EB662" s="1384"/>
      <c r="EC662" s="1384" t="e">
        <f t="shared" si="5"/>
        <v>#VALUE!</v>
      </c>
      <c r="ED662" s="1384"/>
      <c r="EE662" s="1384"/>
      <c r="EF662" s="1384"/>
      <c r="EG662" s="1384"/>
      <c r="EH662" s="1384" t="e">
        <f t="shared" si="6"/>
        <v>#VALUE!</v>
      </c>
      <c r="EI662" s="1384"/>
      <c r="EJ662" s="1384"/>
      <c r="EK662" s="1384"/>
      <c r="EL662" s="1384"/>
      <c r="EM662" s="1384" t="e">
        <f t="shared" si="7"/>
        <v>#VALUE!</v>
      </c>
      <c r="EN662" s="1384"/>
      <c r="EO662" s="1384"/>
      <c r="EP662" s="1384"/>
      <c r="EQ662" s="1384"/>
      <c r="ER662" s="1384" t="e">
        <f t="shared" si="8"/>
        <v>#VALUE!</v>
      </c>
      <c r="ES662" s="1384"/>
      <c r="ET662" s="1384"/>
      <c r="EU662" s="1384"/>
      <c r="EV662" s="1384"/>
      <c r="EW662" s="1384" t="e">
        <f t="shared" si="9"/>
        <v>#VALUE!</v>
      </c>
      <c r="EX662" s="1384"/>
      <c r="EY662" s="1384"/>
      <c r="EZ662" s="1384"/>
      <c r="FA662" s="1384"/>
    </row>
    <row r="663" spans="1:157" ht="12.95" customHeight="1">
      <c r="A663" s="22"/>
      <c r="B663" t="s">
        <v>315</v>
      </c>
      <c r="G663" s="1464" t="s">
        <v>2718</v>
      </c>
      <c r="H663" s="1464"/>
      <c r="I663" s="1464"/>
      <c r="J663" s="1464"/>
      <c r="K663" s="1464"/>
      <c r="L663" s="1464"/>
      <c r="O663" s="33" t="s">
        <v>205</v>
      </c>
      <c r="P663" s="1459"/>
      <c r="Q663" s="1459"/>
      <c r="R663" s="1459"/>
      <c r="T663" s="22"/>
      <c r="U663" t="s">
        <v>315</v>
      </c>
      <c r="Z663" s="1464" t="s">
        <v>2714</v>
      </c>
      <c r="AA663" s="1464"/>
      <c r="AB663" s="1464"/>
      <c r="AC663" s="1464"/>
      <c r="AD663" s="1464"/>
      <c r="AE663" s="1464"/>
      <c r="AH663" s="33" t="s">
        <v>205</v>
      </c>
      <c r="AI663" s="1459"/>
      <c r="AJ663" s="1459"/>
      <c r="AK663" s="145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4" t="e">
        <f t="shared" si="4"/>
        <v>#VALUE!</v>
      </c>
      <c r="DY663" s="1384"/>
      <c r="DZ663" s="1384"/>
      <c r="EA663" s="1384"/>
      <c r="EB663" s="1384"/>
      <c r="EC663" s="1384" t="e">
        <f t="shared" si="5"/>
        <v>#VALUE!</v>
      </c>
      <c r="ED663" s="1384"/>
      <c r="EE663" s="1384"/>
      <c r="EF663" s="1384"/>
      <c r="EG663" s="1384"/>
      <c r="EH663" s="1384" t="e">
        <f t="shared" si="6"/>
        <v>#VALUE!</v>
      </c>
      <c r="EI663" s="1384"/>
      <c r="EJ663" s="1384"/>
      <c r="EK663" s="1384"/>
      <c r="EL663" s="1384"/>
      <c r="EM663" s="1384" t="e">
        <f t="shared" si="7"/>
        <v>#VALUE!</v>
      </c>
      <c r="EN663" s="1384"/>
      <c r="EO663" s="1384"/>
      <c r="EP663" s="1384"/>
      <c r="EQ663" s="1384"/>
      <c r="ER663" s="1384" t="e">
        <f t="shared" si="8"/>
        <v>#VALUE!</v>
      </c>
      <c r="ES663" s="1384"/>
      <c r="ET663" s="1384"/>
      <c r="EU663" s="1384"/>
      <c r="EV663" s="1384"/>
      <c r="EW663" s="1384" t="e">
        <f t="shared" si="9"/>
        <v>#VALUE!</v>
      </c>
      <c r="EX663" s="1384"/>
      <c r="EY663" s="1384"/>
      <c r="EZ663" s="1384"/>
      <c r="FA663" s="1384"/>
    </row>
    <row r="664" spans="1:157" ht="12.95" customHeight="1">
      <c r="A664" s="22"/>
      <c r="B664" t="s">
        <v>18</v>
      </c>
      <c r="H664" s="1457"/>
      <c r="I664" s="1457"/>
      <c r="J664" s="1457"/>
      <c r="K664" s="1457"/>
      <c r="L664" s="1457"/>
      <c r="M664" s="1457"/>
      <c r="N664" s="1457"/>
      <c r="O664" s="1457"/>
      <c r="P664" s="1457"/>
      <c r="Q664" s="1457"/>
      <c r="R664" s="1457"/>
      <c r="T664" s="22"/>
      <c r="U664" t="s">
        <v>18</v>
      </c>
      <c r="AA664" s="1457"/>
      <c r="AB664" s="1457"/>
      <c r="AC664" s="1457"/>
      <c r="AD664" s="1457"/>
      <c r="AE664" s="1457"/>
      <c r="AF664" s="1457"/>
      <c r="AG664" s="1457"/>
      <c r="AH664" s="1457"/>
      <c r="AI664" s="1457"/>
      <c r="AJ664" s="1457"/>
      <c r="AK664" s="14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4" t="e">
        <f t="shared" si="4"/>
        <v>#VALUE!</v>
      </c>
      <c r="DY664" s="1384"/>
      <c r="DZ664" s="1384"/>
      <c r="EA664" s="1384"/>
      <c r="EB664" s="1384"/>
      <c r="EC664" s="1384" t="e">
        <f t="shared" si="5"/>
        <v>#VALUE!</v>
      </c>
      <c r="ED664" s="1384"/>
      <c r="EE664" s="1384"/>
      <c r="EF664" s="1384"/>
      <c r="EG664" s="1384"/>
      <c r="EH664" s="1384" t="e">
        <f t="shared" si="6"/>
        <v>#VALUE!</v>
      </c>
      <c r="EI664" s="1384"/>
      <c r="EJ664" s="1384"/>
      <c r="EK664" s="1384"/>
      <c r="EL664" s="1384"/>
      <c r="EM664" s="1384" t="e">
        <f t="shared" si="7"/>
        <v>#VALUE!</v>
      </c>
      <c r="EN664" s="1384"/>
      <c r="EO664" s="1384"/>
      <c r="EP664" s="1384"/>
      <c r="EQ664" s="1384"/>
      <c r="ER664" s="1384" t="e">
        <f t="shared" si="8"/>
        <v>#VALUE!</v>
      </c>
      <c r="ES664" s="1384"/>
      <c r="ET664" s="1384"/>
      <c r="EU664" s="1384"/>
      <c r="EV664" s="1384"/>
      <c r="EW664" s="1384" t="e">
        <f t="shared" si="9"/>
        <v>#VALUE!</v>
      </c>
      <c r="EX664" s="1384"/>
      <c r="EY664" s="1384"/>
      <c r="EZ664" s="1384"/>
      <c r="FA664" s="1384"/>
    </row>
    <row r="665" spans="1:157" ht="12.95" customHeight="1">
      <c r="A665" s="22"/>
      <c r="B665" t="s">
        <v>20</v>
      </c>
      <c r="N665" s="1398" t="s">
        <v>545</v>
      </c>
      <c r="O665" s="1398"/>
      <c r="T665" s="22"/>
      <c r="U665" t="s">
        <v>20</v>
      </c>
      <c r="AG665" s="1398" t="s">
        <v>545</v>
      </c>
      <c r="AH665" s="139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4" t="e">
        <f t="shared" si="4"/>
        <v>#VALUE!</v>
      </c>
      <c r="DY665" s="1384"/>
      <c r="DZ665" s="1384"/>
      <c r="EA665" s="1384"/>
      <c r="EB665" s="1384"/>
      <c r="EC665" s="1384" t="e">
        <f t="shared" si="5"/>
        <v>#VALUE!</v>
      </c>
      <c r="ED665" s="1384"/>
      <c r="EE665" s="1384"/>
      <c r="EF665" s="1384"/>
      <c r="EG665" s="1384"/>
      <c r="EH665" s="1384" t="e">
        <f t="shared" si="6"/>
        <v>#VALUE!</v>
      </c>
      <c r="EI665" s="1384"/>
      <c r="EJ665" s="1384"/>
      <c r="EK665" s="1384"/>
      <c r="EL665" s="1384"/>
      <c r="EM665" s="1384" t="e">
        <f t="shared" si="7"/>
        <v>#VALUE!</v>
      </c>
      <c r="EN665" s="1384"/>
      <c r="EO665" s="1384"/>
      <c r="EP665" s="1384"/>
      <c r="EQ665" s="1384"/>
      <c r="ER665" s="1384" t="e">
        <f t="shared" si="8"/>
        <v>#VALUE!</v>
      </c>
      <c r="ES665" s="1384"/>
      <c r="ET665" s="1384"/>
      <c r="EU665" s="1384"/>
      <c r="EV665" s="1384"/>
      <c r="EW665" s="1384" t="e">
        <f t="shared" si="9"/>
        <v>#VALUE!</v>
      </c>
      <c r="EX665" s="1384"/>
      <c r="EY665" s="1384"/>
      <c r="EZ665" s="1384"/>
      <c r="FA665" s="138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4" t="e">
        <f t="shared" si="4"/>
        <v>#VALUE!</v>
      </c>
      <c r="DY666" s="1384"/>
      <c r="DZ666" s="1384"/>
      <c r="EA666" s="1384"/>
      <c r="EB666" s="1384"/>
      <c r="EC666" s="1384" t="e">
        <f t="shared" si="5"/>
        <v>#VALUE!</v>
      </c>
      <c r="ED666" s="1384"/>
      <c r="EE666" s="1384"/>
      <c r="EF666" s="1384"/>
      <c r="EG666" s="1384"/>
      <c r="EH666" s="1384" t="e">
        <f t="shared" si="6"/>
        <v>#VALUE!</v>
      </c>
      <c r="EI666" s="1384"/>
      <c r="EJ666" s="1384"/>
      <c r="EK666" s="1384"/>
      <c r="EL666" s="1384"/>
      <c r="EM666" s="1384" t="e">
        <f t="shared" si="7"/>
        <v>#VALUE!</v>
      </c>
      <c r="EN666" s="1384"/>
      <c r="EO666" s="1384"/>
      <c r="EP666" s="1384"/>
      <c r="EQ666" s="1384"/>
      <c r="ER666" s="1384" t="e">
        <f t="shared" si="8"/>
        <v>#VALUE!</v>
      </c>
      <c r="ES666" s="1384"/>
      <c r="ET666" s="1384"/>
      <c r="EU666" s="1384"/>
      <c r="EV666" s="1384"/>
      <c r="EW666" s="1384" t="e">
        <f t="shared" si="9"/>
        <v>#VALUE!</v>
      </c>
      <c r="EX666" s="1384"/>
      <c r="EY666" s="1384"/>
      <c r="EZ666" s="1384"/>
      <c r="FA666" s="1384"/>
    </row>
    <row r="667" spans="1:157" ht="12.95" customHeight="1">
      <c r="A667" s="55" t="s">
        <v>455</v>
      </c>
      <c r="B667" t="s">
        <v>463</v>
      </c>
      <c r="G667" s="1492" t="str">
        <f>C633</f>
        <v>Deferred Developer Fee</v>
      </c>
      <c r="H667" s="1492"/>
      <c r="I667" s="1492"/>
      <c r="J667" s="1492"/>
      <c r="K667" s="1492"/>
      <c r="L667" s="1492"/>
      <c r="M667" s="1492"/>
      <c r="N667" s="1492"/>
      <c r="O667" s="1492"/>
      <c r="P667" s="1492"/>
      <c r="Q667" s="1492"/>
      <c r="R667" s="1492"/>
      <c r="T667" s="55" t="s">
        <v>456</v>
      </c>
      <c r="U667" t="s">
        <v>463</v>
      </c>
      <c r="Z667" s="1492" t="str">
        <f>C634</f>
        <v>Accrued Deferred Interest (City of Oakland Loan, Sponsor Gap Loan)</v>
      </c>
      <c r="AA667" s="1492"/>
      <c r="AB667" s="1492"/>
      <c r="AC667" s="1492"/>
      <c r="AD667" s="1492"/>
      <c r="AE667" s="1492"/>
      <c r="AF667" s="1492"/>
      <c r="AG667" s="1492"/>
      <c r="AH667" s="1492"/>
      <c r="AI667" s="1492"/>
      <c r="AJ667" s="1492"/>
      <c r="AK667" s="149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4" t="e">
        <f t="shared" si="4"/>
        <v>#VALUE!</v>
      </c>
      <c r="DY667" s="1384"/>
      <c r="DZ667" s="1384"/>
      <c r="EA667" s="1384"/>
      <c r="EB667" s="1384"/>
      <c r="EC667" s="1384" t="e">
        <f t="shared" si="5"/>
        <v>#VALUE!</v>
      </c>
      <c r="ED667" s="1384"/>
      <c r="EE667" s="1384"/>
      <c r="EF667" s="1384"/>
      <c r="EG667" s="1384"/>
      <c r="EH667" s="1384" t="e">
        <f t="shared" si="6"/>
        <v>#VALUE!</v>
      </c>
      <c r="EI667" s="1384"/>
      <c r="EJ667" s="1384"/>
      <c r="EK667" s="1384"/>
      <c r="EL667" s="1384"/>
      <c r="EM667" s="1384" t="e">
        <f t="shared" si="7"/>
        <v>#VALUE!</v>
      </c>
      <c r="EN667" s="1384"/>
      <c r="EO667" s="1384"/>
      <c r="EP667" s="1384"/>
      <c r="EQ667" s="1384"/>
      <c r="ER667" s="1384" t="e">
        <f t="shared" si="8"/>
        <v>#VALUE!</v>
      </c>
      <c r="ES667" s="1384"/>
      <c r="ET667" s="1384"/>
      <c r="EU667" s="1384"/>
      <c r="EV667" s="1384"/>
      <c r="EW667" s="1384" t="e">
        <f t="shared" si="9"/>
        <v>#VALUE!</v>
      </c>
      <c r="EX667" s="1384"/>
      <c r="EY667" s="1384"/>
      <c r="EZ667" s="1384"/>
      <c r="FA667" s="1384"/>
    </row>
    <row r="668" spans="1:157" ht="12.95" customHeight="1">
      <c r="A668" s="22"/>
      <c r="B668" t="s">
        <v>85</v>
      </c>
      <c r="G668" s="1457" t="s">
        <v>2722</v>
      </c>
      <c r="H668" s="1457"/>
      <c r="I668" s="1457"/>
      <c r="J668" s="1457"/>
      <c r="K668" s="1457"/>
      <c r="L668" s="1457"/>
      <c r="M668" s="1457"/>
      <c r="N668" s="1457"/>
      <c r="O668" s="1457"/>
      <c r="P668" s="1457"/>
      <c r="Q668" s="1457"/>
      <c r="R668" s="1457"/>
      <c r="T668" s="22"/>
      <c r="U668" t="s">
        <v>85</v>
      </c>
      <c r="Z668" s="1457" t="s">
        <v>2716</v>
      </c>
      <c r="AA668" s="1457"/>
      <c r="AB668" s="1457"/>
      <c r="AC668" s="1457"/>
      <c r="AD668" s="1457"/>
      <c r="AE668" s="1457"/>
      <c r="AF668" s="1457"/>
      <c r="AG668" s="1457"/>
      <c r="AH668" s="1457"/>
      <c r="AI668" s="1457"/>
      <c r="AJ668" s="1457"/>
      <c r="AK668" s="145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4" t="e">
        <f t="shared" si="4"/>
        <v>#VALUE!</v>
      </c>
      <c r="DY668" s="1384"/>
      <c r="DZ668" s="1384"/>
      <c r="EA668" s="1384"/>
      <c r="EB668" s="1384"/>
      <c r="EC668" s="1384" t="e">
        <f t="shared" si="5"/>
        <v>#VALUE!</v>
      </c>
      <c r="ED668" s="1384"/>
      <c r="EE668" s="1384"/>
      <c r="EF668" s="1384"/>
      <c r="EG668" s="1384"/>
      <c r="EH668" s="1384" t="e">
        <f t="shared" si="6"/>
        <v>#VALUE!</v>
      </c>
      <c r="EI668" s="1384"/>
      <c r="EJ668" s="1384"/>
      <c r="EK668" s="1384"/>
      <c r="EL668" s="1384"/>
      <c r="EM668" s="1384" t="e">
        <f t="shared" si="7"/>
        <v>#VALUE!</v>
      </c>
      <c r="EN668" s="1384"/>
      <c r="EO668" s="1384"/>
      <c r="EP668" s="1384"/>
      <c r="EQ668" s="1384"/>
      <c r="ER668" s="1384" t="e">
        <f t="shared" si="8"/>
        <v>#VALUE!</v>
      </c>
      <c r="ES668" s="1384"/>
      <c r="ET668" s="1384"/>
      <c r="EU668" s="1384"/>
      <c r="EV668" s="1384"/>
      <c r="EW668" s="1384" t="e">
        <f t="shared" si="9"/>
        <v>#VALUE!</v>
      </c>
      <c r="EX668" s="1384"/>
      <c r="EY668" s="1384"/>
      <c r="EZ668" s="1384"/>
      <c r="FA668" s="1384"/>
    </row>
    <row r="669" spans="1:157" ht="12.95" customHeight="1">
      <c r="A669" s="22"/>
      <c r="B669" t="s">
        <v>580</v>
      </c>
      <c r="G669" s="1457" t="s">
        <v>2720</v>
      </c>
      <c r="H669" s="1457"/>
      <c r="I669" s="1457"/>
      <c r="J669" s="1457"/>
      <c r="K669" s="1457"/>
      <c r="L669" s="1457"/>
      <c r="M669" s="1457"/>
      <c r="N669" s="1457"/>
      <c r="O669" s="1457"/>
      <c r="P669" s="1457"/>
      <c r="Q669" s="1457"/>
      <c r="R669" s="1457"/>
      <c r="T669" s="22"/>
      <c r="U669" t="s">
        <v>580</v>
      </c>
      <c r="Z669" s="1416" t="s">
        <v>2637</v>
      </c>
      <c r="AA669" s="1416"/>
      <c r="AB669" s="1416"/>
      <c r="AC669" s="1416"/>
      <c r="AD669" s="1416"/>
      <c r="AE669" s="1416"/>
      <c r="AF669" s="1416"/>
      <c r="AG669" s="1416"/>
      <c r="AH669" s="1416"/>
      <c r="AI669" s="1416"/>
      <c r="AJ669" s="1416"/>
      <c r="AK669" s="141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4" t="e">
        <f t="shared" si="4"/>
        <v>#VALUE!</v>
      </c>
      <c r="DY669" s="1384"/>
      <c r="DZ669" s="1384"/>
      <c r="EA669" s="1384"/>
      <c r="EB669" s="1384"/>
      <c r="EC669" s="1384" t="e">
        <f t="shared" si="5"/>
        <v>#VALUE!</v>
      </c>
      <c r="ED669" s="1384"/>
      <c r="EE669" s="1384"/>
      <c r="EF669" s="1384"/>
      <c r="EG669" s="1384"/>
      <c r="EH669" s="1384" t="e">
        <f t="shared" si="6"/>
        <v>#VALUE!</v>
      </c>
      <c r="EI669" s="1384"/>
      <c r="EJ669" s="1384"/>
      <c r="EK669" s="1384"/>
      <c r="EL669" s="1384"/>
      <c r="EM669" s="1384" t="e">
        <f t="shared" si="7"/>
        <v>#VALUE!</v>
      </c>
      <c r="EN669" s="1384"/>
      <c r="EO669" s="1384"/>
      <c r="EP669" s="1384"/>
      <c r="EQ669" s="1384"/>
      <c r="ER669" s="1384" t="e">
        <f t="shared" si="8"/>
        <v>#VALUE!</v>
      </c>
      <c r="ES669" s="1384"/>
      <c r="ET669" s="1384"/>
      <c r="EU669" s="1384"/>
      <c r="EV669" s="1384"/>
      <c r="EW669" s="1384" t="e">
        <f t="shared" si="9"/>
        <v>#VALUE!</v>
      </c>
      <c r="EX669" s="1384"/>
      <c r="EY669" s="1384"/>
      <c r="EZ669" s="1384"/>
      <c r="FA669" s="1384"/>
    </row>
    <row r="670" spans="1:157" ht="12.95" customHeight="1">
      <c r="A670" s="22"/>
      <c r="B670" t="s">
        <v>17</v>
      </c>
      <c r="G670" s="1457" t="s">
        <v>2628</v>
      </c>
      <c r="H670" s="1457"/>
      <c r="I670" s="1457"/>
      <c r="J670" s="1457"/>
      <c r="K670" s="1457"/>
      <c r="L670" s="1457"/>
      <c r="M670" s="1457"/>
      <c r="N670" s="1457"/>
      <c r="O670" s="1457"/>
      <c r="P670" s="1457"/>
      <c r="Q670" s="1457"/>
      <c r="R670" s="1457"/>
      <c r="T670" s="22"/>
      <c r="U670" t="s">
        <v>17</v>
      </c>
      <c r="Z670" s="1416" t="s">
        <v>2717</v>
      </c>
      <c r="AA670" s="1416"/>
      <c r="AB670" s="1416"/>
      <c r="AC670" s="1416"/>
      <c r="AD670" s="1416"/>
      <c r="AE670" s="1416"/>
      <c r="AF670" s="1416"/>
      <c r="AG670" s="1416"/>
      <c r="AH670" s="1416"/>
      <c r="AI670" s="1416"/>
      <c r="AJ670" s="1416"/>
      <c r="AK670" s="141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4">
        <f>SUMIF(DX635:EB669,"&gt;0")</f>
        <v>300</v>
      </c>
      <c r="DY670" s="1384"/>
      <c r="DZ670" s="1384"/>
      <c r="EA670" s="1384"/>
      <c r="EB670" s="1384"/>
      <c r="EC670" s="1384">
        <f>SUMIF(EC635:EG669,"&gt;0")</f>
        <v>0</v>
      </c>
      <c r="ED670" s="1384"/>
      <c r="EE670" s="1384"/>
      <c r="EF670" s="1384"/>
      <c r="EG670" s="1384"/>
      <c r="EH670" s="1384">
        <f>SUMIF(EH635:EL669,"&gt;0")</f>
        <v>0</v>
      </c>
      <c r="EI670" s="1384"/>
      <c r="EJ670" s="1384"/>
      <c r="EK670" s="1384"/>
      <c r="EL670" s="1384"/>
      <c r="EM670" s="1384">
        <f>SUMIF(EM635:EQ669,"&gt;0")</f>
        <v>0</v>
      </c>
      <c r="EN670" s="1384"/>
      <c r="EO670" s="1384"/>
      <c r="EP670" s="1384"/>
      <c r="EQ670" s="1384"/>
      <c r="ER670" s="1384">
        <f>SUMIF(ER635:EV669,"&gt;0")</f>
        <v>0</v>
      </c>
      <c r="ES670" s="1384"/>
      <c r="ET670" s="1384"/>
      <c r="EU670" s="1384"/>
      <c r="EV670" s="1384"/>
      <c r="EW670" s="1384">
        <f>SUMIF(EW635:FA669,"&gt;0")</f>
        <v>0</v>
      </c>
      <c r="EX670" s="1384"/>
      <c r="EY670" s="1384"/>
      <c r="EZ670" s="1384"/>
      <c r="FA670" s="1384"/>
    </row>
    <row r="671" spans="1:157" ht="12.95" customHeight="1">
      <c r="A671" s="22"/>
      <c r="B671" t="s">
        <v>315</v>
      </c>
      <c r="G671" s="1464" t="s">
        <v>2714</v>
      </c>
      <c r="H671" s="1464"/>
      <c r="I671" s="1464"/>
      <c r="J671" s="1464"/>
      <c r="K671" s="1464"/>
      <c r="L671" s="1464"/>
      <c r="O671" s="33" t="s">
        <v>205</v>
      </c>
      <c r="P671" s="1459"/>
      <c r="Q671" s="1459"/>
      <c r="R671" s="1459"/>
      <c r="T671" s="22"/>
      <c r="U671" t="s">
        <v>315</v>
      </c>
      <c r="Z671" s="1561" t="s">
        <v>2718</v>
      </c>
      <c r="AA671" s="1464"/>
      <c r="AB671" s="1464"/>
      <c r="AC671" s="1464"/>
      <c r="AD671" s="1464"/>
      <c r="AE671" s="1464"/>
      <c r="AH671" s="33" t="s">
        <v>205</v>
      </c>
      <c r="AI671" s="1459"/>
      <c r="AJ671" s="1459"/>
      <c r="AK671" s="145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7"/>
      <c r="I672" s="1457"/>
      <c r="J672" s="1457"/>
      <c r="K672" s="1457"/>
      <c r="L672" s="1457"/>
      <c r="M672" s="1457"/>
      <c r="N672" s="1457"/>
      <c r="O672" s="1457"/>
      <c r="P672" s="1457"/>
      <c r="Q672" s="1457"/>
      <c r="R672" s="1457"/>
      <c r="T672" s="22"/>
      <c r="U672" t="s">
        <v>18</v>
      </c>
      <c r="AA672" s="1457"/>
      <c r="AB672" s="1457"/>
      <c r="AC672" s="1457"/>
      <c r="AD672" s="1457"/>
      <c r="AE672" s="1457"/>
      <c r="AF672" s="1457"/>
      <c r="AG672" s="1457"/>
      <c r="AH672" s="1457"/>
      <c r="AI672" s="1457"/>
      <c r="AJ672" s="1457"/>
      <c r="AK672" s="145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98" t="s">
        <v>545</v>
      </c>
      <c r="O673" s="1398"/>
      <c r="T673" s="22"/>
      <c r="U673" t="s">
        <v>20</v>
      </c>
      <c r="AG673" s="1398" t="s">
        <v>545</v>
      </c>
      <c r="AH673" s="1398"/>
      <c r="AZ673" s="3"/>
    </row>
    <row r="674" spans="1:52" ht="12.95" customHeight="1">
      <c r="A674" s="22"/>
      <c r="T674" s="22"/>
      <c r="AZ674" s="3"/>
    </row>
    <row r="675" spans="1:52" ht="12.95" customHeight="1">
      <c r="A675" s="55" t="s">
        <v>461</v>
      </c>
      <c r="B675" t="s">
        <v>463</v>
      </c>
      <c r="G675" s="1492" t="str">
        <f>C635</f>
        <v xml:space="preserve">GP Capital </v>
      </c>
      <c r="H675" s="1492"/>
      <c r="I675" s="1492"/>
      <c r="J675" s="1492"/>
      <c r="K675" s="1492"/>
      <c r="L675" s="1492"/>
      <c r="M675" s="1492"/>
      <c r="N675" s="1492"/>
      <c r="O675" s="1492"/>
      <c r="P675" s="1492"/>
      <c r="Q675" s="1492"/>
      <c r="R675" s="1492"/>
      <c r="T675" s="55" t="s">
        <v>646</v>
      </c>
      <c r="U675" t="s">
        <v>463</v>
      </c>
      <c r="Z675" s="1492">
        <f>C636</f>
        <v>0</v>
      </c>
      <c r="AA675" s="1492"/>
      <c r="AB675" s="1492"/>
      <c r="AC675" s="1492"/>
      <c r="AD675" s="1492"/>
      <c r="AE675" s="1492"/>
      <c r="AF675" s="1492"/>
      <c r="AG675" s="1492"/>
      <c r="AH675" s="1492"/>
      <c r="AI675" s="1492"/>
      <c r="AJ675" s="1492"/>
      <c r="AK675" s="1492"/>
      <c r="AZ675" s="3"/>
    </row>
    <row r="676" spans="1:52" ht="12.95" customHeight="1">
      <c r="A676" s="22"/>
      <c r="B676" t="s">
        <v>85</v>
      </c>
      <c r="G676" s="1457" t="s">
        <v>2722</v>
      </c>
      <c r="H676" s="1457"/>
      <c r="I676" s="1457"/>
      <c r="J676" s="1457"/>
      <c r="K676" s="1457"/>
      <c r="L676" s="1457"/>
      <c r="M676" s="1457"/>
      <c r="N676" s="1457"/>
      <c r="O676" s="1457"/>
      <c r="P676" s="1457"/>
      <c r="Q676" s="1457"/>
      <c r="R676" s="1457"/>
      <c r="T676" s="22"/>
      <c r="U676" t="s">
        <v>85</v>
      </c>
      <c r="Z676" s="1457" t="s">
        <v>2721</v>
      </c>
      <c r="AA676" s="1457"/>
      <c r="AB676" s="1457"/>
      <c r="AC676" s="1457"/>
      <c r="AD676" s="1457"/>
      <c r="AE676" s="1457"/>
      <c r="AF676" s="1457"/>
      <c r="AG676" s="1457"/>
      <c r="AH676" s="1457"/>
      <c r="AI676" s="1457"/>
      <c r="AJ676" s="1457"/>
      <c r="AK676" s="1457"/>
      <c r="AZ676" s="3"/>
    </row>
    <row r="677" spans="1:52" ht="12.95" customHeight="1">
      <c r="A677" s="22"/>
      <c r="B677" t="s">
        <v>580</v>
      </c>
      <c r="G677" s="1457" t="s">
        <v>2720</v>
      </c>
      <c r="H677" s="1457"/>
      <c r="I677" s="1457"/>
      <c r="J677" s="1457"/>
      <c r="K677" s="1457"/>
      <c r="L677" s="1457"/>
      <c r="M677" s="1457"/>
      <c r="N677" s="1457"/>
      <c r="O677" s="1457"/>
      <c r="P677" s="1457"/>
      <c r="Q677" s="1457"/>
      <c r="R677" s="1457"/>
      <c r="T677" s="22"/>
      <c r="U677" t="s">
        <v>580</v>
      </c>
      <c r="Z677" s="1416"/>
      <c r="AA677" s="1416"/>
      <c r="AB677" s="1416"/>
      <c r="AC677" s="1416"/>
      <c r="AD677" s="1416"/>
      <c r="AE677" s="1416"/>
      <c r="AF677" s="1416"/>
      <c r="AG677" s="1416"/>
      <c r="AH677" s="1416"/>
      <c r="AI677" s="1416"/>
      <c r="AJ677" s="1416"/>
      <c r="AK677" s="1416"/>
      <c r="AZ677" s="3"/>
    </row>
    <row r="678" spans="1:52" ht="12.95" customHeight="1">
      <c r="A678" s="22"/>
      <c r="B678" t="s">
        <v>17</v>
      </c>
      <c r="G678" s="1457" t="s">
        <v>2628</v>
      </c>
      <c r="H678" s="1457"/>
      <c r="I678" s="1457"/>
      <c r="J678" s="1457"/>
      <c r="K678" s="1457"/>
      <c r="L678" s="1457"/>
      <c r="M678" s="1457"/>
      <c r="N678" s="1457"/>
      <c r="O678" s="1457"/>
      <c r="P678" s="1457"/>
      <c r="Q678" s="1457"/>
      <c r="R678" s="1457"/>
      <c r="T678" s="22"/>
      <c r="U678" t="s">
        <v>17</v>
      </c>
      <c r="Z678" s="1416"/>
      <c r="AA678" s="1416"/>
      <c r="AB678" s="1416"/>
      <c r="AC678" s="1416"/>
      <c r="AD678" s="1416"/>
      <c r="AE678" s="1416"/>
      <c r="AF678" s="1416"/>
      <c r="AG678" s="1416"/>
      <c r="AH678" s="1416"/>
      <c r="AI678" s="1416"/>
      <c r="AJ678" s="1416"/>
      <c r="AK678" s="1416"/>
      <c r="AZ678" s="3"/>
    </row>
    <row r="679" spans="1:52" ht="12.95" customHeight="1">
      <c r="A679" s="22"/>
      <c r="B679" t="s">
        <v>315</v>
      </c>
      <c r="G679" s="1561" t="s">
        <v>2714</v>
      </c>
      <c r="H679" s="1464"/>
      <c r="I679" s="1464"/>
      <c r="J679" s="1464"/>
      <c r="K679" s="1464"/>
      <c r="L679" s="1464"/>
      <c r="O679" s="33" t="s">
        <v>205</v>
      </c>
      <c r="P679" s="1459"/>
      <c r="Q679" s="1459"/>
      <c r="R679" s="1459"/>
      <c r="T679" s="22"/>
      <c r="U679" t="s">
        <v>315</v>
      </c>
      <c r="Z679" s="1464"/>
      <c r="AA679" s="1464"/>
      <c r="AB679" s="1464"/>
      <c r="AC679" s="1464"/>
      <c r="AD679" s="1464"/>
      <c r="AE679" s="1464"/>
      <c r="AH679" s="33" t="s">
        <v>205</v>
      </c>
      <c r="AI679" s="1459"/>
      <c r="AJ679" s="1459"/>
      <c r="AK679" s="1459"/>
      <c r="AZ679" s="3"/>
    </row>
    <row r="680" spans="1:52" ht="12.95"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row>
    <row r="681" spans="1:52" ht="12.95" customHeight="1">
      <c r="A681" s="22"/>
      <c r="B681" t="s">
        <v>20</v>
      </c>
      <c r="N681" s="1398" t="s">
        <v>545</v>
      </c>
      <c r="O681" s="1398"/>
      <c r="T681" s="22"/>
      <c r="U681" t="s">
        <v>20</v>
      </c>
      <c r="AG681" s="1398" t="s">
        <v>669</v>
      </c>
      <c r="AH681" s="1398"/>
      <c r="AZ681" s="3"/>
    </row>
    <row r="682" spans="1:52" ht="12.95" customHeight="1">
      <c r="A682" s="22"/>
      <c r="T682" s="22"/>
      <c r="AZ682" s="3"/>
    </row>
    <row r="683" spans="1:52" ht="12.95" customHeight="1">
      <c r="A683" s="55" t="s">
        <v>361</v>
      </c>
      <c r="B683" t="s">
        <v>463</v>
      </c>
      <c r="G683" s="1492">
        <f>C637</f>
        <v>0</v>
      </c>
      <c r="H683" s="1492"/>
      <c r="I683" s="1492"/>
      <c r="J683" s="1492"/>
      <c r="K683" s="1492"/>
      <c r="L683" s="1492"/>
      <c r="M683" s="1492"/>
      <c r="N683" s="1492"/>
      <c r="O683" s="1492"/>
      <c r="P683" s="1492"/>
      <c r="Q683" s="1492"/>
      <c r="R683" s="1492"/>
      <c r="T683" s="55" t="s">
        <v>362</v>
      </c>
      <c r="U683" t="s">
        <v>463</v>
      </c>
      <c r="Z683" s="1492">
        <f>C638</f>
        <v>0</v>
      </c>
      <c r="AA683" s="1492"/>
      <c r="AB683" s="1492"/>
      <c r="AC683" s="1492"/>
      <c r="AD683" s="1492"/>
      <c r="AE683" s="1492"/>
      <c r="AF683" s="1492"/>
      <c r="AG683" s="1492"/>
      <c r="AH683" s="1492"/>
      <c r="AI683" s="1492"/>
      <c r="AJ683" s="1492"/>
      <c r="AK683" s="1492"/>
      <c r="AZ683" s="3"/>
    </row>
    <row r="684" spans="1:52" ht="12.95" customHeight="1">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row>
    <row r="685" spans="1:52" ht="12.95" customHeight="1">
      <c r="B685" t="s">
        <v>580</v>
      </c>
      <c r="G685" s="1457"/>
      <c r="H685" s="1457"/>
      <c r="I685" s="1457"/>
      <c r="J685" s="1457"/>
      <c r="K685" s="1457"/>
      <c r="L685" s="1457"/>
      <c r="M685" s="1457"/>
      <c r="N685" s="1457"/>
      <c r="O685" s="1457"/>
      <c r="P685" s="1457"/>
      <c r="Q685" s="1457"/>
      <c r="R685" s="1457"/>
      <c r="U685" t="s">
        <v>580</v>
      </c>
      <c r="Z685" s="1416"/>
      <c r="AA685" s="1416"/>
      <c r="AB685" s="1416"/>
      <c r="AC685" s="1416"/>
      <c r="AD685" s="1416"/>
      <c r="AE685" s="1416"/>
      <c r="AF685" s="1416"/>
      <c r="AG685" s="1416"/>
      <c r="AH685" s="1416"/>
      <c r="AI685" s="1416"/>
      <c r="AJ685" s="1416"/>
      <c r="AK685" s="1416"/>
      <c r="AZ685" s="3"/>
    </row>
    <row r="686" spans="1:52" ht="12.95" customHeight="1">
      <c r="B686" t="s">
        <v>17</v>
      </c>
      <c r="G686" s="1457"/>
      <c r="H686" s="1457"/>
      <c r="I686" s="1457"/>
      <c r="J686" s="1457"/>
      <c r="K686" s="1457"/>
      <c r="L686" s="1457"/>
      <c r="M686" s="1457"/>
      <c r="N686" s="1457"/>
      <c r="O686" s="1457"/>
      <c r="P686" s="1457"/>
      <c r="Q686" s="1457"/>
      <c r="R686" s="1457"/>
      <c r="U686" t="s">
        <v>17</v>
      </c>
      <c r="Z686" s="1416"/>
      <c r="AA686" s="1416"/>
      <c r="AB686" s="1416"/>
      <c r="AC686" s="1416"/>
      <c r="AD686" s="1416"/>
      <c r="AE686" s="1416"/>
      <c r="AF686" s="1416"/>
      <c r="AG686" s="1416"/>
      <c r="AH686" s="1416"/>
      <c r="AI686" s="1416"/>
      <c r="AJ686" s="1416"/>
      <c r="AK686" s="1416"/>
      <c r="AZ686" s="3"/>
    </row>
    <row r="687" spans="1:52" ht="12.95" customHeight="1">
      <c r="B687" t="s">
        <v>315</v>
      </c>
      <c r="G687" s="1464"/>
      <c r="H687" s="1464"/>
      <c r="I687" s="1464"/>
      <c r="J687" s="1464"/>
      <c r="K687" s="1464"/>
      <c r="L687" s="1464"/>
      <c r="O687" s="33" t="s">
        <v>205</v>
      </c>
      <c r="P687" s="1459"/>
      <c r="Q687" s="1459"/>
      <c r="R687" s="1459"/>
      <c r="U687" t="s">
        <v>315</v>
      </c>
      <c r="Z687" s="1464"/>
      <c r="AA687" s="1464"/>
      <c r="AB687" s="1464"/>
      <c r="AC687" s="1464"/>
      <c r="AD687" s="1464"/>
      <c r="AE687" s="1464"/>
      <c r="AH687" s="33" t="s">
        <v>205</v>
      </c>
      <c r="AI687" s="1459"/>
      <c r="AJ687" s="1459"/>
      <c r="AK687" s="1459"/>
      <c r="AZ687" s="3"/>
    </row>
    <row r="688" spans="1:52" ht="12.95" customHeight="1">
      <c r="B688" t="s">
        <v>18</v>
      </c>
      <c r="H688" s="1457"/>
      <c r="I688" s="1457"/>
      <c r="J688" s="1457"/>
      <c r="K688" s="1457"/>
      <c r="L688" s="1457"/>
      <c r="M688" s="1457"/>
      <c r="N688" s="1457"/>
      <c r="O688" s="1457"/>
      <c r="P688" s="1457"/>
      <c r="Q688" s="1457"/>
      <c r="R688" s="1457"/>
      <c r="U688" t="s">
        <v>18</v>
      </c>
      <c r="AA688" s="1457"/>
      <c r="AB688" s="1457"/>
      <c r="AC688" s="1457"/>
      <c r="AD688" s="1457"/>
      <c r="AE688" s="1457"/>
      <c r="AF688" s="1457"/>
      <c r="AG688" s="1457"/>
      <c r="AH688" s="1457"/>
      <c r="AI688" s="1457"/>
      <c r="AJ688" s="1457"/>
      <c r="AK688" s="1457"/>
      <c r="AZ688" s="3"/>
    </row>
    <row r="689" spans="1:67" ht="12.95" customHeight="1">
      <c r="B689" t="s">
        <v>20</v>
      </c>
      <c r="N689" s="1398" t="s">
        <v>669</v>
      </c>
      <c r="O689" s="1398"/>
      <c r="U689" t="s">
        <v>20</v>
      </c>
      <c r="AG689" s="1398" t="s">
        <v>669</v>
      </c>
      <c r="AH689" s="1398"/>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98" t="s">
        <v>545</v>
      </c>
      <c r="AF693" s="1398"/>
      <c r="AZ693" s="3"/>
    </row>
    <row r="694" spans="1:67" ht="12.95" customHeight="1">
      <c r="B694" s="135"/>
      <c r="C694" s="135"/>
      <c r="D694" s="136" t="s">
        <v>437</v>
      </c>
      <c r="E694" s="135"/>
      <c r="F694" s="135"/>
      <c r="G694" s="135"/>
      <c r="H694" s="135"/>
      <c r="AE694" s="1398" t="s">
        <v>669</v>
      </c>
      <c r="AF694" s="1398"/>
      <c r="AZ694" s="3"/>
    </row>
    <row r="695" spans="1:67" ht="12.95" customHeight="1">
      <c r="B695" s="135"/>
      <c r="C695" s="135"/>
      <c r="D695" s="136" t="s">
        <v>920</v>
      </c>
      <c r="E695" s="135"/>
      <c r="F695" s="135"/>
      <c r="G695" s="135"/>
      <c r="H695" s="135"/>
      <c r="AE695" s="304"/>
      <c r="AF695" s="304"/>
      <c r="AG695" s="304"/>
      <c r="AH695" s="304"/>
      <c r="AI695" s="304"/>
    </row>
    <row r="696" spans="1:67" ht="12.95" customHeight="1">
      <c r="B696" s="135"/>
      <c r="C696" s="135"/>
      <c r="D696" s="318" t="s">
        <v>983</v>
      </c>
      <c r="E696" s="135"/>
      <c r="F696" s="135"/>
      <c r="G696" s="135"/>
      <c r="H696" s="135"/>
      <c r="AE696" s="1590"/>
      <c r="AF696" s="1590"/>
      <c r="AG696" s="1590"/>
      <c r="AH696" s="1590"/>
      <c r="AI696" s="1590"/>
    </row>
    <row r="697" spans="1:67" ht="12.95" customHeight="1">
      <c r="B697" s="135"/>
      <c r="C697" s="135"/>
    </row>
    <row r="698" spans="1:67" ht="12.95" customHeight="1">
      <c r="B698" s="135"/>
      <c r="C698" s="135"/>
      <c r="D698" s="136" t="s">
        <v>816</v>
      </c>
      <c r="E698" s="135"/>
      <c r="F698" s="135"/>
      <c r="G698" s="135"/>
      <c r="H698" s="135"/>
      <c r="AE698" s="1590">
        <v>45901</v>
      </c>
      <c r="AF698" s="1590"/>
      <c r="AG698" s="1590"/>
      <c r="AH698" s="1590"/>
      <c r="AI698" s="1590"/>
    </row>
    <row r="699" spans="1:67" ht="12.95" customHeight="1">
      <c r="B699" s="135"/>
      <c r="C699" s="135"/>
      <c r="D699" s="136" t="s">
        <v>435</v>
      </c>
      <c r="E699" s="135"/>
      <c r="F699" s="135"/>
      <c r="G699" s="135"/>
      <c r="H699" s="135"/>
      <c r="AE699" s="1682">
        <f>Application!AM554/'Sources and Basis Breakdown'!E107</f>
        <v>0.55719650551643385</v>
      </c>
      <c r="AF699" s="1682"/>
      <c r="AG699" s="1682"/>
      <c r="AH699" s="1682"/>
      <c r="AI699" s="1682"/>
    </row>
    <row r="700" spans="1:67" ht="12.95" customHeight="1">
      <c r="B700" s="135"/>
      <c r="C700" s="135"/>
      <c r="D700" s="136" t="s">
        <v>436</v>
      </c>
      <c r="E700" s="135"/>
      <c r="F700" s="135"/>
      <c r="G700" s="135"/>
      <c r="H700" s="135"/>
      <c r="W700" s="1492" t="str">
        <f>H335</f>
        <v>California Municipal Finance Authority</v>
      </c>
      <c r="X700" s="1492"/>
      <c r="Y700" s="1492"/>
      <c r="Z700" s="1492"/>
      <c r="AA700" s="1492"/>
      <c r="AB700" s="1492"/>
      <c r="AC700" s="1492"/>
      <c r="AD700" s="1492"/>
      <c r="AE700" s="1492"/>
      <c r="AF700" s="1492"/>
      <c r="AG700" s="1492"/>
      <c r="AH700" s="1492"/>
      <c r="AI700" s="1492"/>
      <c r="AJ700" s="1492"/>
      <c r="AK700" s="1492"/>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98" t="s">
        <v>669</v>
      </c>
      <c r="AF702" s="1398"/>
      <c r="AZ702" s="4" t="s">
        <v>323</v>
      </c>
    </row>
    <row r="703" spans="1:67" ht="12.95" customHeight="1">
      <c r="B703" s="135"/>
      <c r="C703" s="135"/>
      <c r="D703" s="136" t="s">
        <v>442</v>
      </c>
      <c r="E703" s="135"/>
      <c r="F703" s="135"/>
      <c r="G703" s="135"/>
      <c r="H703" s="135"/>
      <c r="W703" s="1457"/>
      <c r="X703" s="1457"/>
      <c r="Y703" s="1457"/>
      <c r="Z703" s="1457"/>
      <c r="AA703" s="1457"/>
      <c r="AB703" s="1457"/>
      <c r="AC703" s="1457"/>
      <c r="AD703" s="1457"/>
      <c r="AE703" s="1457"/>
      <c r="AF703" s="1457"/>
      <c r="AG703" s="1457"/>
      <c r="AH703" s="1457"/>
      <c r="AI703" s="1457"/>
      <c r="AJ703" s="1457"/>
      <c r="AK703" s="1457"/>
      <c r="AZ703" s="4" t="s">
        <v>324</v>
      </c>
    </row>
    <row r="704" spans="1:67" ht="12.95" customHeight="1">
      <c r="B704" s="135"/>
      <c r="C704" s="135"/>
      <c r="D704" s="136" t="s">
        <v>87</v>
      </c>
      <c r="E704" s="135"/>
      <c r="F704" s="135"/>
      <c r="G704" s="135"/>
      <c r="H704" s="135"/>
      <c r="J704" s="1457"/>
      <c r="K704" s="1457"/>
      <c r="L704" s="1457"/>
      <c r="M704" s="1457"/>
      <c r="N704" s="1457"/>
      <c r="O704" s="1457"/>
      <c r="P704" s="1457"/>
      <c r="Q704" s="1457"/>
      <c r="R704" s="1457"/>
      <c r="S704" s="1457"/>
      <c r="T704" s="1457"/>
      <c r="U704" s="1457"/>
      <c r="V704" s="1457"/>
      <c r="W704" s="1457"/>
      <c r="X704" s="1457"/>
      <c r="AZ704" s="4" t="s">
        <v>163</v>
      </c>
      <c r="BB704" s="34"/>
      <c r="BC704" s="34"/>
      <c r="BD704" s="34"/>
      <c r="BE704" s="3"/>
      <c r="BF704" s="3"/>
      <c r="BJ704" s="3"/>
      <c r="BK704" s="3"/>
      <c r="BL704" s="3"/>
      <c r="BM704" s="3"/>
      <c r="BN704" s="34"/>
      <c r="BO704" s="34"/>
    </row>
    <row r="705" spans="1:185" ht="12.95" customHeight="1">
      <c r="B705" s="135"/>
      <c r="C705" s="135"/>
      <c r="D705" s="136" t="s">
        <v>88</v>
      </c>
      <c r="J705" s="1464"/>
      <c r="K705" s="1464"/>
      <c r="L705" s="1464"/>
      <c r="M705" s="1464"/>
      <c r="N705" s="1464"/>
      <c r="O705" s="1464"/>
      <c r="P705" s="4" t="s">
        <v>205</v>
      </c>
      <c r="Q705" s="4"/>
      <c r="R705" s="1459"/>
      <c r="S705" s="1459"/>
      <c r="T705" s="145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57" t="s">
        <v>306</v>
      </c>
      <c r="X706" s="1457"/>
      <c r="Y706" s="1457"/>
      <c r="Z706" s="1457"/>
      <c r="AA706" s="1457"/>
      <c r="AB706" s="1457"/>
      <c r="AC706" s="1457"/>
      <c r="AD706" s="1457"/>
      <c r="AE706" s="1457"/>
      <c r="AF706" s="1457"/>
      <c r="AG706" s="1457"/>
      <c r="AH706" s="1457"/>
      <c r="AI706" s="1457"/>
      <c r="AJ706" s="1457"/>
      <c r="AK706" s="145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57" t="s">
        <v>333</v>
      </c>
      <c r="F707" s="1457"/>
      <c r="G707" s="1457"/>
      <c r="H707" s="1457"/>
      <c r="I707" s="1457"/>
      <c r="J707" s="1457"/>
      <c r="K707" s="1457"/>
      <c r="L707" s="1457"/>
      <c r="M707" s="1457"/>
      <c r="N707" s="1457"/>
      <c r="O707" s="1457"/>
      <c r="P707" s="1457"/>
      <c r="Q707" s="1457"/>
      <c r="R707" s="1457"/>
      <c r="S707" s="1457"/>
      <c r="T707" s="1457"/>
      <c r="U707" s="1457"/>
      <c r="V707" s="1457"/>
      <c r="W707" s="1457"/>
      <c r="X707" s="1457"/>
      <c r="Y707" s="1457"/>
      <c r="Z707" s="1457"/>
      <c r="AA707" s="1457"/>
      <c r="AB707" s="1457"/>
      <c r="AC707" s="1457"/>
      <c r="AD707" s="1457"/>
      <c r="AE707" s="1457"/>
      <c r="AF707" s="1457"/>
      <c r="AG707" s="1457"/>
      <c r="AH707" s="1457"/>
      <c r="AI707" s="1457"/>
      <c r="AJ707" s="1457"/>
      <c r="AK707" s="145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85" t="s">
        <v>95</v>
      </c>
      <c r="B709" s="1285"/>
      <c r="C709" s="1285"/>
      <c r="D709" s="1285"/>
      <c r="E709" s="1285"/>
      <c r="F709" s="1285"/>
      <c r="G709" s="1285"/>
      <c r="H709" s="1285"/>
      <c r="I709" s="1285"/>
      <c r="J709" s="1285"/>
      <c r="K709" s="1285"/>
      <c r="L709" s="1285"/>
      <c r="M709" s="1285"/>
      <c r="N709" s="1285"/>
      <c r="O709" s="1285"/>
      <c r="P709" s="1285"/>
      <c r="Q709" s="1285"/>
      <c r="R709" s="1285"/>
      <c r="S709" s="1285"/>
      <c r="T709" s="1285"/>
      <c r="U709" s="1285"/>
      <c r="V709" s="1285"/>
      <c r="W709" s="1285"/>
      <c r="X709" s="1285"/>
      <c r="Y709" s="1285"/>
      <c r="Z709" s="1285"/>
      <c r="AA709" s="1285"/>
      <c r="AB709" s="1285"/>
      <c r="AC709" s="1285"/>
      <c r="AD709" s="1285"/>
      <c r="AE709" s="1285"/>
      <c r="AF709" s="1285"/>
      <c r="AG709" s="1285"/>
      <c r="AH709" s="1285"/>
      <c r="AI709" s="1285"/>
      <c r="AJ709" s="1285"/>
      <c r="AK709" s="1285"/>
      <c r="AL709" s="1285"/>
      <c r="AM709" s="1285"/>
      <c r="AN709" s="1285"/>
      <c r="AO709" s="1285"/>
      <c r="AP709" s="1285"/>
      <c r="AQ709" s="1285"/>
      <c r="AR709" s="1285"/>
      <c r="AS709" s="1285"/>
      <c r="AT709" s="128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85"/>
      <c r="B710" s="1285"/>
      <c r="C710" s="1285"/>
      <c r="D710" s="1285"/>
      <c r="E710" s="1285"/>
      <c r="F710" s="1285"/>
      <c r="G710" s="1285"/>
      <c r="H710" s="1285"/>
      <c r="I710" s="1285"/>
      <c r="J710" s="1285"/>
      <c r="K710" s="1285"/>
      <c r="L710" s="1285"/>
      <c r="M710" s="1285"/>
      <c r="N710" s="1285"/>
      <c r="O710" s="1285"/>
      <c r="P710" s="1285"/>
      <c r="Q710" s="1285"/>
      <c r="R710" s="1285"/>
      <c r="S710" s="1285"/>
      <c r="T710" s="1285"/>
      <c r="U710" s="1285"/>
      <c r="V710" s="1285"/>
      <c r="W710" s="1285"/>
      <c r="X710" s="1285"/>
      <c r="Y710" s="1285"/>
      <c r="Z710" s="1285"/>
      <c r="AA710" s="1285"/>
      <c r="AB710" s="1285"/>
      <c r="AC710" s="1285"/>
      <c r="AD710" s="1285"/>
      <c r="AE710" s="1285"/>
      <c r="AF710" s="1285"/>
      <c r="AG710" s="1285"/>
      <c r="AH710" s="1285"/>
      <c r="AI710" s="1285"/>
      <c r="AJ710" s="1285"/>
      <c r="AK710" s="1285"/>
      <c r="AL710" s="1285"/>
      <c r="AM710" s="1285"/>
      <c r="AN710" s="1285"/>
      <c r="AO710" s="1285"/>
      <c r="AP710" s="1285"/>
      <c r="AQ710" s="1285"/>
      <c r="AR710" s="1285"/>
      <c r="AS710" s="1285"/>
      <c r="AT710" s="128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85"/>
      <c r="B711" s="1285"/>
      <c r="C711" s="1285"/>
      <c r="D711" s="1285"/>
      <c r="E711" s="1285"/>
      <c r="F711" s="1285"/>
      <c r="G711" s="1285"/>
      <c r="H711" s="1285"/>
      <c r="I711" s="1285"/>
      <c r="J711" s="1285"/>
      <c r="K711" s="1285"/>
      <c r="L711" s="1285"/>
      <c r="M711" s="1285"/>
      <c r="N711" s="1285"/>
      <c r="O711" s="1285"/>
      <c r="P711" s="1285"/>
      <c r="Q711" s="1285"/>
      <c r="R711" s="1285"/>
      <c r="S711" s="1285"/>
      <c r="T711" s="1285"/>
      <c r="U711" s="1285"/>
      <c r="V711" s="1285"/>
      <c r="W711" s="1285"/>
      <c r="X711" s="1285"/>
      <c r="Y711" s="1285"/>
      <c r="Z711" s="1285"/>
      <c r="AA711" s="1285"/>
      <c r="AB711" s="1285"/>
      <c r="AC711" s="1285"/>
      <c r="AD711" s="1285"/>
      <c r="AE711" s="1285"/>
      <c r="AF711" s="1285"/>
      <c r="AG711" s="1285"/>
      <c r="AH711" s="1285"/>
      <c r="AI711" s="1285"/>
      <c r="AJ711" s="1285"/>
      <c r="AK711" s="1285"/>
      <c r="AL711" s="1285"/>
      <c r="AM711" s="1285"/>
      <c r="AN711" s="1285"/>
      <c r="AO711" s="1285"/>
      <c r="AP711" s="1285"/>
      <c r="AQ711" s="1285"/>
      <c r="AR711" s="1285"/>
      <c r="AS711" s="1285"/>
      <c r="AT711" s="128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19" t="s">
        <v>388</v>
      </c>
      <c r="C714" s="1499"/>
      <c r="D714" s="1499"/>
      <c r="E714" s="1499"/>
      <c r="F714" s="1500"/>
      <c r="G714" s="1619" t="s">
        <v>284</v>
      </c>
      <c r="H714" s="1499"/>
      <c r="I714" s="1499"/>
      <c r="J714" s="1500"/>
      <c r="K714" s="1606" t="s">
        <v>1679</v>
      </c>
      <c r="L714" s="1607"/>
      <c r="M714" s="1607"/>
      <c r="N714" s="1608"/>
      <c r="O714" s="1619" t="s">
        <v>447</v>
      </c>
      <c r="P714" s="1499"/>
      <c r="Q714" s="1499"/>
      <c r="R714" s="1499"/>
      <c r="S714" s="1500"/>
      <c r="T714" s="1498" t="s">
        <v>1950</v>
      </c>
      <c r="U714" s="1499"/>
      <c r="V714" s="1499"/>
      <c r="W714" s="1500"/>
      <c r="X714" s="1498" t="s">
        <v>1952</v>
      </c>
      <c r="Y714" s="1499"/>
      <c r="Z714" s="1499"/>
      <c r="AA714" s="1499"/>
      <c r="AB714" s="1500"/>
      <c r="AC714" s="1498" t="s">
        <v>1951</v>
      </c>
      <c r="AD714" s="1499"/>
      <c r="AE714" s="1499"/>
      <c r="AF714" s="1499"/>
      <c r="AG714" s="1500"/>
      <c r="AH714" s="1498" t="s">
        <v>1953</v>
      </c>
      <c r="AI714" s="1499"/>
      <c r="AJ714" s="1500"/>
      <c r="AK714" s="1498" t="s">
        <v>1980</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1"/>
      <c r="C715" s="1502"/>
      <c r="D715" s="1502"/>
      <c r="E715" s="1502"/>
      <c r="F715" s="1503"/>
      <c r="G715" s="1501"/>
      <c r="H715" s="1502"/>
      <c r="I715" s="1502"/>
      <c r="J715" s="1503"/>
      <c r="K715" s="1609"/>
      <c r="L715" s="1610"/>
      <c r="M715" s="1610"/>
      <c r="N715" s="1611"/>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1"/>
      <c r="C716" s="1502"/>
      <c r="D716" s="1502"/>
      <c r="E716" s="1502"/>
      <c r="F716" s="1503"/>
      <c r="G716" s="1501"/>
      <c r="H716" s="1502"/>
      <c r="I716" s="1502"/>
      <c r="J716" s="1503"/>
      <c r="K716" s="1609"/>
      <c r="L716" s="1610"/>
      <c r="M716" s="1610"/>
      <c r="N716" s="1611"/>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4"/>
      <c r="C717" s="1505"/>
      <c r="D717" s="1505"/>
      <c r="E717" s="1505"/>
      <c r="F717" s="1506"/>
      <c r="G717" s="1504"/>
      <c r="H717" s="1505"/>
      <c r="I717" s="1505"/>
      <c r="J717" s="1506"/>
      <c r="K717" s="1609"/>
      <c r="L717" s="1610"/>
      <c r="M717" s="1610"/>
      <c r="N717" s="1611"/>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50"/>
      <c r="CJ717" s="1352"/>
      <c r="CK717" s="121" t="s">
        <v>475</v>
      </c>
      <c r="CL717" s="122"/>
      <c r="CM717" s="1350"/>
      <c r="CN717" s="1352"/>
      <c r="CO717" s="3"/>
      <c r="CP717" s="1508" t="s">
        <v>633</v>
      </c>
      <c r="CQ717" s="1509"/>
      <c r="CR717" s="1509"/>
      <c r="CS717" s="1509"/>
      <c r="CT717" s="1510"/>
      <c r="CU717" s="1507" t="s">
        <v>324</v>
      </c>
      <c r="CV717" s="1507"/>
      <c r="CW717" s="1507"/>
      <c r="CX717" s="1507"/>
      <c r="CY717" s="1507"/>
      <c r="CZ717" s="1507" t="s">
        <v>163</v>
      </c>
      <c r="DA717" s="1507"/>
      <c r="DB717" s="1507"/>
      <c r="DC717" s="1507"/>
      <c r="DD717" s="1507"/>
      <c r="DE717" s="1507" t="s">
        <v>164</v>
      </c>
      <c r="DF717" s="1507"/>
      <c r="DG717" s="1507"/>
      <c r="DH717" s="1507"/>
      <c r="DI717" s="1507"/>
      <c r="DJ717" s="1507" t="s">
        <v>460</v>
      </c>
      <c r="DK717" s="1507"/>
      <c r="DL717" s="1507"/>
      <c r="DM717" s="1507"/>
      <c r="DN717" s="1507"/>
      <c r="DO717" s="1507" t="s">
        <v>30</v>
      </c>
      <c r="DP717" s="1507"/>
      <c r="DQ717" s="1507"/>
      <c r="DR717" s="1507"/>
      <c r="DS717" s="1507"/>
      <c r="DT717" s="89"/>
      <c r="DU717" s="1507" t="s">
        <v>633</v>
      </c>
      <c r="DV717" s="1507"/>
      <c r="DW717" s="1507"/>
      <c r="DX717" s="1507"/>
      <c r="DY717" s="1507"/>
      <c r="DZ717" s="1507" t="s">
        <v>324</v>
      </c>
      <c r="EA717" s="1507"/>
      <c r="EB717" s="1507"/>
      <c r="EC717" s="1507"/>
      <c r="ED717" s="1507"/>
      <c r="EE717" s="1507" t="s">
        <v>163</v>
      </c>
      <c r="EF717" s="1507"/>
      <c r="EG717" s="1507"/>
      <c r="EH717" s="1507"/>
      <c r="EI717" s="1507"/>
      <c r="EJ717" s="1507" t="s">
        <v>164</v>
      </c>
      <c r="EK717" s="1507"/>
      <c r="EL717" s="1507"/>
      <c r="EM717" s="1507"/>
      <c r="EN717" s="1507"/>
      <c r="EO717" s="1507" t="s">
        <v>460</v>
      </c>
      <c r="EP717" s="1507"/>
      <c r="EQ717" s="1507"/>
      <c r="ER717" s="1507"/>
      <c r="ES717" s="1507"/>
      <c r="ET717" s="1507" t="s">
        <v>30</v>
      </c>
      <c r="EU717" s="1507"/>
      <c r="EV717" s="1507"/>
      <c r="EW717" s="1507"/>
      <c r="EX717" s="1507"/>
      <c r="EY717" s="4"/>
      <c r="EZ717" s="1507" t="s">
        <v>633</v>
      </c>
      <c r="FA717" s="1507"/>
      <c r="FB717" s="1507"/>
      <c r="FC717" s="1507"/>
      <c r="FD717" s="1507"/>
      <c r="FE717" s="1507" t="s">
        <v>324</v>
      </c>
      <c r="FF717" s="1507"/>
      <c r="FG717" s="1507"/>
      <c r="FH717" s="1507"/>
      <c r="FI717" s="1507"/>
      <c r="FJ717" s="1507" t="s">
        <v>163</v>
      </c>
      <c r="FK717" s="1507"/>
      <c r="FL717" s="1507"/>
      <c r="FM717" s="1507"/>
      <c r="FN717" s="1507"/>
      <c r="FO717" s="1507" t="s">
        <v>164</v>
      </c>
      <c r="FP717" s="1507"/>
      <c r="FQ717" s="1507"/>
      <c r="FR717" s="1507"/>
      <c r="FS717" s="1507"/>
      <c r="FT717" s="1507" t="s">
        <v>460</v>
      </c>
      <c r="FU717" s="1507"/>
      <c r="FV717" s="1507"/>
      <c r="FW717" s="1507"/>
      <c r="FX717" s="1507"/>
      <c r="FY717" s="1507" t="s">
        <v>30</v>
      </c>
      <c r="FZ717" s="1507"/>
      <c r="GA717" s="1507"/>
      <c r="GB717" s="1507"/>
      <c r="GC717" s="1507"/>
    </row>
    <row r="718" spans="1:185" ht="12.95" customHeight="1">
      <c r="A718" s="4"/>
      <c r="B718" s="1370" t="s">
        <v>323</v>
      </c>
      <c r="C718" s="1371"/>
      <c r="D718" s="1371"/>
      <c r="E718" s="1371"/>
      <c r="F718" s="1372"/>
      <c r="G718" s="1379">
        <v>20</v>
      </c>
      <c r="H718" s="1380"/>
      <c r="I718" s="1380"/>
      <c r="J718" s="1381"/>
      <c r="K718" s="1612">
        <v>305</v>
      </c>
      <c r="L718" s="1613"/>
      <c r="M718" s="1613"/>
      <c r="N718" s="1614"/>
      <c r="O718" s="1489">
        <v>300</v>
      </c>
      <c r="P718" s="1490"/>
      <c r="Q718" s="1490"/>
      <c r="R718" s="1490"/>
      <c r="S718" s="1491"/>
      <c r="T718" s="1489">
        <v>74</v>
      </c>
      <c r="U718" s="1490"/>
      <c r="V718" s="1490"/>
      <c r="W718" s="1491"/>
      <c r="X718" s="1373">
        <f t="shared" ref="X718:X741" si="10">O718+T718</f>
        <v>374</v>
      </c>
      <c r="Y718" s="1374"/>
      <c r="Z718" s="1374"/>
      <c r="AA718" s="1374"/>
      <c r="AB718" s="1375"/>
      <c r="AC718" s="1616">
        <v>0.3</v>
      </c>
      <c r="AD718" s="1617"/>
      <c r="AE718" s="1617"/>
      <c r="AF718" s="1617"/>
      <c r="AG718" s="1618"/>
      <c r="AH718" s="1376">
        <f>IF($AC718&gt;0,($X718/$AZ718), "")</f>
        <v>0.13729809104258445</v>
      </c>
      <c r="AI718" s="1377"/>
      <c r="AJ718" s="1378"/>
      <c r="AK718" s="1370" t="s">
        <v>2101</v>
      </c>
      <c r="AL718" s="1371"/>
      <c r="AM718" s="1371"/>
      <c r="AN718" s="1371"/>
      <c r="AO718" s="1372"/>
      <c r="AP718" s="3"/>
      <c r="AQ718" s="3"/>
      <c r="AR718" s="3"/>
      <c r="AS718" s="3"/>
      <c r="AZ718" s="118">
        <f>IF($G718=0,"N/A",VLOOKUP($T$189,TC_Rent,(MATCH($B718,bedrooms,FALSE)),FALSE))</f>
        <v>2724</v>
      </c>
      <c r="BA718" s="3"/>
      <c r="BB718" s="3"/>
      <c r="BC718" s="3"/>
      <c r="BD718" s="3"/>
      <c r="BE718" s="205"/>
      <c r="BF718" s="294">
        <f t="shared" ref="BF718:BF752" si="11">G718</f>
        <v>20</v>
      </c>
      <c r="BG718" s="298">
        <f t="shared" ref="BG718:BG752" si="12">IF($BF$753=0,0,BF718/$BF$753)</f>
        <v>0.20833333333333334</v>
      </c>
      <c r="BH718" s="299">
        <f t="shared" ref="BH718:BH752" si="13">IF(BG718=0,"",BG718*AC718)</f>
        <v>6.25E-2</v>
      </c>
      <c r="BI718" s="3"/>
      <c r="BJ718" s="3"/>
      <c r="BK718" s="3"/>
      <c r="BL718" s="3"/>
      <c r="BM718" s="3"/>
      <c r="BN718" s="3"/>
      <c r="BS718" s="294">
        <f t="shared" ref="BS718:BS752" si="14">G718</f>
        <v>20</v>
      </c>
      <c r="BT718" s="298">
        <f t="shared" ref="BT718:BT752" si="15">IF($BS$753=0,0,BS718/$BS$753)</f>
        <v>0.20833333333333334</v>
      </c>
      <c r="BU718" s="299">
        <f t="shared" ref="BU718:BU752" si="16">IF(BT718=0,"",BT718*AH718)</f>
        <v>2.8603768967205095E-2</v>
      </c>
      <c r="CC718" s="3"/>
      <c r="CD718" s="3"/>
      <c r="CE718" s="3"/>
      <c r="CF718" s="3"/>
      <c r="CG718" s="1366">
        <f>IF(AND(AC718&lt;=0.5,AC718&gt;=0.36),1,0)</f>
        <v>0</v>
      </c>
      <c r="CH718" s="1368"/>
      <c r="CI718" s="1350">
        <f>IF(CG718=1,G718,0)</f>
        <v>0</v>
      </c>
      <c r="CJ718" s="1352"/>
      <c r="CK718" s="1366">
        <f t="shared" ref="CK718:CK752" si="17">IF(AND(AC718&lt;=0.35,AC718&gt;0),1,0)</f>
        <v>1</v>
      </c>
      <c r="CL718" s="1368"/>
      <c r="CM718" s="1350">
        <f t="shared" ref="CM718:CM752" si="18">IF(CK718=1,G718,0)</f>
        <v>20</v>
      </c>
      <c r="CN718" s="1352"/>
      <c r="CO718" s="3"/>
      <c r="CP718" s="1347">
        <f t="shared" ref="CP718:CP752" si="19">IF(B718="SRO/Studio",G718,0)</f>
        <v>20</v>
      </c>
      <c r="CQ718" s="1348"/>
      <c r="CR718" s="1348"/>
      <c r="CS718" s="1348"/>
      <c r="CT718" s="1349"/>
      <c r="CU718" s="1369">
        <f t="shared" ref="CU718:CU752" si="20">IF(B718="1 Bedroom",G718,0)</f>
        <v>0</v>
      </c>
      <c r="CV718" s="1369"/>
      <c r="CW718" s="1369"/>
      <c r="CX718" s="1369"/>
      <c r="CY718" s="1369"/>
      <c r="CZ718" s="1369">
        <f t="shared" ref="CZ718:CZ752" si="21">IF(B718="2 Bedrooms",G718,0)</f>
        <v>0</v>
      </c>
      <c r="DA718" s="1369"/>
      <c r="DB718" s="1369"/>
      <c r="DC718" s="1369"/>
      <c r="DD718" s="1369"/>
      <c r="DE718" s="1369">
        <f t="shared" ref="DE718:DE752" si="22">IF(B718="3 Bedrooms",G718,0)</f>
        <v>0</v>
      </c>
      <c r="DF718" s="1369"/>
      <c r="DG718" s="1369"/>
      <c r="DH718" s="1369"/>
      <c r="DI718" s="1369"/>
      <c r="DJ718" s="1369">
        <f t="shared" ref="DJ718:DJ752" si="23">IF(B718="4 Bedrooms",G718,0)</f>
        <v>0</v>
      </c>
      <c r="DK718" s="1369"/>
      <c r="DL718" s="1369"/>
      <c r="DM718" s="1369"/>
      <c r="DN718" s="1369"/>
      <c r="DO718" s="1369">
        <f t="shared" ref="DO718:DO752" si="24">IF(B718="5 Bedrooms",G718,0)</f>
        <v>0</v>
      </c>
      <c r="DP718" s="1369"/>
      <c r="DQ718" s="1369"/>
      <c r="DR718" s="1369"/>
      <c r="DS718" s="1369"/>
      <c r="DT718" s="6"/>
      <c r="DU718" s="1383">
        <f t="shared" ref="DU718:DU752" si="25">IF(AND(B718="SRO/Studio",AC718&lt;=0.3),G718,0)</f>
        <v>20</v>
      </c>
      <c r="DV718" s="1383"/>
      <c r="DW718" s="1383"/>
      <c r="DX718" s="1383"/>
      <c r="DY718" s="1383"/>
      <c r="DZ718" s="1383">
        <f t="shared" ref="DZ718:DZ752" si="26">IF(AND(B718="1 Bedroom",AC718&lt;=0.3),G718,0)</f>
        <v>0</v>
      </c>
      <c r="EA718" s="1383"/>
      <c r="EB718" s="1383"/>
      <c r="EC718" s="1383"/>
      <c r="ED718" s="1383"/>
      <c r="EE718" s="1383">
        <f t="shared" ref="EE718:EE752" si="27">IF(AND(B718="2 Bedrooms",AC718&lt;=0.3),G718,0)</f>
        <v>0</v>
      </c>
      <c r="EF718" s="1383"/>
      <c r="EG718" s="1383"/>
      <c r="EH718" s="1383"/>
      <c r="EI718" s="1383"/>
      <c r="EJ718" s="1383">
        <f t="shared" ref="EJ718:EJ752" si="28">IF(AND(B718="3 Bedrooms",AC718&lt;=0.3),G718,0)</f>
        <v>0</v>
      </c>
      <c r="EK718" s="1383"/>
      <c r="EL718" s="1383"/>
      <c r="EM718" s="1383"/>
      <c r="EN718" s="1383"/>
      <c r="EO718" s="1383">
        <f t="shared" ref="EO718:EO752" si="29">IF(AND(B718="4 Bedrooms",AC718&lt;=0.3),G718,0)</f>
        <v>0</v>
      </c>
      <c r="EP718" s="1383"/>
      <c r="EQ718" s="1383"/>
      <c r="ER718" s="1383"/>
      <c r="ES718" s="1383"/>
      <c r="ET718" s="1383">
        <f t="shared" ref="ET718:ET752" si="30">IF(AND(B718="5 Bedrooms",AC718&lt;=0.3),G718,0)</f>
        <v>0</v>
      </c>
      <c r="EU718" s="1383"/>
      <c r="EV718" s="1383"/>
      <c r="EW718" s="1383"/>
      <c r="EX718" s="1383"/>
      <c r="EY718" s="4"/>
      <c r="EZ718" s="1366">
        <f t="shared" ref="EZ718:EZ752" si="31">IF(CP718&gt;0,O718,"")</f>
        <v>300</v>
      </c>
      <c r="FA718" s="1367"/>
      <c r="FB718" s="1367"/>
      <c r="FC718" s="1367"/>
      <c r="FD718" s="1368"/>
      <c r="FE718" s="1366" t="str">
        <f t="shared" ref="FE718:FE752" si="32">IF(CU718&gt;0,O718,"")</f>
        <v/>
      </c>
      <c r="FF718" s="1367"/>
      <c r="FG718" s="1367"/>
      <c r="FH718" s="1367"/>
      <c r="FI718" s="1368"/>
      <c r="FJ718" s="1366" t="str">
        <f t="shared" ref="FJ718:FJ752" si="33">IF(CZ718&gt;0,O718,"")</f>
        <v/>
      </c>
      <c r="FK718" s="1367"/>
      <c r="FL718" s="1367"/>
      <c r="FM718" s="1367"/>
      <c r="FN718" s="1368"/>
      <c r="FO718" s="1366" t="str">
        <f t="shared" ref="FO718:FO752" si="34">IF(DE718&gt;0,O718,"")</f>
        <v/>
      </c>
      <c r="FP718" s="1367"/>
      <c r="FQ718" s="1367"/>
      <c r="FR718" s="1367"/>
      <c r="FS718" s="1368"/>
      <c r="FT718" s="1366" t="str">
        <f t="shared" ref="FT718:FT752" si="35">IF(DJ718&gt;0,O718,"")</f>
        <v/>
      </c>
      <c r="FU718" s="1367"/>
      <c r="FV718" s="1367"/>
      <c r="FW718" s="1367"/>
      <c r="FX718" s="1368"/>
      <c r="FY718" s="1366" t="str">
        <f t="shared" ref="FY718:FY752" si="36">IF(DO718&gt;0,O718,"")</f>
        <v/>
      </c>
      <c r="FZ718" s="1367"/>
      <c r="GA718" s="1367"/>
      <c r="GB718" s="1367"/>
      <c r="GC718" s="1368"/>
    </row>
    <row r="719" spans="1:185" ht="12.95" customHeight="1">
      <c r="A719" s="4"/>
      <c r="B719" s="1370" t="s">
        <v>323</v>
      </c>
      <c r="C719" s="1371"/>
      <c r="D719" s="1371"/>
      <c r="E719" s="1371"/>
      <c r="F719" s="1372"/>
      <c r="G719" s="1379">
        <v>19</v>
      </c>
      <c r="H719" s="1380"/>
      <c r="I719" s="1380"/>
      <c r="J719" s="1381"/>
      <c r="K719" s="1612">
        <v>305</v>
      </c>
      <c r="L719" s="1613"/>
      <c r="M719" s="1613"/>
      <c r="N719" s="1614"/>
      <c r="O719" s="1489">
        <v>300</v>
      </c>
      <c r="P719" s="1490"/>
      <c r="Q719" s="1490"/>
      <c r="R719" s="1490"/>
      <c r="S719" s="1491"/>
      <c r="T719" s="1489">
        <v>74</v>
      </c>
      <c r="U719" s="1490"/>
      <c r="V719" s="1490"/>
      <c r="W719" s="1491"/>
      <c r="X719" s="1373">
        <f t="shared" si="10"/>
        <v>374</v>
      </c>
      <c r="Y719" s="1374"/>
      <c r="Z719" s="1374"/>
      <c r="AA719" s="1374"/>
      <c r="AB719" s="1375"/>
      <c r="AC719" s="1616">
        <v>0.3</v>
      </c>
      <c r="AD719" s="1617"/>
      <c r="AE719" s="1617"/>
      <c r="AF719" s="1617"/>
      <c r="AG719" s="1618"/>
      <c r="AH719" s="1376">
        <f t="shared" ref="AH719:AH752" si="37">IF($AC719&gt;0,($X719/$AZ719), "")</f>
        <v>0.13729809104258445</v>
      </c>
      <c r="AI719" s="1377"/>
      <c r="AJ719" s="1378"/>
      <c r="AK719" s="1370" t="s">
        <v>591</v>
      </c>
      <c r="AL719" s="1371"/>
      <c r="AM719" s="1371"/>
      <c r="AN719" s="1371"/>
      <c r="AO719" s="1372"/>
      <c r="AP719" s="3"/>
      <c r="AQ719" s="3"/>
      <c r="AR719" s="3"/>
      <c r="AS719" s="3"/>
      <c r="AZ719" s="118">
        <f>IF($G719=0,"N/A",VLOOKUP($T$189,TC_Rent,(MATCH($B719,bedrooms,FALSE)),FALSE))</f>
        <v>2724</v>
      </c>
      <c r="BA719" s="3"/>
      <c r="BB719" s="3"/>
      <c r="BC719" s="3"/>
      <c r="BD719" s="3"/>
      <c r="BE719" s="205"/>
      <c r="BF719" s="295">
        <f t="shared" si="11"/>
        <v>19</v>
      </c>
      <c r="BG719" s="298">
        <f t="shared" si="12"/>
        <v>0.19791666666666666</v>
      </c>
      <c r="BH719" s="299">
        <f t="shared" si="13"/>
        <v>5.9374999999999997E-2</v>
      </c>
      <c r="BI719" s="3"/>
      <c r="BJ719" s="3"/>
      <c r="BK719" s="3"/>
      <c r="BL719" s="3"/>
      <c r="BM719" s="3"/>
      <c r="BN719" s="3"/>
      <c r="BS719" s="295">
        <f t="shared" si="14"/>
        <v>19</v>
      </c>
      <c r="BT719" s="298">
        <f t="shared" si="15"/>
        <v>0.19791666666666666</v>
      </c>
      <c r="BU719" s="299">
        <f t="shared" si="16"/>
        <v>2.7173580518844838E-2</v>
      </c>
      <c r="CC719" s="3"/>
      <c r="CD719" s="3"/>
      <c r="CE719" s="3"/>
      <c r="CF719" s="3"/>
      <c r="CG719" s="1366">
        <f t="shared" ref="CG719:CG752" si="38">IF(AND(AC719&lt;=0.5,AC719&gt;=0.36),1,0)</f>
        <v>0</v>
      </c>
      <c r="CH719" s="1368"/>
      <c r="CI719" s="1350">
        <f t="shared" ref="CI719:CI752" si="39">IF(CG719=1,G719,0)</f>
        <v>0</v>
      </c>
      <c r="CJ719" s="1352"/>
      <c r="CK719" s="1366">
        <f t="shared" si="17"/>
        <v>1</v>
      </c>
      <c r="CL719" s="1368"/>
      <c r="CM719" s="1350">
        <f t="shared" si="18"/>
        <v>19</v>
      </c>
      <c r="CN719" s="1352"/>
      <c r="CO719" s="3"/>
      <c r="CP719" s="1347">
        <f t="shared" si="19"/>
        <v>19</v>
      </c>
      <c r="CQ719" s="1348"/>
      <c r="CR719" s="1348"/>
      <c r="CS719" s="1348"/>
      <c r="CT719" s="1349"/>
      <c r="CU719" s="1369">
        <f t="shared" si="20"/>
        <v>0</v>
      </c>
      <c r="CV719" s="1369"/>
      <c r="CW719" s="1369"/>
      <c r="CX719" s="1369"/>
      <c r="CY719" s="1369"/>
      <c r="CZ719" s="1369">
        <f t="shared" si="21"/>
        <v>0</v>
      </c>
      <c r="DA719" s="1369"/>
      <c r="DB719" s="1369"/>
      <c r="DC719" s="1369"/>
      <c r="DD719" s="1369"/>
      <c r="DE719" s="1369">
        <f t="shared" si="22"/>
        <v>0</v>
      </c>
      <c r="DF719" s="1369"/>
      <c r="DG719" s="1369"/>
      <c r="DH719" s="1369"/>
      <c r="DI719" s="1369"/>
      <c r="DJ719" s="1369">
        <f t="shared" si="23"/>
        <v>0</v>
      </c>
      <c r="DK719" s="1369"/>
      <c r="DL719" s="1369"/>
      <c r="DM719" s="1369"/>
      <c r="DN719" s="1369"/>
      <c r="DO719" s="1369">
        <f t="shared" si="24"/>
        <v>0</v>
      </c>
      <c r="DP719" s="1369"/>
      <c r="DQ719" s="1369"/>
      <c r="DR719" s="1369"/>
      <c r="DS719" s="1369"/>
      <c r="DT719" s="6"/>
      <c r="DU719" s="1383">
        <f t="shared" si="25"/>
        <v>19</v>
      </c>
      <c r="DV719" s="1383"/>
      <c r="DW719" s="1383"/>
      <c r="DX719" s="1383"/>
      <c r="DY719" s="1383"/>
      <c r="DZ719" s="1383">
        <f t="shared" si="26"/>
        <v>0</v>
      </c>
      <c r="EA719" s="1383"/>
      <c r="EB719" s="1383"/>
      <c r="EC719" s="1383"/>
      <c r="ED719" s="1383"/>
      <c r="EE719" s="1383">
        <f t="shared" si="27"/>
        <v>0</v>
      </c>
      <c r="EF719" s="1383"/>
      <c r="EG719" s="1383"/>
      <c r="EH719" s="1383"/>
      <c r="EI719" s="1383"/>
      <c r="EJ719" s="1383">
        <f t="shared" si="28"/>
        <v>0</v>
      </c>
      <c r="EK719" s="1383"/>
      <c r="EL719" s="1383"/>
      <c r="EM719" s="1383"/>
      <c r="EN719" s="1383"/>
      <c r="EO719" s="1383">
        <f t="shared" si="29"/>
        <v>0</v>
      </c>
      <c r="EP719" s="1383"/>
      <c r="EQ719" s="1383"/>
      <c r="ER719" s="1383"/>
      <c r="ES719" s="1383"/>
      <c r="ET719" s="1383">
        <f t="shared" si="30"/>
        <v>0</v>
      </c>
      <c r="EU719" s="1383"/>
      <c r="EV719" s="1383"/>
      <c r="EW719" s="1383"/>
      <c r="EX719" s="1383"/>
      <c r="EY719" s="4"/>
      <c r="EZ719" s="1366">
        <f t="shared" si="31"/>
        <v>300</v>
      </c>
      <c r="FA719" s="1367"/>
      <c r="FB719" s="1367"/>
      <c r="FC719" s="1367"/>
      <c r="FD719" s="1368"/>
      <c r="FE719" s="1366" t="str">
        <f t="shared" si="32"/>
        <v/>
      </c>
      <c r="FF719" s="1367"/>
      <c r="FG719" s="1367"/>
      <c r="FH719" s="1367"/>
      <c r="FI719" s="1368"/>
      <c r="FJ719" s="1366" t="str">
        <f t="shared" si="33"/>
        <v/>
      </c>
      <c r="FK719" s="1367"/>
      <c r="FL719" s="1367"/>
      <c r="FM719" s="1367"/>
      <c r="FN719" s="1368"/>
      <c r="FO719" s="1366" t="str">
        <f t="shared" si="34"/>
        <v/>
      </c>
      <c r="FP719" s="1367"/>
      <c r="FQ719" s="1367"/>
      <c r="FR719" s="1367"/>
      <c r="FS719" s="1368"/>
      <c r="FT719" s="1366" t="str">
        <f t="shared" si="35"/>
        <v/>
      </c>
      <c r="FU719" s="1367"/>
      <c r="FV719" s="1367"/>
      <c r="FW719" s="1367"/>
      <c r="FX719" s="1368"/>
      <c r="FY719" s="1366" t="str">
        <f t="shared" si="36"/>
        <v/>
      </c>
      <c r="FZ719" s="1367"/>
      <c r="GA719" s="1367"/>
      <c r="GB719" s="1367"/>
      <c r="GC719" s="1368"/>
    </row>
    <row r="720" spans="1:185" ht="12.95" customHeight="1">
      <c r="A720" s="4"/>
      <c r="B720" s="1370" t="s">
        <v>323</v>
      </c>
      <c r="C720" s="1371"/>
      <c r="D720" s="1371"/>
      <c r="E720" s="1371"/>
      <c r="F720" s="1372"/>
      <c r="G720" s="1615">
        <v>57</v>
      </c>
      <c r="H720" s="1380"/>
      <c r="I720" s="1380"/>
      <c r="J720" s="1381"/>
      <c r="K720" s="1612">
        <v>305</v>
      </c>
      <c r="L720" s="1613"/>
      <c r="M720" s="1613"/>
      <c r="N720" s="1614"/>
      <c r="O720" s="1675">
        <v>300</v>
      </c>
      <c r="P720" s="1490"/>
      <c r="Q720" s="1490"/>
      <c r="R720" s="1490"/>
      <c r="S720" s="1491"/>
      <c r="T720" s="1489">
        <v>74</v>
      </c>
      <c r="U720" s="1490"/>
      <c r="V720" s="1490"/>
      <c r="W720" s="1491"/>
      <c r="X720" s="1373">
        <f t="shared" si="10"/>
        <v>374</v>
      </c>
      <c r="Y720" s="1374"/>
      <c r="Z720" s="1374"/>
      <c r="AA720" s="1374"/>
      <c r="AB720" s="1375"/>
      <c r="AC720" s="1616">
        <v>0.5</v>
      </c>
      <c r="AD720" s="1617"/>
      <c r="AE720" s="1617"/>
      <c r="AF720" s="1617"/>
      <c r="AG720" s="1618"/>
      <c r="AH720" s="1376">
        <f t="shared" si="37"/>
        <v>0.13729809104258445</v>
      </c>
      <c r="AI720" s="1377"/>
      <c r="AJ720" s="1378"/>
      <c r="AK720" s="1370" t="s">
        <v>591</v>
      </c>
      <c r="AL720" s="1371"/>
      <c r="AM720" s="1371"/>
      <c r="AN720" s="1371"/>
      <c r="AO720" s="1372"/>
      <c r="AP720" s="3"/>
      <c r="AQ720" s="3"/>
      <c r="AR720" s="3"/>
      <c r="AS720" s="3"/>
      <c r="AZ720" s="118">
        <f>IF($G720=0,"N/A",VLOOKUP($T$189,TC_Rent,(MATCH($B720,bedrooms,FALSE)),FALSE))</f>
        <v>2724</v>
      </c>
      <c r="BA720" s="3"/>
      <c r="BB720" s="3"/>
      <c r="BC720" s="3"/>
      <c r="BD720" s="3"/>
      <c r="BE720" s="205"/>
      <c r="BF720" s="295">
        <f t="shared" si="11"/>
        <v>57</v>
      </c>
      <c r="BG720" s="298">
        <f t="shared" si="12"/>
        <v>0.59375</v>
      </c>
      <c r="BH720" s="299">
        <f t="shared" si="13"/>
        <v>0.296875</v>
      </c>
      <c r="BI720" s="3"/>
      <c r="BJ720" s="3"/>
      <c r="BK720" s="3"/>
      <c r="BL720" s="3"/>
      <c r="BM720" s="3"/>
      <c r="BN720" s="3"/>
      <c r="BS720" s="295">
        <f t="shared" si="14"/>
        <v>57</v>
      </c>
      <c r="BT720" s="298">
        <f t="shared" si="15"/>
        <v>0.59375</v>
      </c>
      <c r="BU720" s="299">
        <f t="shared" si="16"/>
        <v>8.1520741556534521E-2</v>
      </c>
      <c r="CC720" s="3"/>
      <c r="CD720" s="3"/>
      <c r="CE720" s="3"/>
      <c r="CF720" s="3"/>
      <c r="CG720" s="1366">
        <f t="shared" si="38"/>
        <v>1</v>
      </c>
      <c r="CH720" s="1368"/>
      <c r="CI720" s="1350">
        <f t="shared" si="39"/>
        <v>57</v>
      </c>
      <c r="CJ720" s="1352"/>
      <c r="CK720" s="1366">
        <f t="shared" si="17"/>
        <v>0</v>
      </c>
      <c r="CL720" s="1368"/>
      <c r="CM720" s="1350">
        <f t="shared" si="18"/>
        <v>0</v>
      </c>
      <c r="CN720" s="1352"/>
      <c r="CO720" s="3"/>
      <c r="CP720" s="1347">
        <f t="shared" si="19"/>
        <v>57</v>
      </c>
      <c r="CQ720" s="1348"/>
      <c r="CR720" s="1348"/>
      <c r="CS720" s="1348"/>
      <c r="CT720" s="1349"/>
      <c r="CU720" s="1369">
        <f t="shared" si="20"/>
        <v>0</v>
      </c>
      <c r="CV720" s="1369"/>
      <c r="CW720" s="1369"/>
      <c r="CX720" s="1369"/>
      <c r="CY720" s="1369"/>
      <c r="CZ720" s="1369">
        <f t="shared" si="21"/>
        <v>0</v>
      </c>
      <c r="DA720" s="1369"/>
      <c r="DB720" s="1369"/>
      <c r="DC720" s="1369"/>
      <c r="DD720" s="1369"/>
      <c r="DE720" s="1369">
        <f t="shared" si="22"/>
        <v>0</v>
      </c>
      <c r="DF720" s="1369"/>
      <c r="DG720" s="1369"/>
      <c r="DH720" s="1369"/>
      <c r="DI720" s="1369"/>
      <c r="DJ720" s="1369">
        <f t="shared" si="23"/>
        <v>0</v>
      </c>
      <c r="DK720" s="1369"/>
      <c r="DL720" s="1369"/>
      <c r="DM720" s="1369"/>
      <c r="DN720" s="1369"/>
      <c r="DO720" s="1369">
        <f t="shared" si="24"/>
        <v>0</v>
      </c>
      <c r="DP720" s="1369"/>
      <c r="DQ720" s="1369"/>
      <c r="DR720" s="1369"/>
      <c r="DS720" s="1369"/>
      <c r="DT720" s="6"/>
      <c r="DU720" s="1383">
        <f t="shared" si="25"/>
        <v>0</v>
      </c>
      <c r="DV720" s="1383"/>
      <c r="DW720" s="1383"/>
      <c r="DX720" s="1383"/>
      <c r="DY720" s="1383"/>
      <c r="DZ720" s="1383">
        <f t="shared" si="26"/>
        <v>0</v>
      </c>
      <c r="EA720" s="1383"/>
      <c r="EB720" s="1383"/>
      <c r="EC720" s="1383"/>
      <c r="ED720" s="1383"/>
      <c r="EE720" s="1383">
        <f t="shared" si="27"/>
        <v>0</v>
      </c>
      <c r="EF720" s="1383"/>
      <c r="EG720" s="1383"/>
      <c r="EH720" s="1383"/>
      <c r="EI720" s="1383"/>
      <c r="EJ720" s="1383">
        <f t="shared" si="28"/>
        <v>0</v>
      </c>
      <c r="EK720" s="1383"/>
      <c r="EL720" s="1383"/>
      <c r="EM720" s="1383"/>
      <c r="EN720" s="1383"/>
      <c r="EO720" s="1383">
        <f t="shared" si="29"/>
        <v>0</v>
      </c>
      <c r="EP720" s="1383"/>
      <c r="EQ720" s="1383"/>
      <c r="ER720" s="1383"/>
      <c r="ES720" s="1383"/>
      <c r="ET720" s="1383">
        <f t="shared" si="30"/>
        <v>0</v>
      </c>
      <c r="EU720" s="1383"/>
      <c r="EV720" s="1383"/>
      <c r="EW720" s="1383"/>
      <c r="EX720" s="1383"/>
      <c r="EZ720" s="1366">
        <f t="shared" si="31"/>
        <v>300</v>
      </c>
      <c r="FA720" s="1367"/>
      <c r="FB720" s="1367"/>
      <c r="FC720" s="1367"/>
      <c r="FD720" s="1368"/>
      <c r="FE720" s="1366" t="str">
        <f t="shared" si="32"/>
        <v/>
      </c>
      <c r="FF720" s="1367"/>
      <c r="FG720" s="1367"/>
      <c r="FH720" s="1367"/>
      <c r="FI720" s="1368"/>
      <c r="FJ720" s="1366" t="str">
        <f t="shared" si="33"/>
        <v/>
      </c>
      <c r="FK720" s="1367"/>
      <c r="FL720" s="1367"/>
      <c r="FM720" s="1367"/>
      <c r="FN720" s="1368"/>
      <c r="FO720" s="1366" t="str">
        <f t="shared" si="34"/>
        <v/>
      </c>
      <c r="FP720" s="1367"/>
      <c r="FQ720" s="1367"/>
      <c r="FR720" s="1367"/>
      <c r="FS720" s="1368"/>
      <c r="FT720" s="1366" t="str">
        <f t="shared" si="35"/>
        <v/>
      </c>
      <c r="FU720" s="1367"/>
      <c r="FV720" s="1367"/>
      <c r="FW720" s="1367"/>
      <c r="FX720" s="1368"/>
      <c r="FY720" s="1366" t="str">
        <f t="shared" si="36"/>
        <v/>
      </c>
      <c r="FZ720" s="1367"/>
      <c r="GA720" s="1367"/>
      <c r="GB720" s="1367"/>
      <c r="GC720" s="1368"/>
    </row>
    <row r="721" spans="1:185" ht="12.95" customHeight="1">
      <c r="B721" s="1370"/>
      <c r="C721" s="1371"/>
      <c r="D721" s="1371"/>
      <c r="E721" s="1371"/>
      <c r="F721" s="1372"/>
      <c r="G721" s="1379"/>
      <c r="H721" s="1380"/>
      <c r="I721" s="1380"/>
      <c r="J721" s="1381"/>
      <c r="K721" s="1612"/>
      <c r="L721" s="1613"/>
      <c r="M721" s="1613"/>
      <c r="N721" s="1614"/>
      <c r="O721" s="1489"/>
      <c r="P721" s="1490"/>
      <c r="Q721" s="1490"/>
      <c r="R721" s="1490"/>
      <c r="S721" s="1491"/>
      <c r="T721" s="1489"/>
      <c r="U721" s="1490"/>
      <c r="V721" s="1490"/>
      <c r="W721" s="1491"/>
      <c r="X721" s="1373">
        <f t="shared" si="10"/>
        <v>0</v>
      </c>
      <c r="Y721" s="1374"/>
      <c r="Z721" s="1374"/>
      <c r="AA721" s="1374"/>
      <c r="AB721" s="1375"/>
      <c r="AC721" s="1616"/>
      <c r="AD721" s="1617"/>
      <c r="AE721" s="1617"/>
      <c r="AF721" s="1617"/>
      <c r="AG721" s="1618"/>
      <c r="AH721" s="1376" t="str">
        <f t="shared" si="37"/>
        <v/>
      </c>
      <c r="AI721" s="1377"/>
      <c r="AJ721" s="1378"/>
      <c r="AK721" s="1370" t="s">
        <v>591</v>
      </c>
      <c r="AL721" s="1371"/>
      <c r="AM721" s="1371"/>
      <c r="AN721" s="1371"/>
      <c r="AO721" s="1372"/>
      <c r="AP721" s="3"/>
      <c r="AQ721" s="3"/>
      <c r="AR721" s="3"/>
      <c r="AS721" s="3"/>
      <c r="AY721" s="116"/>
      <c r="AZ721" s="118" t="str">
        <f>IF($G721=0,"N/A",VLOOKUP($T$189,TC_Rent,(MATCH($B721,bedrooms,FALSE)),FALSE))</f>
        <v>N/A</v>
      </c>
      <c r="BA721" s="3"/>
      <c r="BB721" s="3"/>
      <c r="BC721" s="3"/>
      <c r="BD721" s="3"/>
      <c r="BE721" s="205"/>
      <c r="BF721" s="295">
        <f t="shared" si="11"/>
        <v>0</v>
      </c>
      <c r="BG721" s="298">
        <f t="shared" si="12"/>
        <v>0</v>
      </c>
      <c r="BH721" s="299" t="str">
        <f t="shared" si="13"/>
        <v/>
      </c>
      <c r="BI721" s="3"/>
      <c r="BJ721" s="3"/>
      <c r="BK721" s="3"/>
      <c r="BL721" s="3"/>
      <c r="BM721" s="3"/>
      <c r="BN721" s="3"/>
      <c r="BS721" s="295">
        <f t="shared" si="14"/>
        <v>0</v>
      </c>
      <c r="BT721" s="298">
        <f t="shared" si="15"/>
        <v>0</v>
      </c>
      <c r="BU721" s="299" t="str">
        <f t="shared" si="16"/>
        <v/>
      </c>
      <c r="CC721" s="3"/>
      <c r="CD721" s="3"/>
      <c r="CE721" s="3"/>
      <c r="CF721" s="3"/>
      <c r="CG721" s="1366">
        <f t="shared" si="38"/>
        <v>0</v>
      </c>
      <c r="CH721" s="1368"/>
      <c r="CI721" s="1350">
        <f t="shared" si="39"/>
        <v>0</v>
      </c>
      <c r="CJ721" s="1352"/>
      <c r="CK721" s="1366">
        <f t="shared" si="17"/>
        <v>0</v>
      </c>
      <c r="CL721" s="1368"/>
      <c r="CM721" s="1350">
        <f t="shared" si="18"/>
        <v>0</v>
      </c>
      <c r="CN721" s="1352"/>
      <c r="CO721" s="3"/>
      <c r="CP721" s="1347">
        <f t="shared" si="19"/>
        <v>0</v>
      </c>
      <c r="CQ721" s="1348"/>
      <c r="CR721" s="1348"/>
      <c r="CS721" s="1348"/>
      <c r="CT721" s="1349"/>
      <c r="CU721" s="1369">
        <f t="shared" si="20"/>
        <v>0</v>
      </c>
      <c r="CV721" s="1369"/>
      <c r="CW721" s="1369"/>
      <c r="CX721" s="1369"/>
      <c r="CY721" s="1369"/>
      <c r="CZ721" s="1369">
        <f t="shared" si="21"/>
        <v>0</v>
      </c>
      <c r="DA721" s="1369"/>
      <c r="DB721" s="1369"/>
      <c r="DC721" s="1369"/>
      <c r="DD721" s="1369"/>
      <c r="DE721" s="1369">
        <f t="shared" si="22"/>
        <v>0</v>
      </c>
      <c r="DF721" s="1369"/>
      <c r="DG721" s="1369"/>
      <c r="DH721" s="1369"/>
      <c r="DI721" s="1369"/>
      <c r="DJ721" s="1369">
        <f t="shared" si="23"/>
        <v>0</v>
      </c>
      <c r="DK721" s="1369"/>
      <c r="DL721" s="1369"/>
      <c r="DM721" s="1369"/>
      <c r="DN721" s="1369"/>
      <c r="DO721" s="1369">
        <f t="shared" si="24"/>
        <v>0</v>
      </c>
      <c r="DP721" s="1369"/>
      <c r="DQ721" s="1369"/>
      <c r="DR721" s="1369"/>
      <c r="DS721" s="1369"/>
      <c r="DT721" s="6"/>
      <c r="DU721" s="1383">
        <f t="shared" si="25"/>
        <v>0</v>
      </c>
      <c r="DV721" s="1383"/>
      <c r="DW721" s="1383"/>
      <c r="DX721" s="1383"/>
      <c r="DY721" s="1383"/>
      <c r="DZ721" s="1383">
        <f t="shared" si="26"/>
        <v>0</v>
      </c>
      <c r="EA721" s="1383"/>
      <c r="EB721" s="1383"/>
      <c r="EC721" s="1383"/>
      <c r="ED721" s="1383"/>
      <c r="EE721" s="1383">
        <f t="shared" si="27"/>
        <v>0</v>
      </c>
      <c r="EF721" s="1383"/>
      <c r="EG721" s="1383"/>
      <c r="EH721" s="1383"/>
      <c r="EI721" s="1383"/>
      <c r="EJ721" s="1383">
        <f t="shared" si="28"/>
        <v>0</v>
      </c>
      <c r="EK721" s="1383"/>
      <c r="EL721" s="1383"/>
      <c r="EM721" s="1383"/>
      <c r="EN721" s="1383"/>
      <c r="EO721" s="1383">
        <f t="shared" si="29"/>
        <v>0</v>
      </c>
      <c r="EP721" s="1383"/>
      <c r="EQ721" s="1383"/>
      <c r="ER721" s="1383"/>
      <c r="ES721" s="1383"/>
      <c r="ET721" s="1383">
        <f t="shared" si="30"/>
        <v>0</v>
      </c>
      <c r="EU721" s="1383"/>
      <c r="EV721" s="1383"/>
      <c r="EW721" s="1383"/>
      <c r="EX721" s="1383"/>
      <c r="EZ721" s="1366" t="str">
        <f t="shared" si="31"/>
        <v/>
      </c>
      <c r="FA721" s="1367"/>
      <c r="FB721" s="1367"/>
      <c r="FC721" s="1367"/>
      <c r="FD721" s="1368"/>
      <c r="FE721" s="1366" t="str">
        <f t="shared" si="32"/>
        <v/>
      </c>
      <c r="FF721" s="1367"/>
      <c r="FG721" s="1367"/>
      <c r="FH721" s="1367"/>
      <c r="FI721" s="1368"/>
      <c r="FJ721" s="1366" t="str">
        <f t="shared" si="33"/>
        <v/>
      </c>
      <c r="FK721" s="1367"/>
      <c r="FL721" s="1367"/>
      <c r="FM721" s="1367"/>
      <c r="FN721" s="1368"/>
      <c r="FO721" s="1366" t="str">
        <f t="shared" si="34"/>
        <v/>
      </c>
      <c r="FP721" s="1367"/>
      <c r="FQ721" s="1367"/>
      <c r="FR721" s="1367"/>
      <c r="FS721" s="1368"/>
      <c r="FT721" s="1366" t="str">
        <f t="shared" si="35"/>
        <v/>
      </c>
      <c r="FU721" s="1367"/>
      <c r="FV721" s="1367"/>
      <c r="FW721" s="1367"/>
      <c r="FX721" s="1368"/>
      <c r="FY721" s="1366" t="str">
        <f t="shared" si="36"/>
        <v/>
      </c>
      <c r="FZ721" s="1367"/>
      <c r="GA721" s="1367"/>
      <c r="GB721" s="1367"/>
      <c r="GC721" s="1368"/>
    </row>
    <row r="722" spans="1:185" ht="12.95" customHeight="1">
      <c r="B722" s="1370"/>
      <c r="C722" s="1371"/>
      <c r="D722" s="1371"/>
      <c r="E722" s="1371"/>
      <c r="F722" s="1372"/>
      <c r="G722" s="1379"/>
      <c r="H722" s="1380"/>
      <c r="I722" s="1380"/>
      <c r="J722" s="1381"/>
      <c r="K722" s="1612"/>
      <c r="L722" s="1613"/>
      <c r="M722" s="1613"/>
      <c r="N722" s="1614"/>
      <c r="O722" s="1489"/>
      <c r="P722" s="1490"/>
      <c r="Q722" s="1490"/>
      <c r="R722" s="1490"/>
      <c r="S722" s="1491"/>
      <c r="T722" s="1489"/>
      <c r="U722" s="1490"/>
      <c r="V722" s="1490"/>
      <c r="W722" s="1491"/>
      <c r="X722" s="1373">
        <f t="shared" si="10"/>
        <v>0</v>
      </c>
      <c r="Y722" s="1374"/>
      <c r="Z722" s="1374"/>
      <c r="AA722" s="1374"/>
      <c r="AB722" s="1375"/>
      <c r="AC722" s="1616"/>
      <c r="AD722" s="1617"/>
      <c r="AE722" s="1617"/>
      <c r="AF722" s="1617"/>
      <c r="AG722" s="1618"/>
      <c r="AH722" s="1376" t="str">
        <f t="shared" si="37"/>
        <v/>
      </c>
      <c r="AI722" s="1377"/>
      <c r="AJ722" s="1378"/>
      <c r="AK722" s="1370" t="s">
        <v>591</v>
      </c>
      <c r="AL722" s="1371"/>
      <c r="AM722" s="1371"/>
      <c r="AN722" s="1371"/>
      <c r="AO722" s="1372"/>
      <c r="AP722" s="3"/>
      <c r="AQ722" s="3"/>
      <c r="AR722" s="3"/>
      <c r="AS722" s="3"/>
      <c r="AY722" s="116"/>
      <c r="AZ722" s="118" t="str">
        <f>IF($G722=0,"N/A",VLOOKUP($T$189,TC_Rent,(MATCH($B722,bedrooms,FALSE)),FALSE))</f>
        <v>N/A</v>
      </c>
      <c r="BA722" s="3"/>
      <c r="BB722" s="3"/>
      <c r="BC722" s="3"/>
      <c r="BD722" s="3"/>
      <c r="BE722" s="205"/>
      <c r="BF722" s="295">
        <f t="shared" si="11"/>
        <v>0</v>
      </c>
      <c r="BG722" s="298">
        <f t="shared" si="12"/>
        <v>0</v>
      </c>
      <c r="BH722" s="299" t="str">
        <f t="shared" si="13"/>
        <v/>
      </c>
      <c r="BI722" s="3"/>
      <c r="BJ722" s="3"/>
      <c r="BK722" s="3"/>
      <c r="BL722" s="3"/>
      <c r="BM722" s="3"/>
      <c r="BN722" s="3"/>
      <c r="BS722" s="295">
        <f t="shared" si="14"/>
        <v>0</v>
      </c>
      <c r="BT722" s="298">
        <f t="shared" si="15"/>
        <v>0</v>
      </c>
      <c r="BU722" s="299" t="str">
        <f t="shared" si="16"/>
        <v/>
      </c>
      <c r="CC722" s="3"/>
      <c r="CD722" s="3"/>
      <c r="CE722" s="3"/>
      <c r="CF722" s="3"/>
      <c r="CG722" s="1366">
        <f t="shared" si="38"/>
        <v>0</v>
      </c>
      <c r="CH722" s="1368"/>
      <c r="CI722" s="1350">
        <f t="shared" si="39"/>
        <v>0</v>
      </c>
      <c r="CJ722" s="1352"/>
      <c r="CK722" s="1366">
        <f t="shared" si="17"/>
        <v>0</v>
      </c>
      <c r="CL722" s="1368"/>
      <c r="CM722" s="1350">
        <f t="shared" si="18"/>
        <v>0</v>
      </c>
      <c r="CN722" s="1352"/>
      <c r="CO722" s="3"/>
      <c r="CP722" s="1347">
        <f t="shared" si="19"/>
        <v>0</v>
      </c>
      <c r="CQ722" s="1348"/>
      <c r="CR722" s="1348"/>
      <c r="CS722" s="1348"/>
      <c r="CT722" s="1349"/>
      <c r="CU722" s="1369">
        <f t="shared" si="20"/>
        <v>0</v>
      </c>
      <c r="CV722" s="1369"/>
      <c r="CW722" s="1369"/>
      <c r="CX722" s="1369"/>
      <c r="CY722" s="1369"/>
      <c r="CZ722" s="1369">
        <f t="shared" si="21"/>
        <v>0</v>
      </c>
      <c r="DA722" s="1369"/>
      <c r="DB722" s="1369"/>
      <c r="DC722" s="1369"/>
      <c r="DD722" s="1369"/>
      <c r="DE722" s="1369">
        <f t="shared" si="22"/>
        <v>0</v>
      </c>
      <c r="DF722" s="1369"/>
      <c r="DG722" s="1369"/>
      <c r="DH722" s="1369"/>
      <c r="DI722" s="1369"/>
      <c r="DJ722" s="1369">
        <f t="shared" si="23"/>
        <v>0</v>
      </c>
      <c r="DK722" s="1369"/>
      <c r="DL722" s="1369"/>
      <c r="DM722" s="1369"/>
      <c r="DN722" s="1369"/>
      <c r="DO722" s="1369">
        <f t="shared" si="24"/>
        <v>0</v>
      </c>
      <c r="DP722" s="1369"/>
      <c r="DQ722" s="1369"/>
      <c r="DR722" s="1369"/>
      <c r="DS722" s="1369"/>
      <c r="DT722" s="6"/>
      <c r="DU722" s="1383">
        <f t="shared" si="25"/>
        <v>0</v>
      </c>
      <c r="DV722" s="1383"/>
      <c r="DW722" s="1383"/>
      <c r="DX722" s="1383"/>
      <c r="DY722" s="1383"/>
      <c r="DZ722" s="1383">
        <f t="shared" si="26"/>
        <v>0</v>
      </c>
      <c r="EA722" s="1383"/>
      <c r="EB722" s="1383"/>
      <c r="EC722" s="1383"/>
      <c r="ED722" s="1383"/>
      <c r="EE722" s="1383">
        <f t="shared" si="27"/>
        <v>0</v>
      </c>
      <c r="EF722" s="1383"/>
      <c r="EG722" s="1383"/>
      <c r="EH722" s="1383"/>
      <c r="EI722" s="1383"/>
      <c r="EJ722" s="1383">
        <f t="shared" si="28"/>
        <v>0</v>
      </c>
      <c r="EK722" s="1383"/>
      <c r="EL722" s="1383"/>
      <c r="EM722" s="1383"/>
      <c r="EN722" s="1383"/>
      <c r="EO722" s="1383">
        <f t="shared" si="29"/>
        <v>0</v>
      </c>
      <c r="EP722" s="1383"/>
      <c r="EQ722" s="1383"/>
      <c r="ER722" s="1383"/>
      <c r="ES722" s="1383"/>
      <c r="ET722" s="1383">
        <f t="shared" si="30"/>
        <v>0</v>
      </c>
      <c r="EU722" s="1383"/>
      <c r="EV722" s="1383"/>
      <c r="EW722" s="1383"/>
      <c r="EX722" s="1383"/>
      <c r="EZ722" s="1366" t="str">
        <f t="shared" si="31"/>
        <v/>
      </c>
      <c r="FA722" s="1367"/>
      <c r="FB722" s="1367"/>
      <c r="FC722" s="1367"/>
      <c r="FD722" s="1368"/>
      <c r="FE722" s="1366" t="str">
        <f t="shared" si="32"/>
        <v/>
      </c>
      <c r="FF722" s="1367"/>
      <c r="FG722" s="1367"/>
      <c r="FH722" s="1367"/>
      <c r="FI722" s="1368"/>
      <c r="FJ722" s="1366" t="str">
        <f t="shared" si="33"/>
        <v/>
      </c>
      <c r="FK722" s="1367"/>
      <c r="FL722" s="1367"/>
      <c r="FM722" s="1367"/>
      <c r="FN722" s="1368"/>
      <c r="FO722" s="1366" t="str">
        <f t="shared" si="34"/>
        <v/>
      </c>
      <c r="FP722" s="1367"/>
      <c r="FQ722" s="1367"/>
      <c r="FR722" s="1367"/>
      <c r="FS722" s="1368"/>
      <c r="FT722" s="1366" t="str">
        <f t="shared" si="35"/>
        <v/>
      </c>
      <c r="FU722" s="1367"/>
      <c r="FV722" s="1367"/>
      <c r="FW722" s="1367"/>
      <c r="FX722" s="1368"/>
      <c r="FY722" s="1366" t="str">
        <f t="shared" si="36"/>
        <v/>
      </c>
      <c r="FZ722" s="1367"/>
      <c r="GA722" s="1367"/>
      <c r="GB722" s="1367"/>
      <c r="GC722" s="1368"/>
    </row>
    <row r="723" spans="1:185" ht="12.95" customHeight="1">
      <c r="B723" s="1370"/>
      <c r="C723" s="1371"/>
      <c r="D723" s="1371"/>
      <c r="E723" s="1371"/>
      <c r="F723" s="1372"/>
      <c r="G723" s="1379"/>
      <c r="H723" s="1380"/>
      <c r="I723" s="1380"/>
      <c r="J723" s="1381"/>
      <c r="K723" s="1612"/>
      <c r="L723" s="1613"/>
      <c r="M723" s="1613"/>
      <c r="N723" s="1614"/>
      <c r="O723" s="1489"/>
      <c r="P723" s="1490"/>
      <c r="Q723" s="1490"/>
      <c r="R723" s="1490"/>
      <c r="S723" s="1491"/>
      <c r="T723" s="1489"/>
      <c r="U723" s="1490"/>
      <c r="V723" s="1490"/>
      <c r="W723" s="1491"/>
      <c r="X723" s="1373">
        <f t="shared" si="10"/>
        <v>0</v>
      </c>
      <c r="Y723" s="1374"/>
      <c r="Z723" s="1374"/>
      <c r="AA723" s="1374"/>
      <c r="AB723" s="1375"/>
      <c r="AC723" s="1616"/>
      <c r="AD723" s="1617"/>
      <c r="AE723" s="1617"/>
      <c r="AF723" s="1617"/>
      <c r="AG723" s="1618"/>
      <c r="AH723" s="1376" t="str">
        <f t="shared" si="37"/>
        <v/>
      </c>
      <c r="AI723" s="1377"/>
      <c r="AJ723" s="1378"/>
      <c r="AK723" s="1370" t="s">
        <v>591</v>
      </c>
      <c r="AL723" s="1371"/>
      <c r="AM723" s="1371"/>
      <c r="AN723" s="1371"/>
      <c r="AO723" s="1372"/>
      <c r="AP723" s="3"/>
      <c r="AQ723" s="3"/>
      <c r="AR723" s="3"/>
      <c r="AS723" s="3"/>
      <c r="AY723" s="116"/>
      <c r="AZ723" s="118" t="str">
        <f>IF($G723=0,"N/A",VLOOKUP($T$189,TC_Rent,(MATCH($B723,bedrooms,FALSE)),FALSE))</f>
        <v>N/A</v>
      </c>
      <c r="BA723" s="3"/>
      <c r="BB723" s="3"/>
      <c r="BC723" s="3"/>
      <c r="BD723" s="3"/>
      <c r="BE723" s="205"/>
      <c r="BF723" s="295">
        <f t="shared" si="11"/>
        <v>0</v>
      </c>
      <c r="BG723" s="298">
        <f t="shared" si="12"/>
        <v>0</v>
      </c>
      <c r="BH723" s="299" t="str">
        <f t="shared" si="13"/>
        <v/>
      </c>
      <c r="BI723" s="3"/>
      <c r="BJ723" s="3"/>
      <c r="BK723" s="3"/>
      <c r="BL723" s="3"/>
      <c r="BM723" s="3"/>
      <c r="BN723" s="3"/>
      <c r="BS723" s="295">
        <f t="shared" si="14"/>
        <v>0</v>
      </c>
      <c r="BT723" s="298">
        <f t="shared" si="15"/>
        <v>0</v>
      </c>
      <c r="BU723" s="299" t="str">
        <f t="shared" si="16"/>
        <v/>
      </c>
      <c r="CC723" s="3"/>
      <c r="CD723" s="3"/>
      <c r="CE723" s="3"/>
      <c r="CF723" s="3"/>
      <c r="CG723" s="1366">
        <f t="shared" si="38"/>
        <v>0</v>
      </c>
      <c r="CH723" s="1368"/>
      <c r="CI723" s="1350">
        <f t="shared" si="39"/>
        <v>0</v>
      </c>
      <c r="CJ723" s="1352"/>
      <c r="CK723" s="1366">
        <f t="shared" si="17"/>
        <v>0</v>
      </c>
      <c r="CL723" s="1368"/>
      <c r="CM723" s="1350">
        <f t="shared" si="18"/>
        <v>0</v>
      </c>
      <c r="CN723" s="1352"/>
      <c r="CO723" s="3"/>
      <c r="CP723" s="1347">
        <f t="shared" si="19"/>
        <v>0</v>
      </c>
      <c r="CQ723" s="1348"/>
      <c r="CR723" s="1348"/>
      <c r="CS723" s="1348"/>
      <c r="CT723" s="1349"/>
      <c r="CU723" s="1369">
        <f t="shared" si="20"/>
        <v>0</v>
      </c>
      <c r="CV723" s="1369"/>
      <c r="CW723" s="1369"/>
      <c r="CX723" s="1369"/>
      <c r="CY723" s="1369"/>
      <c r="CZ723" s="1369">
        <f t="shared" si="21"/>
        <v>0</v>
      </c>
      <c r="DA723" s="1369"/>
      <c r="DB723" s="1369"/>
      <c r="DC723" s="1369"/>
      <c r="DD723" s="1369"/>
      <c r="DE723" s="1369">
        <f t="shared" si="22"/>
        <v>0</v>
      </c>
      <c r="DF723" s="1369"/>
      <c r="DG723" s="1369"/>
      <c r="DH723" s="1369"/>
      <c r="DI723" s="1369"/>
      <c r="DJ723" s="1369">
        <f t="shared" si="23"/>
        <v>0</v>
      </c>
      <c r="DK723" s="1369"/>
      <c r="DL723" s="1369"/>
      <c r="DM723" s="1369"/>
      <c r="DN723" s="1369"/>
      <c r="DO723" s="1369">
        <f t="shared" si="24"/>
        <v>0</v>
      </c>
      <c r="DP723" s="1369"/>
      <c r="DQ723" s="1369"/>
      <c r="DR723" s="1369"/>
      <c r="DS723" s="1369"/>
      <c r="DT723" s="6"/>
      <c r="DU723" s="1383">
        <f t="shared" si="25"/>
        <v>0</v>
      </c>
      <c r="DV723" s="1383"/>
      <c r="DW723" s="1383"/>
      <c r="DX723" s="1383"/>
      <c r="DY723" s="1383"/>
      <c r="DZ723" s="1383">
        <f t="shared" si="26"/>
        <v>0</v>
      </c>
      <c r="EA723" s="1383"/>
      <c r="EB723" s="1383"/>
      <c r="EC723" s="1383"/>
      <c r="ED723" s="1383"/>
      <c r="EE723" s="1383">
        <f t="shared" si="27"/>
        <v>0</v>
      </c>
      <c r="EF723" s="1383"/>
      <c r="EG723" s="1383"/>
      <c r="EH723" s="1383"/>
      <c r="EI723" s="1383"/>
      <c r="EJ723" s="1383">
        <f t="shared" si="28"/>
        <v>0</v>
      </c>
      <c r="EK723" s="1383"/>
      <c r="EL723" s="1383"/>
      <c r="EM723" s="1383"/>
      <c r="EN723" s="1383"/>
      <c r="EO723" s="1383">
        <f t="shared" si="29"/>
        <v>0</v>
      </c>
      <c r="EP723" s="1383"/>
      <c r="EQ723" s="1383"/>
      <c r="ER723" s="1383"/>
      <c r="ES723" s="1383"/>
      <c r="ET723" s="1383">
        <f t="shared" si="30"/>
        <v>0</v>
      </c>
      <c r="EU723" s="1383"/>
      <c r="EV723" s="1383"/>
      <c r="EW723" s="1383"/>
      <c r="EX723" s="1383"/>
      <c r="EZ723" s="1366" t="str">
        <f t="shared" si="31"/>
        <v/>
      </c>
      <c r="FA723" s="1367"/>
      <c r="FB723" s="1367"/>
      <c r="FC723" s="1367"/>
      <c r="FD723" s="1368"/>
      <c r="FE723" s="1366" t="str">
        <f t="shared" si="32"/>
        <v/>
      </c>
      <c r="FF723" s="1367"/>
      <c r="FG723" s="1367"/>
      <c r="FH723" s="1367"/>
      <c r="FI723" s="1368"/>
      <c r="FJ723" s="1366" t="str">
        <f t="shared" si="33"/>
        <v/>
      </c>
      <c r="FK723" s="1367"/>
      <c r="FL723" s="1367"/>
      <c r="FM723" s="1367"/>
      <c r="FN723" s="1368"/>
      <c r="FO723" s="1366" t="str">
        <f t="shared" si="34"/>
        <v/>
      </c>
      <c r="FP723" s="1367"/>
      <c r="FQ723" s="1367"/>
      <c r="FR723" s="1367"/>
      <c r="FS723" s="1368"/>
      <c r="FT723" s="1366" t="str">
        <f t="shared" si="35"/>
        <v/>
      </c>
      <c r="FU723" s="1367"/>
      <c r="FV723" s="1367"/>
      <c r="FW723" s="1367"/>
      <c r="FX723" s="1368"/>
      <c r="FY723" s="1366" t="str">
        <f t="shared" si="36"/>
        <v/>
      </c>
      <c r="FZ723" s="1367"/>
      <c r="GA723" s="1367"/>
      <c r="GB723" s="1367"/>
      <c r="GC723" s="1368"/>
    </row>
    <row r="724" spans="1:185" ht="12.95" customHeight="1">
      <c r="B724" s="1370"/>
      <c r="C724" s="1371"/>
      <c r="D724" s="1371"/>
      <c r="E724" s="1371"/>
      <c r="F724" s="1372"/>
      <c r="G724" s="1379"/>
      <c r="H724" s="1380"/>
      <c r="I724" s="1380"/>
      <c r="J724" s="1381"/>
      <c r="K724" s="1612"/>
      <c r="L724" s="1613"/>
      <c r="M724" s="1613"/>
      <c r="N724" s="1614"/>
      <c r="O724" s="1489"/>
      <c r="P724" s="1490"/>
      <c r="Q724" s="1490"/>
      <c r="R724" s="1490"/>
      <c r="S724" s="1491"/>
      <c r="T724" s="1489"/>
      <c r="U724" s="1490"/>
      <c r="V724" s="1490"/>
      <c r="W724" s="1491"/>
      <c r="X724" s="1373">
        <f t="shared" si="10"/>
        <v>0</v>
      </c>
      <c r="Y724" s="1374"/>
      <c r="Z724" s="1374"/>
      <c r="AA724" s="1374"/>
      <c r="AB724" s="1375"/>
      <c r="AC724" s="1616"/>
      <c r="AD724" s="1617"/>
      <c r="AE724" s="1617"/>
      <c r="AF724" s="1617"/>
      <c r="AG724" s="1618"/>
      <c r="AH724" s="1376" t="str">
        <f t="shared" si="37"/>
        <v/>
      </c>
      <c r="AI724" s="1377"/>
      <c r="AJ724" s="1378"/>
      <c r="AK724" s="1370" t="s">
        <v>591</v>
      </c>
      <c r="AL724" s="1371"/>
      <c r="AM724" s="1371"/>
      <c r="AN724" s="1371"/>
      <c r="AO724" s="1372"/>
      <c r="AP724" s="3"/>
      <c r="AQ724" s="3"/>
      <c r="AR724" s="3"/>
      <c r="AS724" s="3"/>
      <c r="AY724" s="116"/>
      <c r="AZ724" s="118" t="str">
        <f>IF($G724=0,"N/A",VLOOKUP($T$189,TC_Rent,(MATCH($B724,bedrooms,FALSE)),FALSE))</f>
        <v>N/A</v>
      </c>
      <c r="BA724" s="3"/>
      <c r="BB724" s="3"/>
      <c r="BC724" s="3"/>
      <c r="BD724" s="3"/>
      <c r="BE724" s="205"/>
      <c r="BF724" s="295">
        <f t="shared" si="11"/>
        <v>0</v>
      </c>
      <c r="BG724" s="298">
        <f t="shared" si="12"/>
        <v>0</v>
      </c>
      <c r="BH724" s="299" t="str">
        <f t="shared" si="13"/>
        <v/>
      </c>
      <c r="BI724" s="3"/>
      <c r="BJ724" s="3"/>
      <c r="BK724" s="3"/>
      <c r="BL724" s="3"/>
      <c r="BM724" s="3"/>
      <c r="BN724" s="3"/>
      <c r="BS724" s="295">
        <f t="shared" si="14"/>
        <v>0</v>
      </c>
      <c r="BT724" s="298">
        <f t="shared" si="15"/>
        <v>0</v>
      </c>
      <c r="BU724" s="299" t="str">
        <f t="shared" si="16"/>
        <v/>
      </c>
      <c r="CC724" s="3"/>
      <c r="CE724" s="3"/>
      <c r="CF724" s="3"/>
      <c r="CG724" s="1366">
        <f t="shared" si="38"/>
        <v>0</v>
      </c>
      <c r="CH724" s="1368"/>
      <c r="CI724" s="1350">
        <f t="shared" si="39"/>
        <v>0</v>
      </c>
      <c r="CJ724" s="1352"/>
      <c r="CK724" s="1366">
        <f t="shared" si="17"/>
        <v>0</v>
      </c>
      <c r="CL724" s="1368"/>
      <c r="CM724" s="1350">
        <f t="shared" si="18"/>
        <v>0</v>
      </c>
      <c r="CN724" s="1352"/>
      <c r="CO724" s="3"/>
      <c r="CP724" s="1347">
        <f t="shared" si="19"/>
        <v>0</v>
      </c>
      <c r="CQ724" s="1348"/>
      <c r="CR724" s="1348"/>
      <c r="CS724" s="1348"/>
      <c r="CT724" s="1349"/>
      <c r="CU724" s="1369">
        <f t="shared" si="20"/>
        <v>0</v>
      </c>
      <c r="CV724" s="1369"/>
      <c r="CW724" s="1369"/>
      <c r="CX724" s="1369"/>
      <c r="CY724" s="1369"/>
      <c r="CZ724" s="1369">
        <f t="shared" si="21"/>
        <v>0</v>
      </c>
      <c r="DA724" s="1369"/>
      <c r="DB724" s="1369"/>
      <c r="DC724" s="1369"/>
      <c r="DD724" s="1369"/>
      <c r="DE724" s="1369">
        <f t="shared" si="22"/>
        <v>0</v>
      </c>
      <c r="DF724" s="1369"/>
      <c r="DG724" s="1369"/>
      <c r="DH724" s="1369"/>
      <c r="DI724" s="1369"/>
      <c r="DJ724" s="1369">
        <f t="shared" si="23"/>
        <v>0</v>
      </c>
      <c r="DK724" s="1369"/>
      <c r="DL724" s="1369"/>
      <c r="DM724" s="1369"/>
      <c r="DN724" s="1369"/>
      <c r="DO724" s="1369">
        <f t="shared" si="24"/>
        <v>0</v>
      </c>
      <c r="DP724" s="1369"/>
      <c r="DQ724" s="1369"/>
      <c r="DR724" s="1369"/>
      <c r="DS724" s="1369"/>
      <c r="DT724" s="6"/>
      <c r="DU724" s="1383">
        <f t="shared" si="25"/>
        <v>0</v>
      </c>
      <c r="DV724" s="1383"/>
      <c r="DW724" s="1383"/>
      <c r="DX724" s="1383"/>
      <c r="DY724" s="1383"/>
      <c r="DZ724" s="1383">
        <f t="shared" si="26"/>
        <v>0</v>
      </c>
      <c r="EA724" s="1383"/>
      <c r="EB724" s="1383"/>
      <c r="EC724" s="1383"/>
      <c r="ED724" s="1383"/>
      <c r="EE724" s="1383">
        <f t="shared" si="27"/>
        <v>0</v>
      </c>
      <c r="EF724" s="1383"/>
      <c r="EG724" s="1383"/>
      <c r="EH724" s="1383"/>
      <c r="EI724" s="1383"/>
      <c r="EJ724" s="1383">
        <f t="shared" si="28"/>
        <v>0</v>
      </c>
      <c r="EK724" s="1383"/>
      <c r="EL724" s="1383"/>
      <c r="EM724" s="1383"/>
      <c r="EN724" s="1383"/>
      <c r="EO724" s="1383">
        <f t="shared" si="29"/>
        <v>0</v>
      </c>
      <c r="EP724" s="1383"/>
      <c r="EQ724" s="1383"/>
      <c r="ER724" s="1383"/>
      <c r="ES724" s="1383"/>
      <c r="ET724" s="1383">
        <f t="shared" si="30"/>
        <v>0</v>
      </c>
      <c r="EU724" s="1383"/>
      <c r="EV724" s="1383"/>
      <c r="EW724" s="1383"/>
      <c r="EX724" s="1383"/>
      <c r="EZ724" s="1366" t="str">
        <f t="shared" si="31"/>
        <v/>
      </c>
      <c r="FA724" s="1367"/>
      <c r="FB724" s="1367"/>
      <c r="FC724" s="1367"/>
      <c r="FD724" s="1368"/>
      <c r="FE724" s="1366" t="str">
        <f t="shared" si="32"/>
        <v/>
      </c>
      <c r="FF724" s="1367"/>
      <c r="FG724" s="1367"/>
      <c r="FH724" s="1367"/>
      <c r="FI724" s="1368"/>
      <c r="FJ724" s="1366" t="str">
        <f t="shared" si="33"/>
        <v/>
      </c>
      <c r="FK724" s="1367"/>
      <c r="FL724" s="1367"/>
      <c r="FM724" s="1367"/>
      <c r="FN724" s="1368"/>
      <c r="FO724" s="1366" t="str">
        <f t="shared" si="34"/>
        <v/>
      </c>
      <c r="FP724" s="1367"/>
      <c r="FQ724" s="1367"/>
      <c r="FR724" s="1367"/>
      <c r="FS724" s="1368"/>
      <c r="FT724" s="1366" t="str">
        <f t="shared" si="35"/>
        <v/>
      </c>
      <c r="FU724" s="1367"/>
      <c r="FV724" s="1367"/>
      <c r="FW724" s="1367"/>
      <c r="FX724" s="1368"/>
      <c r="FY724" s="1366" t="str">
        <f t="shared" si="36"/>
        <v/>
      </c>
      <c r="FZ724" s="1367"/>
      <c r="GA724" s="1367"/>
      <c r="GB724" s="1367"/>
      <c r="GC724" s="1368"/>
    </row>
    <row r="725" spans="1:185" ht="12.95" customHeight="1">
      <c r="B725" s="1370"/>
      <c r="C725" s="1371"/>
      <c r="D725" s="1371"/>
      <c r="E725" s="1371"/>
      <c r="F725" s="1372"/>
      <c r="G725" s="1379"/>
      <c r="H725" s="1380"/>
      <c r="I725" s="1380"/>
      <c r="J725" s="1381"/>
      <c r="K725" s="1612"/>
      <c r="L725" s="1613"/>
      <c r="M725" s="1613"/>
      <c r="N725" s="1614"/>
      <c r="O725" s="1489"/>
      <c r="P725" s="1490"/>
      <c r="Q725" s="1490"/>
      <c r="R725" s="1490"/>
      <c r="S725" s="1491"/>
      <c r="T725" s="1489"/>
      <c r="U725" s="1490"/>
      <c r="V725" s="1490"/>
      <c r="W725" s="1491"/>
      <c r="X725" s="1373">
        <f t="shared" si="10"/>
        <v>0</v>
      </c>
      <c r="Y725" s="1374"/>
      <c r="Z725" s="1374"/>
      <c r="AA725" s="1374"/>
      <c r="AB725" s="1375"/>
      <c r="AC725" s="1616"/>
      <c r="AD725" s="1617"/>
      <c r="AE725" s="1617"/>
      <c r="AF725" s="1617"/>
      <c r="AG725" s="1618"/>
      <c r="AH725" s="1376" t="str">
        <f t="shared" si="37"/>
        <v/>
      </c>
      <c r="AI725" s="1377"/>
      <c r="AJ725" s="1378"/>
      <c r="AK725" s="1370" t="s">
        <v>591</v>
      </c>
      <c r="AL725" s="1371"/>
      <c r="AM725" s="1371"/>
      <c r="AN725" s="1371"/>
      <c r="AO725" s="1372"/>
      <c r="AP725" s="3"/>
      <c r="AQ725" s="3"/>
      <c r="AR725" s="3"/>
      <c r="AS725" s="3"/>
      <c r="AY725" s="1087"/>
      <c r="AZ725" s="118" t="str">
        <f>IF($G725=0,"N/A",VLOOKUP($T$189,TC_Rent,(MATCH($B725,bedrooms,FALSE)),FALSE))</f>
        <v>N/A</v>
      </c>
      <c r="BA725" s="3"/>
      <c r="BB725" s="3"/>
      <c r="BC725" s="3"/>
      <c r="BD725" s="3"/>
      <c r="BE725" s="205"/>
      <c r="BF725" s="295">
        <f t="shared" si="11"/>
        <v>0</v>
      </c>
      <c r="BG725" s="298">
        <f t="shared" si="12"/>
        <v>0</v>
      </c>
      <c r="BH725" s="299" t="str">
        <f t="shared" si="13"/>
        <v/>
      </c>
      <c r="BI725" s="3"/>
      <c r="BJ725" s="3"/>
      <c r="BK725" s="3"/>
      <c r="BL725" s="3"/>
      <c r="BM725" s="3"/>
      <c r="BN725" s="3"/>
      <c r="BS725" s="295">
        <f t="shared" si="14"/>
        <v>0</v>
      </c>
      <c r="BT725" s="298">
        <f t="shared" si="15"/>
        <v>0</v>
      </c>
      <c r="BU725" s="299" t="str">
        <f t="shared" si="16"/>
        <v/>
      </c>
      <c r="BV725" s="293"/>
      <c r="BW725" s="3"/>
      <c r="BX725" s="3"/>
      <c r="BY725" s="3"/>
      <c r="BZ725" s="3"/>
      <c r="CA725" s="3"/>
      <c r="CB725" s="3"/>
      <c r="CC725" s="3"/>
      <c r="CE725" s="3"/>
      <c r="CF725" s="3"/>
      <c r="CG725" s="1366">
        <f t="shared" si="38"/>
        <v>0</v>
      </c>
      <c r="CH725" s="1368"/>
      <c r="CI725" s="1350">
        <f t="shared" si="39"/>
        <v>0</v>
      </c>
      <c r="CJ725" s="1352"/>
      <c r="CK725" s="1366">
        <f t="shared" si="17"/>
        <v>0</v>
      </c>
      <c r="CL725" s="1368"/>
      <c r="CM725" s="1350">
        <f t="shared" si="18"/>
        <v>0</v>
      </c>
      <c r="CN725" s="1352"/>
      <c r="CO725" s="3"/>
      <c r="CP725" s="1347">
        <f t="shared" si="19"/>
        <v>0</v>
      </c>
      <c r="CQ725" s="1348"/>
      <c r="CR725" s="1348"/>
      <c r="CS725" s="1348"/>
      <c r="CT725" s="1349"/>
      <c r="CU725" s="1369">
        <f t="shared" si="20"/>
        <v>0</v>
      </c>
      <c r="CV725" s="1369"/>
      <c r="CW725" s="1369"/>
      <c r="CX725" s="1369"/>
      <c r="CY725" s="1369"/>
      <c r="CZ725" s="1369">
        <f t="shared" si="21"/>
        <v>0</v>
      </c>
      <c r="DA725" s="1369"/>
      <c r="DB725" s="1369"/>
      <c r="DC725" s="1369"/>
      <c r="DD725" s="1369"/>
      <c r="DE725" s="1369">
        <f t="shared" si="22"/>
        <v>0</v>
      </c>
      <c r="DF725" s="1369"/>
      <c r="DG725" s="1369"/>
      <c r="DH725" s="1369"/>
      <c r="DI725" s="1369"/>
      <c r="DJ725" s="1369">
        <f t="shared" si="23"/>
        <v>0</v>
      </c>
      <c r="DK725" s="1369"/>
      <c r="DL725" s="1369"/>
      <c r="DM725" s="1369"/>
      <c r="DN725" s="1369"/>
      <c r="DO725" s="1369">
        <f t="shared" si="24"/>
        <v>0</v>
      </c>
      <c r="DP725" s="1369"/>
      <c r="DQ725" s="1369"/>
      <c r="DR725" s="1369"/>
      <c r="DS725" s="1369"/>
      <c r="DT725" s="6"/>
      <c r="DU725" s="1383">
        <f t="shared" si="25"/>
        <v>0</v>
      </c>
      <c r="DV725" s="1383"/>
      <c r="DW725" s="1383"/>
      <c r="DX725" s="1383"/>
      <c r="DY725" s="1383"/>
      <c r="DZ725" s="1383">
        <f t="shared" si="26"/>
        <v>0</v>
      </c>
      <c r="EA725" s="1383"/>
      <c r="EB725" s="1383"/>
      <c r="EC725" s="1383"/>
      <c r="ED725" s="1383"/>
      <c r="EE725" s="1383">
        <f t="shared" si="27"/>
        <v>0</v>
      </c>
      <c r="EF725" s="1383"/>
      <c r="EG725" s="1383"/>
      <c r="EH725" s="1383"/>
      <c r="EI725" s="1383"/>
      <c r="EJ725" s="1383">
        <f t="shared" si="28"/>
        <v>0</v>
      </c>
      <c r="EK725" s="1383"/>
      <c r="EL725" s="1383"/>
      <c r="EM725" s="1383"/>
      <c r="EN725" s="1383"/>
      <c r="EO725" s="1383">
        <f t="shared" si="29"/>
        <v>0</v>
      </c>
      <c r="EP725" s="1383"/>
      <c r="EQ725" s="1383"/>
      <c r="ER725" s="1383"/>
      <c r="ES725" s="1383"/>
      <c r="ET725" s="1383">
        <f t="shared" si="30"/>
        <v>0</v>
      </c>
      <c r="EU725" s="1383"/>
      <c r="EV725" s="1383"/>
      <c r="EW725" s="1383"/>
      <c r="EX725" s="1383"/>
      <c r="EZ725" s="1366" t="str">
        <f t="shared" si="31"/>
        <v/>
      </c>
      <c r="FA725" s="1367"/>
      <c r="FB725" s="1367"/>
      <c r="FC725" s="1367"/>
      <c r="FD725" s="1368"/>
      <c r="FE725" s="1366" t="str">
        <f t="shared" si="32"/>
        <v/>
      </c>
      <c r="FF725" s="1367"/>
      <c r="FG725" s="1367"/>
      <c r="FH725" s="1367"/>
      <c r="FI725" s="1368"/>
      <c r="FJ725" s="1366" t="str">
        <f t="shared" si="33"/>
        <v/>
      </c>
      <c r="FK725" s="1367"/>
      <c r="FL725" s="1367"/>
      <c r="FM725" s="1367"/>
      <c r="FN725" s="1368"/>
      <c r="FO725" s="1366" t="str">
        <f t="shared" si="34"/>
        <v/>
      </c>
      <c r="FP725" s="1367"/>
      <c r="FQ725" s="1367"/>
      <c r="FR725" s="1367"/>
      <c r="FS725" s="1368"/>
      <c r="FT725" s="1366" t="str">
        <f t="shared" si="35"/>
        <v/>
      </c>
      <c r="FU725" s="1367"/>
      <c r="FV725" s="1367"/>
      <c r="FW725" s="1367"/>
      <c r="FX725" s="1368"/>
      <c r="FY725" s="1366" t="str">
        <f t="shared" si="36"/>
        <v/>
      </c>
      <c r="FZ725" s="1367"/>
      <c r="GA725" s="1367"/>
      <c r="GB725" s="1367"/>
      <c r="GC725" s="1368"/>
    </row>
    <row r="726" spans="1:185" ht="12.95" customHeight="1">
      <c r="B726" s="1370"/>
      <c r="C726" s="1371"/>
      <c r="D726" s="1371"/>
      <c r="E726" s="1371"/>
      <c r="F726" s="1372"/>
      <c r="G726" s="1379"/>
      <c r="H726" s="1380"/>
      <c r="I726" s="1380"/>
      <c r="J726" s="1381"/>
      <c r="K726" s="1612"/>
      <c r="L726" s="1613"/>
      <c r="M726" s="1613"/>
      <c r="N726" s="1614"/>
      <c r="O726" s="1489"/>
      <c r="P726" s="1490"/>
      <c r="Q726" s="1490"/>
      <c r="R726" s="1490"/>
      <c r="S726" s="1491"/>
      <c r="T726" s="1489"/>
      <c r="U726" s="1490"/>
      <c r="V726" s="1490"/>
      <c r="W726" s="1491"/>
      <c r="X726" s="1373">
        <f t="shared" si="10"/>
        <v>0</v>
      </c>
      <c r="Y726" s="1374"/>
      <c r="Z726" s="1374"/>
      <c r="AA726" s="1374"/>
      <c r="AB726" s="1375"/>
      <c r="AC726" s="1616"/>
      <c r="AD726" s="1617"/>
      <c r="AE726" s="1617"/>
      <c r="AF726" s="1617"/>
      <c r="AG726" s="1618"/>
      <c r="AH726" s="1376" t="str">
        <f t="shared" si="37"/>
        <v/>
      </c>
      <c r="AI726" s="1377"/>
      <c r="AJ726" s="1378"/>
      <c r="AK726" s="1370" t="s">
        <v>591</v>
      </c>
      <c r="AL726" s="1371"/>
      <c r="AM726" s="1371"/>
      <c r="AN726" s="1371"/>
      <c r="AO726" s="1372"/>
      <c r="AP726" s="3"/>
      <c r="AQ726" s="3"/>
      <c r="AR726" s="3"/>
      <c r="AS726" s="3"/>
      <c r="AY726" s="1087"/>
      <c r="AZ726" s="118" t="str">
        <f>IF($G726=0,"N/A",VLOOKUP($T$189,TC_Rent,(MATCH($B726,bedrooms,FALSE)),FALSE))</f>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366">
        <f t="shared" si="38"/>
        <v>0</v>
      </c>
      <c r="CH726" s="1368"/>
      <c r="CI726" s="1350">
        <f t="shared" si="39"/>
        <v>0</v>
      </c>
      <c r="CJ726" s="1352"/>
      <c r="CK726" s="1366">
        <f t="shared" si="17"/>
        <v>0</v>
      </c>
      <c r="CL726" s="1368"/>
      <c r="CM726" s="1350">
        <f t="shared" si="18"/>
        <v>0</v>
      </c>
      <c r="CN726" s="1352"/>
      <c r="CO726" s="3"/>
      <c r="CP726" s="1347">
        <f t="shared" si="19"/>
        <v>0</v>
      </c>
      <c r="CQ726" s="1348"/>
      <c r="CR726" s="1348"/>
      <c r="CS726" s="1348"/>
      <c r="CT726" s="1349"/>
      <c r="CU726" s="1369">
        <f t="shared" si="20"/>
        <v>0</v>
      </c>
      <c r="CV726" s="1369"/>
      <c r="CW726" s="1369"/>
      <c r="CX726" s="1369"/>
      <c r="CY726" s="1369"/>
      <c r="CZ726" s="1369">
        <f t="shared" si="21"/>
        <v>0</v>
      </c>
      <c r="DA726" s="1369"/>
      <c r="DB726" s="1369"/>
      <c r="DC726" s="1369"/>
      <c r="DD726" s="1369"/>
      <c r="DE726" s="1369">
        <f t="shared" si="22"/>
        <v>0</v>
      </c>
      <c r="DF726" s="1369"/>
      <c r="DG726" s="1369"/>
      <c r="DH726" s="1369"/>
      <c r="DI726" s="1369"/>
      <c r="DJ726" s="1369">
        <f t="shared" si="23"/>
        <v>0</v>
      </c>
      <c r="DK726" s="1369"/>
      <c r="DL726" s="1369"/>
      <c r="DM726" s="1369"/>
      <c r="DN726" s="1369"/>
      <c r="DO726" s="1369">
        <f t="shared" si="24"/>
        <v>0</v>
      </c>
      <c r="DP726" s="1369"/>
      <c r="DQ726" s="1369"/>
      <c r="DR726" s="1369"/>
      <c r="DS726" s="1369"/>
      <c r="DT726" s="6"/>
      <c r="DU726" s="1383">
        <f t="shared" si="25"/>
        <v>0</v>
      </c>
      <c r="DV726" s="1383"/>
      <c r="DW726" s="1383"/>
      <c r="DX726" s="1383"/>
      <c r="DY726" s="1383"/>
      <c r="DZ726" s="1383">
        <f t="shared" si="26"/>
        <v>0</v>
      </c>
      <c r="EA726" s="1383"/>
      <c r="EB726" s="1383"/>
      <c r="EC726" s="1383"/>
      <c r="ED726" s="1383"/>
      <c r="EE726" s="1383">
        <f t="shared" si="27"/>
        <v>0</v>
      </c>
      <c r="EF726" s="1383"/>
      <c r="EG726" s="1383"/>
      <c r="EH726" s="1383"/>
      <c r="EI726" s="1383"/>
      <c r="EJ726" s="1383">
        <f t="shared" si="28"/>
        <v>0</v>
      </c>
      <c r="EK726" s="1383"/>
      <c r="EL726" s="1383"/>
      <c r="EM726" s="1383"/>
      <c r="EN726" s="1383"/>
      <c r="EO726" s="1383">
        <f t="shared" si="29"/>
        <v>0</v>
      </c>
      <c r="EP726" s="1383"/>
      <c r="EQ726" s="1383"/>
      <c r="ER726" s="1383"/>
      <c r="ES726" s="1383"/>
      <c r="ET726" s="1383">
        <f t="shared" si="30"/>
        <v>0</v>
      </c>
      <c r="EU726" s="1383"/>
      <c r="EV726" s="1383"/>
      <c r="EW726" s="1383"/>
      <c r="EX726" s="1383"/>
      <c r="EY726" s="4"/>
      <c r="EZ726" s="1366" t="str">
        <f t="shared" si="31"/>
        <v/>
      </c>
      <c r="FA726" s="1367"/>
      <c r="FB726" s="1367"/>
      <c r="FC726" s="1367"/>
      <c r="FD726" s="1368"/>
      <c r="FE726" s="1366" t="str">
        <f t="shared" si="32"/>
        <v/>
      </c>
      <c r="FF726" s="1367"/>
      <c r="FG726" s="1367"/>
      <c r="FH726" s="1367"/>
      <c r="FI726" s="1368"/>
      <c r="FJ726" s="1366" t="str">
        <f t="shared" si="33"/>
        <v/>
      </c>
      <c r="FK726" s="1367"/>
      <c r="FL726" s="1367"/>
      <c r="FM726" s="1367"/>
      <c r="FN726" s="1368"/>
      <c r="FO726" s="1366" t="str">
        <f t="shared" si="34"/>
        <v/>
      </c>
      <c r="FP726" s="1367"/>
      <c r="FQ726" s="1367"/>
      <c r="FR726" s="1367"/>
      <c r="FS726" s="1368"/>
      <c r="FT726" s="1366" t="str">
        <f t="shared" si="35"/>
        <v/>
      </c>
      <c r="FU726" s="1367"/>
      <c r="FV726" s="1367"/>
      <c r="FW726" s="1367"/>
      <c r="FX726" s="1368"/>
      <c r="FY726" s="1366" t="str">
        <f t="shared" si="36"/>
        <v/>
      </c>
      <c r="FZ726" s="1367"/>
      <c r="GA726" s="1367"/>
      <c r="GB726" s="1367"/>
      <c r="GC726" s="1368"/>
    </row>
    <row r="727" spans="1:185" ht="12.95" customHeight="1">
      <c r="A727" s="4"/>
      <c r="B727" s="1370"/>
      <c r="C727" s="1371"/>
      <c r="D727" s="1371"/>
      <c r="E727" s="1371"/>
      <c r="F727" s="1372"/>
      <c r="G727" s="1379"/>
      <c r="H727" s="1380"/>
      <c r="I727" s="1380"/>
      <c r="J727" s="1381"/>
      <c r="K727" s="1612"/>
      <c r="L727" s="1613"/>
      <c r="M727" s="1613"/>
      <c r="N727" s="1614"/>
      <c r="O727" s="1489"/>
      <c r="P727" s="1490"/>
      <c r="Q727" s="1490"/>
      <c r="R727" s="1490"/>
      <c r="S727" s="1491"/>
      <c r="T727" s="1489"/>
      <c r="U727" s="1490"/>
      <c r="V727" s="1490"/>
      <c r="W727" s="1491"/>
      <c r="X727" s="1373">
        <f t="shared" si="10"/>
        <v>0</v>
      </c>
      <c r="Y727" s="1374"/>
      <c r="Z727" s="1374"/>
      <c r="AA727" s="1374"/>
      <c r="AB727" s="1375"/>
      <c r="AC727" s="1616"/>
      <c r="AD727" s="1617"/>
      <c r="AE727" s="1617"/>
      <c r="AF727" s="1617"/>
      <c r="AG727" s="1618"/>
      <c r="AH727" s="1376" t="str">
        <f t="shared" si="37"/>
        <v/>
      </c>
      <c r="AI727" s="1377"/>
      <c r="AJ727" s="1378"/>
      <c r="AK727" s="1370" t="s">
        <v>591</v>
      </c>
      <c r="AL727" s="1371"/>
      <c r="AM727" s="1371"/>
      <c r="AN727" s="1371"/>
      <c r="AO727" s="1372"/>
      <c r="AP727" s="3"/>
      <c r="AQ727" s="3"/>
      <c r="AR727" s="3"/>
      <c r="AS727" s="3"/>
      <c r="AY727" s="1087"/>
      <c r="AZ727" s="118" t="str">
        <f>IF($G727=0,"N/A",VLOOKUP($T$189,TC_Rent,(MATCH($B727,bedrooms,FALSE)),FALSE))</f>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366">
        <f t="shared" si="38"/>
        <v>0</v>
      </c>
      <c r="CH727" s="1368"/>
      <c r="CI727" s="1350">
        <f t="shared" si="39"/>
        <v>0</v>
      </c>
      <c r="CJ727" s="1352"/>
      <c r="CK727" s="1366">
        <f t="shared" si="17"/>
        <v>0</v>
      </c>
      <c r="CL727" s="1368"/>
      <c r="CM727" s="1350">
        <f t="shared" si="18"/>
        <v>0</v>
      </c>
      <c r="CN727" s="1352"/>
      <c r="CO727" s="3"/>
      <c r="CP727" s="1347">
        <f t="shared" si="19"/>
        <v>0</v>
      </c>
      <c r="CQ727" s="1348"/>
      <c r="CR727" s="1348"/>
      <c r="CS727" s="1348"/>
      <c r="CT727" s="1349"/>
      <c r="CU727" s="1369">
        <f t="shared" si="20"/>
        <v>0</v>
      </c>
      <c r="CV727" s="1369"/>
      <c r="CW727" s="1369"/>
      <c r="CX727" s="1369"/>
      <c r="CY727" s="1369"/>
      <c r="CZ727" s="1369">
        <f t="shared" si="21"/>
        <v>0</v>
      </c>
      <c r="DA727" s="1369"/>
      <c r="DB727" s="1369"/>
      <c r="DC727" s="1369"/>
      <c r="DD727" s="1369"/>
      <c r="DE727" s="1369">
        <f t="shared" si="22"/>
        <v>0</v>
      </c>
      <c r="DF727" s="1369"/>
      <c r="DG727" s="1369"/>
      <c r="DH727" s="1369"/>
      <c r="DI727" s="1369"/>
      <c r="DJ727" s="1369">
        <f t="shared" si="23"/>
        <v>0</v>
      </c>
      <c r="DK727" s="1369"/>
      <c r="DL727" s="1369"/>
      <c r="DM727" s="1369"/>
      <c r="DN727" s="1369"/>
      <c r="DO727" s="1369">
        <f t="shared" si="24"/>
        <v>0</v>
      </c>
      <c r="DP727" s="1369"/>
      <c r="DQ727" s="1369"/>
      <c r="DR727" s="1369"/>
      <c r="DS727" s="1369"/>
      <c r="DT727" s="6"/>
      <c r="DU727" s="1383">
        <f t="shared" si="25"/>
        <v>0</v>
      </c>
      <c r="DV727" s="1383"/>
      <c r="DW727" s="1383"/>
      <c r="DX727" s="1383"/>
      <c r="DY727" s="1383"/>
      <c r="DZ727" s="1383">
        <f t="shared" si="26"/>
        <v>0</v>
      </c>
      <c r="EA727" s="1383"/>
      <c r="EB727" s="1383"/>
      <c r="EC727" s="1383"/>
      <c r="ED727" s="1383"/>
      <c r="EE727" s="1383">
        <f t="shared" si="27"/>
        <v>0</v>
      </c>
      <c r="EF727" s="1383"/>
      <c r="EG727" s="1383"/>
      <c r="EH727" s="1383"/>
      <c r="EI727" s="1383"/>
      <c r="EJ727" s="1383">
        <f t="shared" si="28"/>
        <v>0</v>
      </c>
      <c r="EK727" s="1383"/>
      <c r="EL727" s="1383"/>
      <c r="EM727" s="1383"/>
      <c r="EN727" s="1383"/>
      <c r="EO727" s="1383">
        <f t="shared" si="29"/>
        <v>0</v>
      </c>
      <c r="EP727" s="1383"/>
      <c r="EQ727" s="1383"/>
      <c r="ER727" s="1383"/>
      <c r="ES727" s="1383"/>
      <c r="ET727" s="1383">
        <f t="shared" si="30"/>
        <v>0</v>
      </c>
      <c r="EU727" s="1383"/>
      <c r="EV727" s="1383"/>
      <c r="EW727" s="1383"/>
      <c r="EX727" s="1383"/>
      <c r="EY727" s="4"/>
      <c r="EZ727" s="1366" t="str">
        <f t="shared" si="31"/>
        <v/>
      </c>
      <c r="FA727" s="1367"/>
      <c r="FB727" s="1367"/>
      <c r="FC727" s="1367"/>
      <c r="FD727" s="1368"/>
      <c r="FE727" s="1366" t="str">
        <f t="shared" si="32"/>
        <v/>
      </c>
      <c r="FF727" s="1367"/>
      <c r="FG727" s="1367"/>
      <c r="FH727" s="1367"/>
      <c r="FI727" s="1368"/>
      <c r="FJ727" s="1366" t="str">
        <f t="shared" si="33"/>
        <v/>
      </c>
      <c r="FK727" s="1367"/>
      <c r="FL727" s="1367"/>
      <c r="FM727" s="1367"/>
      <c r="FN727" s="1368"/>
      <c r="FO727" s="1366" t="str">
        <f t="shared" si="34"/>
        <v/>
      </c>
      <c r="FP727" s="1367"/>
      <c r="FQ727" s="1367"/>
      <c r="FR727" s="1367"/>
      <c r="FS727" s="1368"/>
      <c r="FT727" s="1366" t="str">
        <f t="shared" si="35"/>
        <v/>
      </c>
      <c r="FU727" s="1367"/>
      <c r="FV727" s="1367"/>
      <c r="FW727" s="1367"/>
      <c r="FX727" s="1368"/>
      <c r="FY727" s="1366" t="str">
        <f t="shared" si="36"/>
        <v/>
      </c>
      <c r="FZ727" s="1367"/>
      <c r="GA727" s="1367"/>
      <c r="GB727" s="1367"/>
      <c r="GC727" s="1368"/>
    </row>
    <row r="728" spans="1:185" ht="12.95" customHeight="1">
      <c r="A728" s="4"/>
      <c r="B728" s="1370"/>
      <c r="C728" s="1371"/>
      <c r="D728" s="1371"/>
      <c r="E728" s="1371"/>
      <c r="F728" s="1372"/>
      <c r="G728" s="1379"/>
      <c r="H728" s="1380"/>
      <c r="I728" s="1380"/>
      <c r="J728" s="1381"/>
      <c r="K728" s="1612"/>
      <c r="L728" s="1613"/>
      <c r="M728" s="1613"/>
      <c r="N728" s="1614"/>
      <c r="O728" s="1489"/>
      <c r="P728" s="1490"/>
      <c r="Q728" s="1490"/>
      <c r="R728" s="1490"/>
      <c r="S728" s="1491"/>
      <c r="T728" s="1489"/>
      <c r="U728" s="1490"/>
      <c r="V728" s="1490"/>
      <c r="W728" s="1491"/>
      <c r="X728" s="1373">
        <f t="shared" si="10"/>
        <v>0</v>
      </c>
      <c r="Y728" s="1374"/>
      <c r="Z728" s="1374"/>
      <c r="AA728" s="1374"/>
      <c r="AB728" s="1375"/>
      <c r="AC728" s="1616"/>
      <c r="AD728" s="1617"/>
      <c r="AE728" s="1617"/>
      <c r="AF728" s="1617"/>
      <c r="AG728" s="1618"/>
      <c r="AH728" s="1376" t="str">
        <f t="shared" si="37"/>
        <v/>
      </c>
      <c r="AI728" s="1377"/>
      <c r="AJ728" s="1378"/>
      <c r="AK728" s="1370" t="s">
        <v>591</v>
      </c>
      <c r="AL728" s="1371"/>
      <c r="AM728" s="1371"/>
      <c r="AN728" s="1371"/>
      <c r="AO728" s="1372"/>
      <c r="AP728" s="3"/>
      <c r="AQ728" s="3"/>
      <c r="AR728" s="3"/>
      <c r="AS728" s="3"/>
      <c r="AY728" s="1087"/>
      <c r="AZ728" s="118" t="str">
        <f>IF($G728=0,"N/A",VLOOKUP($T$189,TC_Rent,(MATCH($B728,bedrooms,FALSE)),FALSE))</f>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366">
        <f t="shared" si="38"/>
        <v>0</v>
      </c>
      <c r="CH728" s="1368"/>
      <c r="CI728" s="1350">
        <f t="shared" si="39"/>
        <v>0</v>
      </c>
      <c r="CJ728" s="1352"/>
      <c r="CK728" s="1366">
        <f t="shared" si="17"/>
        <v>0</v>
      </c>
      <c r="CL728" s="1368"/>
      <c r="CM728" s="1350">
        <f t="shared" si="18"/>
        <v>0</v>
      </c>
      <c r="CN728" s="1352"/>
      <c r="CO728" s="3"/>
      <c r="CP728" s="1347">
        <f t="shared" si="19"/>
        <v>0</v>
      </c>
      <c r="CQ728" s="1348"/>
      <c r="CR728" s="1348"/>
      <c r="CS728" s="1348"/>
      <c r="CT728" s="1349"/>
      <c r="CU728" s="1369">
        <f t="shared" si="20"/>
        <v>0</v>
      </c>
      <c r="CV728" s="1369"/>
      <c r="CW728" s="1369"/>
      <c r="CX728" s="1369"/>
      <c r="CY728" s="1369"/>
      <c r="CZ728" s="1369">
        <f t="shared" si="21"/>
        <v>0</v>
      </c>
      <c r="DA728" s="1369"/>
      <c r="DB728" s="1369"/>
      <c r="DC728" s="1369"/>
      <c r="DD728" s="1369"/>
      <c r="DE728" s="1369">
        <f t="shared" si="22"/>
        <v>0</v>
      </c>
      <c r="DF728" s="1369"/>
      <c r="DG728" s="1369"/>
      <c r="DH728" s="1369"/>
      <c r="DI728" s="1369"/>
      <c r="DJ728" s="1369">
        <f t="shared" si="23"/>
        <v>0</v>
      </c>
      <c r="DK728" s="1369"/>
      <c r="DL728" s="1369"/>
      <c r="DM728" s="1369"/>
      <c r="DN728" s="1369"/>
      <c r="DO728" s="1369">
        <f t="shared" si="24"/>
        <v>0</v>
      </c>
      <c r="DP728" s="1369"/>
      <c r="DQ728" s="1369"/>
      <c r="DR728" s="1369"/>
      <c r="DS728" s="1369"/>
      <c r="DT728" s="6"/>
      <c r="DU728" s="1383">
        <f t="shared" si="25"/>
        <v>0</v>
      </c>
      <c r="DV728" s="1383"/>
      <c r="DW728" s="1383"/>
      <c r="DX728" s="1383"/>
      <c r="DY728" s="1383"/>
      <c r="DZ728" s="1383">
        <f t="shared" si="26"/>
        <v>0</v>
      </c>
      <c r="EA728" s="1383"/>
      <c r="EB728" s="1383"/>
      <c r="EC728" s="1383"/>
      <c r="ED728" s="1383"/>
      <c r="EE728" s="1383">
        <f t="shared" si="27"/>
        <v>0</v>
      </c>
      <c r="EF728" s="1383"/>
      <c r="EG728" s="1383"/>
      <c r="EH728" s="1383"/>
      <c r="EI728" s="1383"/>
      <c r="EJ728" s="1383">
        <f t="shared" si="28"/>
        <v>0</v>
      </c>
      <c r="EK728" s="1383"/>
      <c r="EL728" s="1383"/>
      <c r="EM728" s="1383"/>
      <c r="EN728" s="1383"/>
      <c r="EO728" s="1383">
        <f t="shared" si="29"/>
        <v>0</v>
      </c>
      <c r="EP728" s="1383"/>
      <c r="EQ728" s="1383"/>
      <c r="ER728" s="1383"/>
      <c r="ES728" s="1383"/>
      <c r="ET728" s="1383">
        <f t="shared" si="30"/>
        <v>0</v>
      </c>
      <c r="EU728" s="1383"/>
      <c r="EV728" s="1383"/>
      <c r="EW728" s="1383"/>
      <c r="EX728" s="1383"/>
      <c r="EY728" s="4"/>
      <c r="EZ728" s="1366" t="str">
        <f t="shared" si="31"/>
        <v/>
      </c>
      <c r="FA728" s="1367"/>
      <c r="FB728" s="1367"/>
      <c r="FC728" s="1367"/>
      <c r="FD728" s="1368"/>
      <c r="FE728" s="1366" t="str">
        <f t="shared" si="32"/>
        <v/>
      </c>
      <c r="FF728" s="1367"/>
      <c r="FG728" s="1367"/>
      <c r="FH728" s="1367"/>
      <c r="FI728" s="1368"/>
      <c r="FJ728" s="1366" t="str">
        <f t="shared" si="33"/>
        <v/>
      </c>
      <c r="FK728" s="1367"/>
      <c r="FL728" s="1367"/>
      <c r="FM728" s="1367"/>
      <c r="FN728" s="1368"/>
      <c r="FO728" s="1366" t="str">
        <f t="shared" si="34"/>
        <v/>
      </c>
      <c r="FP728" s="1367"/>
      <c r="FQ728" s="1367"/>
      <c r="FR728" s="1367"/>
      <c r="FS728" s="1368"/>
      <c r="FT728" s="1366" t="str">
        <f t="shared" si="35"/>
        <v/>
      </c>
      <c r="FU728" s="1367"/>
      <c r="FV728" s="1367"/>
      <c r="FW728" s="1367"/>
      <c r="FX728" s="1368"/>
      <c r="FY728" s="1366" t="str">
        <f t="shared" si="36"/>
        <v/>
      </c>
      <c r="FZ728" s="1367"/>
      <c r="GA728" s="1367"/>
      <c r="GB728" s="1367"/>
      <c r="GC728" s="1368"/>
    </row>
    <row r="729" spans="1:185" ht="12.95" customHeight="1">
      <c r="A729" s="4"/>
      <c r="B729" s="1370"/>
      <c r="C729" s="1371"/>
      <c r="D729" s="1371"/>
      <c r="E729" s="1371"/>
      <c r="F729" s="1372"/>
      <c r="G729" s="1379"/>
      <c r="H729" s="1380"/>
      <c r="I729" s="1380"/>
      <c r="J729" s="1381"/>
      <c r="K729" s="1612"/>
      <c r="L729" s="1613"/>
      <c r="M729" s="1613"/>
      <c r="N729" s="1614"/>
      <c r="O729" s="1489"/>
      <c r="P729" s="1490"/>
      <c r="Q729" s="1490"/>
      <c r="R729" s="1490"/>
      <c r="S729" s="1491"/>
      <c r="T729" s="1489"/>
      <c r="U729" s="1490"/>
      <c r="V729" s="1490"/>
      <c r="W729" s="1491"/>
      <c r="X729" s="1373">
        <f t="shared" si="10"/>
        <v>0</v>
      </c>
      <c r="Y729" s="1374"/>
      <c r="Z729" s="1374"/>
      <c r="AA729" s="1374"/>
      <c r="AB729" s="1375"/>
      <c r="AC729" s="1616"/>
      <c r="AD729" s="1617"/>
      <c r="AE729" s="1617"/>
      <c r="AF729" s="1617"/>
      <c r="AG729" s="1618"/>
      <c r="AH729" s="1376" t="str">
        <f t="shared" si="37"/>
        <v/>
      </c>
      <c r="AI729" s="1377"/>
      <c r="AJ729" s="1378"/>
      <c r="AK729" s="1370" t="s">
        <v>591</v>
      </c>
      <c r="AL729" s="1371"/>
      <c r="AM729" s="1371"/>
      <c r="AN729" s="1371"/>
      <c r="AO729" s="1372"/>
      <c r="AP729" s="3"/>
      <c r="AQ729" s="3"/>
      <c r="AR729" s="3"/>
      <c r="AS729" s="3"/>
      <c r="AY729" s="1087"/>
      <c r="AZ729" s="118" t="str">
        <f>IF($G729=0,"N/A",VLOOKUP($T$189,TC_Rent,(MATCH($B729,bedrooms,FALSE)),FALSE))</f>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366">
        <f t="shared" si="38"/>
        <v>0</v>
      </c>
      <c r="CH729" s="1368"/>
      <c r="CI729" s="1350">
        <f t="shared" si="39"/>
        <v>0</v>
      </c>
      <c r="CJ729" s="1352"/>
      <c r="CK729" s="1366">
        <f t="shared" si="17"/>
        <v>0</v>
      </c>
      <c r="CL729" s="1368"/>
      <c r="CM729" s="1350">
        <f t="shared" si="18"/>
        <v>0</v>
      </c>
      <c r="CN729" s="1352"/>
      <c r="CO729" s="3"/>
      <c r="CP729" s="1347">
        <f t="shared" si="19"/>
        <v>0</v>
      </c>
      <c r="CQ729" s="1348"/>
      <c r="CR729" s="1348"/>
      <c r="CS729" s="1348"/>
      <c r="CT729" s="1349"/>
      <c r="CU729" s="1369">
        <f t="shared" si="20"/>
        <v>0</v>
      </c>
      <c r="CV729" s="1369"/>
      <c r="CW729" s="1369"/>
      <c r="CX729" s="1369"/>
      <c r="CY729" s="1369"/>
      <c r="CZ729" s="1369">
        <f t="shared" si="21"/>
        <v>0</v>
      </c>
      <c r="DA729" s="1369"/>
      <c r="DB729" s="1369"/>
      <c r="DC729" s="1369"/>
      <c r="DD729" s="1369"/>
      <c r="DE729" s="1369">
        <f t="shared" si="22"/>
        <v>0</v>
      </c>
      <c r="DF729" s="1369"/>
      <c r="DG729" s="1369"/>
      <c r="DH729" s="1369"/>
      <c r="DI729" s="1369"/>
      <c r="DJ729" s="1369">
        <f t="shared" si="23"/>
        <v>0</v>
      </c>
      <c r="DK729" s="1369"/>
      <c r="DL729" s="1369"/>
      <c r="DM729" s="1369"/>
      <c r="DN729" s="1369"/>
      <c r="DO729" s="1369">
        <f t="shared" si="24"/>
        <v>0</v>
      </c>
      <c r="DP729" s="1369"/>
      <c r="DQ729" s="1369"/>
      <c r="DR729" s="1369"/>
      <c r="DS729" s="1369"/>
      <c r="DT729" s="6"/>
      <c r="DU729" s="1383">
        <f t="shared" si="25"/>
        <v>0</v>
      </c>
      <c r="DV729" s="1383"/>
      <c r="DW729" s="1383"/>
      <c r="DX729" s="1383"/>
      <c r="DY729" s="1383"/>
      <c r="DZ729" s="1383">
        <f t="shared" si="26"/>
        <v>0</v>
      </c>
      <c r="EA729" s="1383"/>
      <c r="EB729" s="1383"/>
      <c r="EC729" s="1383"/>
      <c r="ED729" s="1383"/>
      <c r="EE729" s="1383">
        <f t="shared" si="27"/>
        <v>0</v>
      </c>
      <c r="EF729" s="1383"/>
      <c r="EG729" s="1383"/>
      <c r="EH729" s="1383"/>
      <c r="EI729" s="1383"/>
      <c r="EJ729" s="1383">
        <f t="shared" si="28"/>
        <v>0</v>
      </c>
      <c r="EK729" s="1383"/>
      <c r="EL729" s="1383"/>
      <c r="EM729" s="1383"/>
      <c r="EN729" s="1383"/>
      <c r="EO729" s="1383">
        <f t="shared" si="29"/>
        <v>0</v>
      </c>
      <c r="EP729" s="1383"/>
      <c r="EQ729" s="1383"/>
      <c r="ER729" s="1383"/>
      <c r="ES729" s="1383"/>
      <c r="ET729" s="1383">
        <f t="shared" si="30"/>
        <v>0</v>
      </c>
      <c r="EU729" s="1383"/>
      <c r="EV729" s="1383"/>
      <c r="EW729" s="1383"/>
      <c r="EX729" s="1383"/>
      <c r="EZ729" s="1366" t="str">
        <f t="shared" si="31"/>
        <v/>
      </c>
      <c r="FA729" s="1367"/>
      <c r="FB729" s="1367"/>
      <c r="FC729" s="1367"/>
      <c r="FD729" s="1368"/>
      <c r="FE729" s="1366" t="str">
        <f t="shared" si="32"/>
        <v/>
      </c>
      <c r="FF729" s="1367"/>
      <c r="FG729" s="1367"/>
      <c r="FH729" s="1367"/>
      <c r="FI729" s="1368"/>
      <c r="FJ729" s="1366" t="str">
        <f t="shared" si="33"/>
        <v/>
      </c>
      <c r="FK729" s="1367"/>
      <c r="FL729" s="1367"/>
      <c r="FM729" s="1367"/>
      <c r="FN729" s="1368"/>
      <c r="FO729" s="1366" t="str">
        <f t="shared" si="34"/>
        <v/>
      </c>
      <c r="FP729" s="1367"/>
      <c r="FQ729" s="1367"/>
      <c r="FR729" s="1367"/>
      <c r="FS729" s="1368"/>
      <c r="FT729" s="1366" t="str">
        <f t="shared" si="35"/>
        <v/>
      </c>
      <c r="FU729" s="1367"/>
      <c r="FV729" s="1367"/>
      <c r="FW729" s="1367"/>
      <c r="FX729" s="1368"/>
      <c r="FY729" s="1366" t="str">
        <f t="shared" si="36"/>
        <v/>
      </c>
      <c r="FZ729" s="1367"/>
      <c r="GA729" s="1367"/>
      <c r="GB729" s="1367"/>
      <c r="GC729" s="1368"/>
    </row>
    <row r="730" spans="1:185" ht="12.95" customHeight="1">
      <c r="B730" s="1370"/>
      <c r="C730" s="1371"/>
      <c r="D730" s="1371"/>
      <c r="E730" s="1371"/>
      <c r="F730" s="1372"/>
      <c r="G730" s="1379"/>
      <c r="H730" s="1380"/>
      <c r="I730" s="1380"/>
      <c r="J730" s="1381"/>
      <c r="K730" s="1612"/>
      <c r="L730" s="1613"/>
      <c r="M730" s="1613"/>
      <c r="N730" s="1614"/>
      <c r="O730" s="1489"/>
      <c r="P730" s="1490"/>
      <c r="Q730" s="1490"/>
      <c r="R730" s="1490"/>
      <c r="S730" s="1491"/>
      <c r="T730" s="1489"/>
      <c r="U730" s="1490"/>
      <c r="V730" s="1490"/>
      <c r="W730" s="1491"/>
      <c r="X730" s="1373">
        <f t="shared" si="10"/>
        <v>0</v>
      </c>
      <c r="Y730" s="1374"/>
      <c r="Z730" s="1374"/>
      <c r="AA730" s="1374"/>
      <c r="AB730" s="1375"/>
      <c r="AC730" s="1616"/>
      <c r="AD730" s="1617"/>
      <c r="AE730" s="1617"/>
      <c r="AF730" s="1617"/>
      <c r="AG730" s="1618"/>
      <c r="AH730" s="1376" t="str">
        <f t="shared" si="37"/>
        <v/>
      </c>
      <c r="AI730" s="1377"/>
      <c r="AJ730" s="1378"/>
      <c r="AK730" s="1370" t="s">
        <v>591</v>
      </c>
      <c r="AL730" s="1371"/>
      <c r="AM730" s="1371"/>
      <c r="AN730" s="1371"/>
      <c r="AO730" s="1372"/>
      <c r="AP730" s="3"/>
      <c r="AQ730" s="3"/>
      <c r="AR730" s="3"/>
      <c r="AS730" s="3"/>
      <c r="AY730" s="1087"/>
      <c r="AZ730" s="118" t="str">
        <f>IF($G730=0,"N/A",VLOOKUP($T$189,TC_Rent,(MATCH($B730,bedrooms,FALSE)),FALSE))</f>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366">
        <f t="shared" si="38"/>
        <v>0</v>
      </c>
      <c r="CH730" s="1368"/>
      <c r="CI730" s="1350">
        <f t="shared" si="39"/>
        <v>0</v>
      </c>
      <c r="CJ730" s="1352"/>
      <c r="CK730" s="1366">
        <f t="shared" si="17"/>
        <v>0</v>
      </c>
      <c r="CL730" s="1368"/>
      <c r="CM730" s="1350">
        <f t="shared" si="18"/>
        <v>0</v>
      </c>
      <c r="CN730" s="1352"/>
      <c r="CO730" s="3"/>
      <c r="CP730" s="1347">
        <f t="shared" si="19"/>
        <v>0</v>
      </c>
      <c r="CQ730" s="1348"/>
      <c r="CR730" s="1348"/>
      <c r="CS730" s="1348"/>
      <c r="CT730" s="1349"/>
      <c r="CU730" s="1369">
        <f t="shared" si="20"/>
        <v>0</v>
      </c>
      <c r="CV730" s="1369"/>
      <c r="CW730" s="1369"/>
      <c r="CX730" s="1369"/>
      <c r="CY730" s="1369"/>
      <c r="CZ730" s="1369">
        <f t="shared" si="21"/>
        <v>0</v>
      </c>
      <c r="DA730" s="1369"/>
      <c r="DB730" s="1369"/>
      <c r="DC730" s="1369"/>
      <c r="DD730" s="1369"/>
      <c r="DE730" s="1369">
        <f t="shared" si="22"/>
        <v>0</v>
      </c>
      <c r="DF730" s="1369"/>
      <c r="DG730" s="1369"/>
      <c r="DH730" s="1369"/>
      <c r="DI730" s="1369"/>
      <c r="DJ730" s="1369">
        <f t="shared" si="23"/>
        <v>0</v>
      </c>
      <c r="DK730" s="1369"/>
      <c r="DL730" s="1369"/>
      <c r="DM730" s="1369"/>
      <c r="DN730" s="1369"/>
      <c r="DO730" s="1369">
        <f t="shared" si="24"/>
        <v>0</v>
      </c>
      <c r="DP730" s="1369"/>
      <c r="DQ730" s="1369"/>
      <c r="DR730" s="1369"/>
      <c r="DS730" s="1369"/>
      <c r="DT730" s="6"/>
      <c r="DU730" s="1383">
        <f t="shared" si="25"/>
        <v>0</v>
      </c>
      <c r="DV730" s="1383"/>
      <c r="DW730" s="1383"/>
      <c r="DX730" s="1383"/>
      <c r="DY730" s="1383"/>
      <c r="DZ730" s="1383">
        <f t="shared" si="26"/>
        <v>0</v>
      </c>
      <c r="EA730" s="1383"/>
      <c r="EB730" s="1383"/>
      <c r="EC730" s="1383"/>
      <c r="ED730" s="1383"/>
      <c r="EE730" s="1383">
        <f t="shared" si="27"/>
        <v>0</v>
      </c>
      <c r="EF730" s="1383"/>
      <c r="EG730" s="1383"/>
      <c r="EH730" s="1383"/>
      <c r="EI730" s="1383"/>
      <c r="EJ730" s="1383">
        <f t="shared" si="28"/>
        <v>0</v>
      </c>
      <c r="EK730" s="1383"/>
      <c r="EL730" s="1383"/>
      <c r="EM730" s="1383"/>
      <c r="EN730" s="1383"/>
      <c r="EO730" s="1383">
        <f t="shared" si="29"/>
        <v>0</v>
      </c>
      <c r="EP730" s="1383"/>
      <c r="EQ730" s="1383"/>
      <c r="ER730" s="1383"/>
      <c r="ES730" s="1383"/>
      <c r="ET730" s="1383">
        <f t="shared" si="30"/>
        <v>0</v>
      </c>
      <c r="EU730" s="1383"/>
      <c r="EV730" s="1383"/>
      <c r="EW730" s="1383"/>
      <c r="EX730" s="1383"/>
      <c r="EZ730" s="1366" t="str">
        <f t="shared" si="31"/>
        <v/>
      </c>
      <c r="FA730" s="1367"/>
      <c r="FB730" s="1367"/>
      <c r="FC730" s="1367"/>
      <c r="FD730" s="1368"/>
      <c r="FE730" s="1366" t="str">
        <f t="shared" si="32"/>
        <v/>
      </c>
      <c r="FF730" s="1367"/>
      <c r="FG730" s="1367"/>
      <c r="FH730" s="1367"/>
      <c r="FI730" s="1368"/>
      <c r="FJ730" s="1366" t="str">
        <f t="shared" si="33"/>
        <v/>
      </c>
      <c r="FK730" s="1367"/>
      <c r="FL730" s="1367"/>
      <c r="FM730" s="1367"/>
      <c r="FN730" s="1368"/>
      <c r="FO730" s="1366" t="str">
        <f t="shared" si="34"/>
        <v/>
      </c>
      <c r="FP730" s="1367"/>
      <c r="FQ730" s="1367"/>
      <c r="FR730" s="1367"/>
      <c r="FS730" s="1368"/>
      <c r="FT730" s="1366" t="str">
        <f t="shared" si="35"/>
        <v/>
      </c>
      <c r="FU730" s="1367"/>
      <c r="FV730" s="1367"/>
      <c r="FW730" s="1367"/>
      <c r="FX730" s="1368"/>
      <c r="FY730" s="1366" t="str">
        <f t="shared" si="36"/>
        <v/>
      </c>
      <c r="FZ730" s="1367"/>
      <c r="GA730" s="1367"/>
      <c r="GB730" s="1367"/>
      <c r="GC730" s="1368"/>
    </row>
    <row r="731" spans="1:185" ht="12.95" customHeight="1">
      <c r="B731" s="1370"/>
      <c r="C731" s="1371"/>
      <c r="D731" s="1371"/>
      <c r="E731" s="1371"/>
      <c r="F731" s="1372"/>
      <c r="G731" s="1379"/>
      <c r="H731" s="1380"/>
      <c r="I731" s="1380"/>
      <c r="J731" s="1381"/>
      <c r="K731" s="1612"/>
      <c r="L731" s="1613"/>
      <c r="M731" s="1613"/>
      <c r="N731" s="1614"/>
      <c r="O731" s="1489"/>
      <c r="P731" s="1490"/>
      <c r="Q731" s="1490"/>
      <c r="R731" s="1490"/>
      <c r="S731" s="1491"/>
      <c r="T731" s="1489"/>
      <c r="U731" s="1490"/>
      <c r="V731" s="1490"/>
      <c r="W731" s="1491"/>
      <c r="X731" s="1373">
        <f t="shared" si="10"/>
        <v>0</v>
      </c>
      <c r="Y731" s="1374"/>
      <c r="Z731" s="1374"/>
      <c r="AA731" s="1374"/>
      <c r="AB731" s="1375"/>
      <c r="AC731" s="1616"/>
      <c r="AD731" s="1617"/>
      <c r="AE731" s="1617"/>
      <c r="AF731" s="1617"/>
      <c r="AG731" s="1618"/>
      <c r="AH731" s="1376" t="str">
        <f t="shared" si="37"/>
        <v/>
      </c>
      <c r="AI731" s="1377"/>
      <c r="AJ731" s="1378"/>
      <c r="AK731" s="1370" t="s">
        <v>591</v>
      </c>
      <c r="AL731" s="1371"/>
      <c r="AM731" s="1371"/>
      <c r="AN731" s="1371"/>
      <c r="AO731" s="1372"/>
      <c r="AP731" s="3"/>
      <c r="AQ731" s="3"/>
      <c r="AR731" s="3"/>
      <c r="AS731" s="3"/>
      <c r="AY731" s="1087"/>
      <c r="AZ731" s="118" t="str">
        <f>IF($G731=0,"N/A",VLOOKUP($T$189,TC_Rent,(MATCH($B731,bedrooms,FALSE)),FALSE))</f>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366">
        <f t="shared" si="38"/>
        <v>0</v>
      </c>
      <c r="CH731" s="1368"/>
      <c r="CI731" s="1350">
        <f t="shared" si="39"/>
        <v>0</v>
      </c>
      <c r="CJ731" s="1352"/>
      <c r="CK731" s="1366">
        <f t="shared" si="17"/>
        <v>0</v>
      </c>
      <c r="CL731" s="1368"/>
      <c r="CM731" s="1350">
        <f t="shared" si="18"/>
        <v>0</v>
      </c>
      <c r="CN731" s="1352"/>
      <c r="CO731" s="3"/>
      <c r="CP731" s="1347">
        <f t="shared" si="19"/>
        <v>0</v>
      </c>
      <c r="CQ731" s="1348"/>
      <c r="CR731" s="1348"/>
      <c r="CS731" s="1348"/>
      <c r="CT731" s="1349"/>
      <c r="CU731" s="1369">
        <f t="shared" si="20"/>
        <v>0</v>
      </c>
      <c r="CV731" s="1369"/>
      <c r="CW731" s="1369"/>
      <c r="CX731" s="1369"/>
      <c r="CY731" s="1369"/>
      <c r="CZ731" s="1369">
        <f t="shared" si="21"/>
        <v>0</v>
      </c>
      <c r="DA731" s="1369"/>
      <c r="DB731" s="1369"/>
      <c r="DC731" s="1369"/>
      <c r="DD731" s="1369"/>
      <c r="DE731" s="1369">
        <f t="shared" si="22"/>
        <v>0</v>
      </c>
      <c r="DF731" s="1369"/>
      <c r="DG731" s="1369"/>
      <c r="DH731" s="1369"/>
      <c r="DI731" s="1369"/>
      <c r="DJ731" s="1369">
        <f t="shared" si="23"/>
        <v>0</v>
      </c>
      <c r="DK731" s="1369"/>
      <c r="DL731" s="1369"/>
      <c r="DM731" s="1369"/>
      <c r="DN731" s="1369"/>
      <c r="DO731" s="1369">
        <f t="shared" si="24"/>
        <v>0</v>
      </c>
      <c r="DP731" s="1369"/>
      <c r="DQ731" s="1369"/>
      <c r="DR731" s="1369"/>
      <c r="DS731" s="1369"/>
      <c r="DT731" s="6"/>
      <c r="DU731" s="1383">
        <f t="shared" si="25"/>
        <v>0</v>
      </c>
      <c r="DV731" s="1383"/>
      <c r="DW731" s="1383"/>
      <c r="DX731" s="1383"/>
      <c r="DY731" s="1383"/>
      <c r="DZ731" s="1383">
        <f t="shared" si="26"/>
        <v>0</v>
      </c>
      <c r="EA731" s="1383"/>
      <c r="EB731" s="1383"/>
      <c r="EC731" s="1383"/>
      <c r="ED731" s="1383"/>
      <c r="EE731" s="1383">
        <f t="shared" si="27"/>
        <v>0</v>
      </c>
      <c r="EF731" s="1383"/>
      <c r="EG731" s="1383"/>
      <c r="EH731" s="1383"/>
      <c r="EI731" s="1383"/>
      <c r="EJ731" s="1383">
        <f t="shared" si="28"/>
        <v>0</v>
      </c>
      <c r="EK731" s="1383"/>
      <c r="EL731" s="1383"/>
      <c r="EM731" s="1383"/>
      <c r="EN731" s="1383"/>
      <c r="EO731" s="1383">
        <f t="shared" si="29"/>
        <v>0</v>
      </c>
      <c r="EP731" s="1383"/>
      <c r="EQ731" s="1383"/>
      <c r="ER731" s="1383"/>
      <c r="ES731" s="1383"/>
      <c r="ET731" s="1383">
        <f t="shared" si="30"/>
        <v>0</v>
      </c>
      <c r="EU731" s="1383"/>
      <c r="EV731" s="1383"/>
      <c r="EW731" s="1383"/>
      <c r="EX731" s="1383"/>
      <c r="EZ731" s="1366" t="str">
        <f t="shared" si="31"/>
        <v/>
      </c>
      <c r="FA731" s="1367"/>
      <c r="FB731" s="1367"/>
      <c r="FC731" s="1367"/>
      <c r="FD731" s="1368"/>
      <c r="FE731" s="1366" t="str">
        <f t="shared" si="32"/>
        <v/>
      </c>
      <c r="FF731" s="1367"/>
      <c r="FG731" s="1367"/>
      <c r="FH731" s="1367"/>
      <c r="FI731" s="1368"/>
      <c r="FJ731" s="1366" t="str">
        <f t="shared" si="33"/>
        <v/>
      </c>
      <c r="FK731" s="1367"/>
      <c r="FL731" s="1367"/>
      <c r="FM731" s="1367"/>
      <c r="FN731" s="1368"/>
      <c r="FO731" s="1366" t="str">
        <f t="shared" si="34"/>
        <v/>
      </c>
      <c r="FP731" s="1367"/>
      <c r="FQ731" s="1367"/>
      <c r="FR731" s="1367"/>
      <c r="FS731" s="1368"/>
      <c r="FT731" s="1366" t="str">
        <f t="shared" si="35"/>
        <v/>
      </c>
      <c r="FU731" s="1367"/>
      <c r="FV731" s="1367"/>
      <c r="FW731" s="1367"/>
      <c r="FX731" s="1368"/>
      <c r="FY731" s="1366" t="str">
        <f t="shared" si="36"/>
        <v/>
      </c>
      <c r="FZ731" s="1367"/>
      <c r="GA731" s="1367"/>
      <c r="GB731" s="1367"/>
      <c r="GC731" s="1368"/>
    </row>
    <row r="732" spans="1:185" ht="12.95" customHeight="1">
      <c r="B732" s="1370"/>
      <c r="C732" s="1371"/>
      <c r="D732" s="1371"/>
      <c r="E732" s="1371"/>
      <c r="F732" s="1372"/>
      <c r="G732" s="1379"/>
      <c r="H732" s="1380"/>
      <c r="I732" s="1380"/>
      <c r="J732" s="1381"/>
      <c r="K732" s="1612"/>
      <c r="L732" s="1613"/>
      <c r="M732" s="1613"/>
      <c r="N732" s="1614"/>
      <c r="O732" s="1489"/>
      <c r="P732" s="1490"/>
      <c r="Q732" s="1490"/>
      <c r="R732" s="1490"/>
      <c r="S732" s="1491"/>
      <c r="T732" s="1489"/>
      <c r="U732" s="1490"/>
      <c r="V732" s="1490"/>
      <c r="W732" s="1491"/>
      <c r="X732" s="1373">
        <f t="shared" si="10"/>
        <v>0</v>
      </c>
      <c r="Y732" s="1374"/>
      <c r="Z732" s="1374"/>
      <c r="AA732" s="1374"/>
      <c r="AB732" s="1375"/>
      <c r="AC732" s="1616"/>
      <c r="AD732" s="1617"/>
      <c r="AE732" s="1617"/>
      <c r="AF732" s="1617"/>
      <c r="AG732" s="1618"/>
      <c r="AH732" s="1376" t="str">
        <f t="shared" si="37"/>
        <v/>
      </c>
      <c r="AI732" s="1377"/>
      <c r="AJ732" s="1378"/>
      <c r="AK732" s="1370" t="s">
        <v>591</v>
      </c>
      <c r="AL732" s="1371"/>
      <c r="AM732" s="1371"/>
      <c r="AN732" s="1371"/>
      <c r="AO732" s="1372"/>
      <c r="AP732" s="3"/>
      <c r="AQ732" s="3"/>
      <c r="AR732" s="3"/>
      <c r="AS732" s="3"/>
      <c r="AY732" s="1087"/>
      <c r="AZ732" s="118" t="str">
        <f>IF($G732=0,"N/A",VLOOKUP($T$189,TC_Rent,(MATCH($B732,bedrooms,FALSE)),FALSE))</f>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366">
        <f t="shared" si="38"/>
        <v>0</v>
      </c>
      <c r="CH732" s="1368"/>
      <c r="CI732" s="1350">
        <f t="shared" si="39"/>
        <v>0</v>
      </c>
      <c r="CJ732" s="1352"/>
      <c r="CK732" s="1366">
        <f t="shared" si="17"/>
        <v>0</v>
      </c>
      <c r="CL732" s="1368"/>
      <c r="CM732" s="1350">
        <f t="shared" si="18"/>
        <v>0</v>
      </c>
      <c r="CN732" s="1352"/>
      <c r="CO732" s="3"/>
      <c r="CP732" s="1347">
        <f t="shared" si="19"/>
        <v>0</v>
      </c>
      <c r="CQ732" s="1348"/>
      <c r="CR732" s="1348"/>
      <c r="CS732" s="1348"/>
      <c r="CT732" s="1349"/>
      <c r="CU732" s="1369">
        <f t="shared" si="20"/>
        <v>0</v>
      </c>
      <c r="CV732" s="1369"/>
      <c r="CW732" s="1369"/>
      <c r="CX732" s="1369"/>
      <c r="CY732" s="1369"/>
      <c r="CZ732" s="1369">
        <f t="shared" si="21"/>
        <v>0</v>
      </c>
      <c r="DA732" s="1369"/>
      <c r="DB732" s="1369"/>
      <c r="DC732" s="1369"/>
      <c r="DD732" s="1369"/>
      <c r="DE732" s="1369">
        <f t="shared" si="22"/>
        <v>0</v>
      </c>
      <c r="DF732" s="1369"/>
      <c r="DG732" s="1369"/>
      <c r="DH732" s="1369"/>
      <c r="DI732" s="1369"/>
      <c r="DJ732" s="1369">
        <f t="shared" si="23"/>
        <v>0</v>
      </c>
      <c r="DK732" s="1369"/>
      <c r="DL732" s="1369"/>
      <c r="DM732" s="1369"/>
      <c r="DN732" s="1369"/>
      <c r="DO732" s="1369">
        <f t="shared" si="24"/>
        <v>0</v>
      </c>
      <c r="DP732" s="1369"/>
      <c r="DQ732" s="1369"/>
      <c r="DR732" s="1369"/>
      <c r="DS732" s="1369"/>
      <c r="DT732" s="6"/>
      <c r="DU732" s="1383">
        <f t="shared" si="25"/>
        <v>0</v>
      </c>
      <c r="DV732" s="1383"/>
      <c r="DW732" s="1383"/>
      <c r="DX732" s="1383"/>
      <c r="DY732" s="1383"/>
      <c r="DZ732" s="1383">
        <f t="shared" si="26"/>
        <v>0</v>
      </c>
      <c r="EA732" s="1383"/>
      <c r="EB732" s="1383"/>
      <c r="EC732" s="1383"/>
      <c r="ED732" s="1383"/>
      <c r="EE732" s="1383">
        <f t="shared" si="27"/>
        <v>0</v>
      </c>
      <c r="EF732" s="1383"/>
      <c r="EG732" s="1383"/>
      <c r="EH732" s="1383"/>
      <c r="EI732" s="1383"/>
      <c r="EJ732" s="1383">
        <f t="shared" si="28"/>
        <v>0</v>
      </c>
      <c r="EK732" s="1383"/>
      <c r="EL732" s="1383"/>
      <c r="EM732" s="1383"/>
      <c r="EN732" s="1383"/>
      <c r="EO732" s="1383">
        <f t="shared" si="29"/>
        <v>0</v>
      </c>
      <c r="EP732" s="1383"/>
      <c r="EQ732" s="1383"/>
      <c r="ER732" s="1383"/>
      <c r="ES732" s="1383"/>
      <c r="ET732" s="1383">
        <f t="shared" si="30"/>
        <v>0</v>
      </c>
      <c r="EU732" s="1383"/>
      <c r="EV732" s="1383"/>
      <c r="EW732" s="1383"/>
      <c r="EX732" s="1383"/>
      <c r="EZ732" s="1366" t="str">
        <f t="shared" si="31"/>
        <v/>
      </c>
      <c r="FA732" s="1367"/>
      <c r="FB732" s="1367"/>
      <c r="FC732" s="1367"/>
      <c r="FD732" s="1368"/>
      <c r="FE732" s="1366" t="str">
        <f t="shared" si="32"/>
        <v/>
      </c>
      <c r="FF732" s="1367"/>
      <c r="FG732" s="1367"/>
      <c r="FH732" s="1367"/>
      <c r="FI732" s="1368"/>
      <c r="FJ732" s="1366" t="str">
        <f t="shared" si="33"/>
        <v/>
      </c>
      <c r="FK732" s="1367"/>
      <c r="FL732" s="1367"/>
      <c r="FM732" s="1367"/>
      <c r="FN732" s="1368"/>
      <c r="FO732" s="1366" t="str">
        <f t="shared" si="34"/>
        <v/>
      </c>
      <c r="FP732" s="1367"/>
      <c r="FQ732" s="1367"/>
      <c r="FR732" s="1367"/>
      <c r="FS732" s="1368"/>
      <c r="FT732" s="1366" t="str">
        <f t="shared" si="35"/>
        <v/>
      </c>
      <c r="FU732" s="1367"/>
      <c r="FV732" s="1367"/>
      <c r="FW732" s="1367"/>
      <c r="FX732" s="1368"/>
      <c r="FY732" s="1366" t="str">
        <f t="shared" si="36"/>
        <v/>
      </c>
      <c r="FZ732" s="1367"/>
      <c r="GA732" s="1367"/>
      <c r="GB732" s="1367"/>
      <c r="GC732" s="1368"/>
    </row>
    <row r="733" spans="1:185" ht="12.95" customHeight="1">
      <c r="B733" s="1370"/>
      <c r="C733" s="1371"/>
      <c r="D733" s="1371"/>
      <c r="E733" s="1371"/>
      <c r="F733" s="1372"/>
      <c r="G733" s="1379"/>
      <c r="H733" s="1380"/>
      <c r="I733" s="1380"/>
      <c r="J733" s="1381"/>
      <c r="K733" s="1612"/>
      <c r="L733" s="1613"/>
      <c r="M733" s="1613"/>
      <c r="N733" s="1614"/>
      <c r="O733" s="1489"/>
      <c r="P733" s="1490"/>
      <c r="Q733" s="1490"/>
      <c r="R733" s="1490"/>
      <c r="S733" s="1491"/>
      <c r="T733" s="1489"/>
      <c r="U733" s="1490"/>
      <c r="V733" s="1490"/>
      <c r="W733" s="1491"/>
      <c r="X733" s="1373">
        <f t="shared" si="10"/>
        <v>0</v>
      </c>
      <c r="Y733" s="1374"/>
      <c r="Z733" s="1374"/>
      <c r="AA733" s="1374"/>
      <c r="AB733" s="1375"/>
      <c r="AC733" s="1616"/>
      <c r="AD733" s="1617"/>
      <c r="AE733" s="1617"/>
      <c r="AF733" s="1617"/>
      <c r="AG733" s="1618"/>
      <c r="AH733" s="1376" t="str">
        <f t="shared" si="37"/>
        <v/>
      </c>
      <c r="AI733" s="1377"/>
      <c r="AJ733" s="1378"/>
      <c r="AK733" s="1370" t="s">
        <v>591</v>
      </c>
      <c r="AL733" s="1371"/>
      <c r="AM733" s="1371"/>
      <c r="AN733" s="1371"/>
      <c r="AO733" s="1372"/>
      <c r="AP733" s="3"/>
      <c r="AQ733" s="3"/>
      <c r="AR733" s="3"/>
      <c r="AS733" s="3"/>
      <c r="AY733" s="1087"/>
      <c r="AZ733" s="118" t="str">
        <f>IF($G733=0,"N/A",VLOOKUP($T$189,TC_Rent,(MATCH($B733,bedrooms,FALSE)),FALSE))</f>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366">
        <f t="shared" si="38"/>
        <v>0</v>
      </c>
      <c r="CH733" s="1368"/>
      <c r="CI733" s="1350">
        <f t="shared" si="39"/>
        <v>0</v>
      </c>
      <c r="CJ733" s="1352"/>
      <c r="CK733" s="1366">
        <f t="shared" si="17"/>
        <v>0</v>
      </c>
      <c r="CL733" s="1368"/>
      <c r="CM733" s="1350">
        <f t="shared" si="18"/>
        <v>0</v>
      </c>
      <c r="CN733" s="1352"/>
      <c r="CO733" s="3"/>
      <c r="CP733" s="1347">
        <f t="shared" si="19"/>
        <v>0</v>
      </c>
      <c r="CQ733" s="1348"/>
      <c r="CR733" s="1348"/>
      <c r="CS733" s="1348"/>
      <c r="CT733" s="1349"/>
      <c r="CU733" s="1369">
        <f t="shared" si="20"/>
        <v>0</v>
      </c>
      <c r="CV733" s="1369"/>
      <c r="CW733" s="1369"/>
      <c r="CX733" s="1369"/>
      <c r="CY733" s="1369"/>
      <c r="CZ733" s="1369">
        <f t="shared" si="21"/>
        <v>0</v>
      </c>
      <c r="DA733" s="1369"/>
      <c r="DB733" s="1369"/>
      <c r="DC733" s="1369"/>
      <c r="DD733" s="1369"/>
      <c r="DE733" s="1369">
        <f t="shared" si="22"/>
        <v>0</v>
      </c>
      <c r="DF733" s="1369"/>
      <c r="DG733" s="1369"/>
      <c r="DH733" s="1369"/>
      <c r="DI733" s="1369"/>
      <c r="DJ733" s="1369">
        <f t="shared" si="23"/>
        <v>0</v>
      </c>
      <c r="DK733" s="1369"/>
      <c r="DL733" s="1369"/>
      <c r="DM733" s="1369"/>
      <c r="DN733" s="1369"/>
      <c r="DO733" s="1369">
        <f t="shared" si="24"/>
        <v>0</v>
      </c>
      <c r="DP733" s="1369"/>
      <c r="DQ733" s="1369"/>
      <c r="DR733" s="1369"/>
      <c r="DS733" s="1369"/>
      <c r="DT733" s="6"/>
      <c r="DU733" s="1383">
        <f t="shared" si="25"/>
        <v>0</v>
      </c>
      <c r="DV733" s="1383"/>
      <c r="DW733" s="1383"/>
      <c r="DX733" s="1383"/>
      <c r="DY733" s="1383"/>
      <c r="DZ733" s="1383">
        <f t="shared" si="26"/>
        <v>0</v>
      </c>
      <c r="EA733" s="1383"/>
      <c r="EB733" s="1383"/>
      <c r="EC733" s="1383"/>
      <c r="ED733" s="1383"/>
      <c r="EE733" s="1383">
        <f t="shared" si="27"/>
        <v>0</v>
      </c>
      <c r="EF733" s="1383"/>
      <c r="EG733" s="1383"/>
      <c r="EH733" s="1383"/>
      <c r="EI733" s="1383"/>
      <c r="EJ733" s="1383">
        <f t="shared" si="28"/>
        <v>0</v>
      </c>
      <c r="EK733" s="1383"/>
      <c r="EL733" s="1383"/>
      <c r="EM733" s="1383"/>
      <c r="EN733" s="1383"/>
      <c r="EO733" s="1383">
        <f t="shared" si="29"/>
        <v>0</v>
      </c>
      <c r="EP733" s="1383"/>
      <c r="EQ733" s="1383"/>
      <c r="ER733" s="1383"/>
      <c r="ES733" s="1383"/>
      <c r="ET733" s="1383">
        <f t="shared" si="30"/>
        <v>0</v>
      </c>
      <c r="EU733" s="1383"/>
      <c r="EV733" s="1383"/>
      <c r="EW733" s="1383"/>
      <c r="EX733" s="1383"/>
      <c r="EZ733" s="1366" t="str">
        <f t="shared" si="31"/>
        <v/>
      </c>
      <c r="FA733" s="1367"/>
      <c r="FB733" s="1367"/>
      <c r="FC733" s="1367"/>
      <c r="FD733" s="1368"/>
      <c r="FE733" s="1366" t="str">
        <f t="shared" si="32"/>
        <v/>
      </c>
      <c r="FF733" s="1367"/>
      <c r="FG733" s="1367"/>
      <c r="FH733" s="1367"/>
      <c r="FI733" s="1368"/>
      <c r="FJ733" s="1366" t="str">
        <f t="shared" si="33"/>
        <v/>
      </c>
      <c r="FK733" s="1367"/>
      <c r="FL733" s="1367"/>
      <c r="FM733" s="1367"/>
      <c r="FN733" s="1368"/>
      <c r="FO733" s="1366" t="str">
        <f t="shared" si="34"/>
        <v/>
      </c>
      <c r="FP733" s="1367"/>
      <c r="FQ733" s="1367"/>
      <c r="FR733" s="1367"/>
      <c r="FS733" s="1368"/>
      <c r="FT733" s="1366" t="str">
        <f t="shared" si="35"/>
        <v/>
      </c>
      <c r="FU733" s="1367"/>
      <c r="FV733" s="1367"/>
      <c r="FW733" s="1367"/>
      <c r="FX733" s="1368"/>
      <c r="FY733" s="1366" t="str">
        <f t="shared" si="36"/>
        <v/>
      </c>
      <c r="FZ733" s="1367"/>
      <c r="GA733" s="1367"/>
      <c r="GB733" s="1367"/>
      <c r="GC733" s="1368"/>
    </row>
    <row r="734" spans="1:185" ht="12.95" customHeight="1">
      <c r="B734" s="1370"/>
      <c r="C734" s="1371"/>
      <c r="D734" s="1371"/>
      <c r="E734" s="1371"/>
      <c r="F734" s="1372"/>
      <c r="G734" s="1379"/>
      <c r="H734" s="1380"/>
      <c r="I734" s="1380"/>
      <c r="J734" s="1381"/>
      <c r="K734" s="1612"/>
      <c r="L734" s="1613"/>
      <c r="M734" s="1613"/>
      <c r="N734" s="1614"/>
      <c r="O734" s="1489"/>
      <c r="P734" s="1490"/>
      <c r="Q734" s="1490"/>
      <c r="R734" s="1490"/>
      <c r="S734" s="1491"/>
      <c r="T734" s="1489"/>
      <c r="U734" s="1490"/>
      <c r="V734" s="1490"/>
      <c r="W734" s="1491"/>
      <c r="X734" s="1373">
        <f t="shared" si="10"/>
        <v>0</v>
      </c>
      <c r="Y734" s="1374"/>
      <c r="Z734" s="1374"/>
      <c r="AA734" s="1374"/>
      <c r="AB734" s="1375"/>
      <c r="AC734" s="1616"/>
      <c r="AD734" s="1617"/>
      <c r="AE734" s="1617"/>
      <c r="AF734" s="1617"/>
      <c r="AG734" s="1618"/>
      <c r="AH734" s="1376" t="str">
        <f t="shared" si="37"/>
        <v/>
      </c>
      <c r="AI734" s="1377"/>
      <c r="AJ734" s="1378"/>
      <c r="AK734" s="1370" t="s">
        <v>591</v>
      </c>
      <c r="AL734" s="1371"/>
      <c r="AM734" s="1371"/>
      <c r="AN734" s="1371"/>
      <c r="AO734" s="1372"/>
      <c r="AP734" s="3"/>
      <c r="AQ734" s="3"/>
      <c r="AR734" s="3"/>
      <c r="AS734" s="3"/>
      <c r="AY734" s="1087"/>
      <c r="AZ734" s="118" t="str">
        <f>IF($G734=0,"N/A",VLOOKUP($T$189,TC_Rent,(MATCH($B734,bedrooms,FALSE)),FALSE))</f>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366">
        <f t="shared" si="38"/>
        <v>0</v>
      </c>
      <c r="CH734" s="1368"/>
      <c r="CI734" s="1350">
        <f t="shared" si="39"/>
        <v>0</v>
      </c>
      <c r="CJ734" s="1352"/>
      <c r="CK734" s="1366">
        <f t="shared" si="17"/>
        <v>0</v>
      </c>
      <c r="CL734" s="1368"/>
      <c r="CM734" s="1350">
        <f t="shared" si="18"/>
        <v>0</v>
      </c>
      <c r="CN734" s="1352"/>
      <c r="CO734" s="3"/>
      <c r="CP734" s="1347">
        <f t="shared" si="19"/>
        <v>0</v>
      </c>
      <c r="CQ734" s="1348"/>
      <c r="CR734" s="1348"/>
      <c r="CS734" s="1348"/>
      <c r="CT734" s="1349"/>
      <c r="CU734" s="1369">
        <f t="shared" si="20"/>
        <v>0</v>
      </c>
      <c r="CV734" s="1369"/>
      <c r="CW734" s="1369"/>
      <c r="CX734" s="1369"/>
      <c r="CY734" s="1369"/>
      <c r="CZ734" s="1369">
        <f t="shared" si="21"/>
        <v>0</v>
      </c>
      <c r="DA734" s="1369"/>
      <c r="DB734" s="1369"/>
      <c r="DC734" s="1369"/>
      <c r="DD734" s="1369"/>
      <c r="DE734" s="1369">
        <f t="shared" si="22"/>
        <v>0</v>
      </c>
      <c r="DF734" s="1369"/>
      <c r="DG734" s="1369"/>
      <c r="DH734" s="1369"/>
      <c r="DI734" s="1369"/>
      <c r="DJ734" s="1369">
        <f t="shared" si="23"/>
        <v>0</v>
      </c>
      <c r="DK734" s="1369"/>
      <c r="DL734" s="1369"/>
      <c r="DM734" s="1369"/>
      <c r="DN734" s="1369"/>
      <c r="DO734" s="1369">
        <f t="shared" si="24"/>
        <v>0</v>
      </c>
      <c r="DP734" s="1369"/>
      <c r="DQ734" s="1369"/>
      <c r="DR734" s="1369"/>
      <c r="DS734" s="1369"/>
      <c r="DT734" s="6"/>
      <c r="DU734" s="1383">
        <f t="shared" si="25"/>
        <v>0</v>
      </c>
      <c r="DV734" s="1383"/>
      <c r="DW734" s="1383"/>
      <c r="DX734" s="1383"/>
      <c r="DY734" s="1383"/>
      <c r="DZ734" s="1383">
        <f t="shared" si="26"/>
        <v>0</v>
      </c>
      <c r="EA734" s="1383"/>
      <c r="EB734" s="1383"/>
      <c r="EC734" s="1383"/>
      <c r="ED734" s="1383"/>
      <c r="EE734" s="1383">
        <f t="shared" si="27"/>
        <v>0</v>
      </c>
      <c r="EF734" s="1383"/>
      <c r="EG734" s="1383"/>
      <c r="EH734" s="1383"/>
      <c r="EI734" s="1383"/>
      <c r="EJ734" s="1383">
        <f t="shared" si="28"/>
        <v>0</v>
      </c>
      <c r="EK734" s="1383"/>
      <c r="EL734" s="1383"/>
      <c r="EM734" s="1383"/>
      <c r="EN734" s="1383"/>
      <c r="EO734" s="1383">
        <f t="shared" si="29"/>
        <v>0</v>
      </c>
      <c r="EP734" s="1383"/>
      <c r="EQ734" s="1383"/>
      <c r="ER734" s="1383"/>
      <c r="ES734" s="1383"/>
      <c r="ET734" s="1383">
        <f t="shared" si="30"/>
        <v>0</v>
      </c>
      <c r="EU734" s="1383"/>
      <c r="EV734" s="1383"/>
      <c r="EW734" s="1383"/>
      <c r="EX734" s="1383"/>
      <c r="EZ734" s="1366" t="str">
        <f t="shared" si="31"/>
        <v/>
      </c>
      <c r="FA734" s="1367"/>
      <c r="FB734" s="1367"/>
      <c r="FC734" s="1367"/>
      <c r="FD734" s="1368"/>
      <c r="FE734" s="1366" t="str">
        <f t="shared" si="32"/>
        <v/>
      </c>
      <c r="FF734" s="1367"/>
      <c r="FG734" s="1367"/>
      <c r="FH734" s="1367"/>
      <c r="FI734" s="1368"/>
      <c r="FJ734" s="1366" t="str">
        <f t="shared" si="33"/>
        <v/>
      </c>
      <c r="FK734" s="1367"/>
      <c r="FL734" s="1367"/>
      <c r="FM734" s="1367"/>
      <c r="FN734" s="1368"/>
      <c r="FO734" s="1366" t="str">
        <f t="shared" si="34"/>
        <v/>
      </c>
      <c r="FP734" s="1367"/>
      <c r="FQ734" s="1367"/>
      <c r="FR734" s="1367"/>
      <c r="FS734" s="1368"/>
      <c r="FT734" s="1366" t="str">
        <f t="shared" si="35"/>
        <v/>
      </c>
      <c r="FU734" s="1367"/>
      <c r="FV734" s="1367"/>
      <c r="FW734" s="1367"/>
      <c r="FX734" s="1368"/>
      <c r="FY734" s="1366" t="str">
        <f t="shared" si="36"/>
        <v/>
      </c>
      <c r="FZ734" s="1367"/>
      <c r="GA734" s="1367"/>
      <c r="GB734" s="1367"/>
      <c r="GC734" s="1368"/>
    </row>
    <row r="735" spans="1:185" ht="12.95" customHeight="1">
      <c r="B735" s="1370"/>
      <c r="C735" s="1371"/>
      <c r="D735" s="1371"/>
      <c r="E735" s="1371"/>
      <c r="F735" s="1372"/>
      <c r="G735" s="1379"/>
      <c r="H735" s="1380"/>
      <c r="I735" s="1380"/>
      <c r="J735" s="1381"/>
      <c r="K735" s="1612"/>
      <c r="L735" s="1613"/>
      <c r="M735" s="1613"/>
      <c r="N735" s="1614"/>
      <c r="O735" s="1489"/>
      <c r="P735" s="1490"/>
      <c r="Q735" s="1490"/>
      <c r="R735" s="1490"/>
      <c r="S735" s="1491"/>
      <c r="T735" s="1489"/>
      <c r="U735" s="1490"/>
      <c r="V735" s="1490"/>
      <c r="W735" s="1491"/>
      <c r="X735" s="1373">
        <f t="shared" si="10"/>
        <v>0</v>
      </c>
      <c r="Y735" s="1374"/>
      <c r="Z735" s="1374"/>
      <c r="AA735" s="1374"/>
      <c r="AB735" s="1375"/>
      <c r="AC735" s="1616"/>
      <c r="AD735" s="1617"/>
      <c r="AE735" s="1617"/>
      <c r="AF735" s="1617"/>
      <c r="AG735" s="1618"/>
      <c r="AH735" s="1376" t="str">
        <f t="shared" si="37"/>
        <v/>
      </c>
      <c r="AI735" s="1377"/>
      <c r="AJ735" s="1378"/>
      <c r="AK735" s="1370" t="s">
        <v>591</v>
      </c>
      <c r="AL735" s="1371"/>
      <c r="AM735" s="1371"/>
      <c r="AN735" s="1371"/>
      <c r="AO735" s="1372"/>
      <c r="AP735" s="3"/>
      <c r="AQ735" s="3"/>
      <c r="AR735" s="3"/>
      <c r="AS735" s="3"/>
      <c r="AY735" s="1087"/>
      <c r="AZ735" s="118" t="str">
        <f>IF($G735=0,"N/A",VLOOKUP($T$189,TC_Rent,(MATCH($B735,bedrooms,FALSE)),FALSE))</f>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366">
        <f t="shared" si="38"/>
        <v>0</v>
      </c>
      <c r="CH735" s="1368"/>
      <c r="CI735" s="1350">
        <f t="shared" si="39"/>
        <v>0</v>
      </c>
      <c r="CJ735" s="1352"/>
      <c r="CK735" s="1366">
        <f t="shared" si="17"/>
        <v>0</v>
      </c>
      <c r="CL735" s="1368"/>
      <c r="CM735" s="1350">
        <f t="shared" si="18"/>
        <v>0</v>
      </c>
      <c r="CN735" s="1352"/>
      <c r="CO735" s="3"/>
      <c r="CP735" s="1347">
        <f t="shared" si="19"/>
        <v>0</v>
      </c>
      <c r="CQ735" s="1348"/>
      <c r="CR735" s="1348"/>
      <c r="CS735" s="1348"/>
      <c r="CT735" s="1349"/>
      <c r="CU735" s="1369">
        <f t="shared" si="20"/>
        <v>0</v>
      </c>
      <c r="CV735" s="1369"/>
      <c r="CW735" s="1369"/>
      <c r="CX735" s="1369"/>
      <c r="CY735" s="1369"/>
      <c r="CZ735" s="1369">
        <f t="shared" si="21"/>
        <v>0</v>
      </c>
      <c r="DA735" s="1369"/>
      <c r="DB735" s="1369"/>
      <c r="DC735" s="1369"/>
      <c r="DD735" s="1369"/>
      <c r="DE735" s="1369">
        <f t="shared" si="22"/>
        <v>0</v>
      </c>
      <c r="DF735" s="1369"/>
      <c r="DG735" s="1369"/>
      <c r="DH735" s="1369"/>
      <c r="DI735" s="1369"/>
      <c r="DJ735" s="1369">
        <f t="shared" si="23"/>
        <v>0</v>
      </c>
      <c r="DK735" s="1369"/>
      <c r="DL735" s="1369"/>
      <c r="DM735" s="1369"/>
      <c r="DN735" s="1369"/>
      <c r="DO735" s="1369">
        <f t="shared" si="24"/>
        <v>0</v>
      </c>
      <c r="DP735" s="1369"/>
      <c r="DQ735" s="1369"/>
      <c r="DR735" s="1369"/>
      <c r="DS735" s="1369"/>
      <c r="DT735" s="6"/>
      <c r="DU735" s="1383">
        <f t="shared" si="25"/>
        <v>0</v>
      </c>
      <c r="DV735" s="1383"/>
      <c r="DW735" s="1383"/>
      <c r="DX735" s="1383"/>
      <c r="DY735" s="1383"/>
      <c r="DZ735" s="1383">
        <f t="shared" si="26"/>
        <v>0</v>
      </c>
      <c r="EA735" s="1383"/>
      <c r="EB735" s="1383"/>
      <c r="EC735" s="1383"/>
      <c r="ED735" s="1383"/>
      <c r="EE735" s="1383">
        <f t="shared" si="27"/>
        <v>0</v>
      </c>
      <c r="EF735" s="1383"/>
      <c r="EG735" s="1383"/>
      <c r="EH735" s="1383"/>
      <c r="EI735" s="1383"/>
      <c r="EJ735" s="1383">
        <f t="shared" si="28"/>
        <v>0</v>
      </c>
      <c r="EK735" s="1383"/>
      <c r="EL735" s="1383"/>
      <c r="EM735" s="1383"/>
      <c r="EN735" s="1383"/>
      <c r="EO735" s="1383">
        <f t="shared" si="29"/>
        <v>0</v>
      </c>
      <c r="EP735" s="1383"/>
      <c r="EQ735" s="1383"/>
      <c r="ER735" s="1383"/>
      <c r="ES735" s="1383"/>
      <c r="ET735" s="1383">
        <f t="shared" si="30"/>
        <v>0</v>
      </c>
      <c r="EU735" s="1383"/>
      <c r="EV735" s="1383"/>
      <c r="EW735" s="1383"/>
      <c r="EX735" s="1383"/>
      <c r="EZ735" s="1366" t="str">
        <f t="shared" si="31"/>
        <v/>
      </c>
      <c r="FA735" s="1367"/>
      <c r="FB735" s="1367"/>
      <c r="FC735" s="1367"/>
      <c r="FD735" s="1368"/>
      <c r="FE735" s="1366" t="str">
        <f t="shared" si="32"/>
        <v/>
      </c>
      <c r="FF735" s="1367"/>
      <c r="FG735" s="1367"/>
      <c r="FH735" s="1367"/>
      <c r="FI735" s="1368"/>
      <c r="FJ735" s="1366" t="str">
        <f t="shared" si="33"/>
        <v/>
      </c>
      <c r="FK735" s="1367"/>
      <c r="FL735" s="1367"/>
      <c r="FM735" s="1367"/>
      <c r="FN735" s="1368"/>
      <c r="FO735" s="1366" t="str">
        <f t="shared" si="34"/>
        <v/>
      </c>
      <c r="FP735" s="1367"/>
      <c r="FQ735" s="1367"/>
      <c r="FR735" s="1367"/>
      <c r="FS735" s="1368"/>
      <c r="FT735" s="1366" t="str">
        <f t="shared" si="35"/>
        <v/>
      </c>
      <c r="FU735" s="1367"/>
      <c r="FV735" s="1367"/>
      <c r="FW735" s="1367"/>
      <c r="FX735" s="1368"/>
      <c r="FY735" s="1366" t="str">
        <f t="shared" si="36"/>
        <v/>
      </c>
      <c r="FZ735" s="1367"/>
      <c r="GA735" s="1367"/>
      <c r="GB735" s="1367"/>
      <c r="GC735" s="1368"/>
    </row>
    <row r="736" spans="1:185" ht="12.95" customHeight="1">
      <c r="B736" s="1370"/>
      <c r="C736" s="1371"/>
      <c r="D736" s="1371"/>
      <c r="E736" s="1371"/>
      <c r="F736" s="1372"/>
      <c r="G736" s="1379"/>
      <c r="H736" s="1380"/>
      <c r="I736" s="1380"/>
      <c r="J736" s="1381"/>
      <c r="K736" s="1612"/>
      <c r="L736" s="1613"/>
      <c r="M736" s="1613"/>
      <c r="N736" s="1614"/>
      <c r="O736" s="1489"/>
      <c r="P736" s="1490"/>
      <c r="Q736" s="1490"/>
      <c r="R736" s="1490"/>
      <c r="S736" s="1491"/>
      <c r="T736" s="1489"/>
      <c r="U736" s="1490"/>
      <c r="V736" s="1490"/>
      <c r="W736" s="1491"/>
      <c r="X736" s="1373">
        <f t="shared" si="10"/>
        <v>0</v>
      </c>
      <c r="Y736" s="1374"/>
      <c r="Z736" s="1374"/>
      <c r="AA736" s="1374"/>
      <c r="AB736" s="1375"/>
      <c r="AC736" s="1616"/>
      <c r="AD736" s="1617"/>
      <c r="AE736" s="1617"/>
      <c r="AF736" s="1617"/>
      <c r="AG736" s="1618"/>
      <c r="AH736" s="1376" t="str">
        <f t="shared" si="37"/>
        <v/>
      </c>
      <c r="AI736" s="1377"/>
      <c r="AJ736" s="1378"/>
      <c r="AK736" s="1370" t="s">
        <v>591</v>
      </c>
      <c r="AL736" s="1371"/>
      <c r="AM736" s="1371"/>
      <c r="AN736" s="1371"/>
      <c r="AO736" s="1372"/>
      <c r="AP736" s="3"/>
      <c r="AQ736" s="3"/>
      <c r="AR736" s="3"/>
      <c r="AS736" s="3"/>
      <c r="AY736" s="1087"/>
      <c r="AZ736" s="118" t="str">
        <f>IF($G736=0,"N/A",VLOOKUP($T$189,TC_Rent,(MATCH($B736,bedrooms,FALSE)),FALSE))</f>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366">
        <f t="shared" si="38"/>
        <v>0</v>
      </c>
      <c r="CH736" s="1368"/>
      <c r="CI736" s="1350">
        <f t="shared" si="39"/>
        <v>0</v>
      </c>
      <c r="CJ736" s="1352"/>
      <c r="CK736" s="1366">
        <f t="shared" si="17"/>
        <v>0</v>
      </c>
      <c r="CL736" s="1368"/>
      <c r="CM736" s="1350">
        <f t="shared" si="18"/>
        <v>0</v>
      </c>
      <c r="CN736" s="1352"/>
      <c r="CO736" s="3"/>
      <c r="CP736" s="1347">
        <f t="shared" si="19"/>
        <v>0</v>
      </c>
      <c r="CQ736" s="1348"/>
      <c r="CR736" s="1348"/>
      <c r="CS736" s="1348"/>
      <c r="CT736" s="1349"/>
      <c r="CU736" s="1369">
        <f t="shared" si="20"/>
        <v>0</v>
      </c>
      <c r="CV736" s="1369"/>
      <c r="CW736" s="1369"/>
      <c r="CX736" s="1369"/>
      <c r="CY736" s="1369"/>
      <c r="CZ736" s="1369">
        <f t="shared" si="21"/>
        <v>0</v>
      </c>
      <c r="DA736" s="1369"/>
      <c r="DB736" s="1369"/>
      <c r="DC736" s="1369"/>
      <c r="DD736" s="1369"/>
      <c r="DE736" s="1369">
        <f t="shared" si="22"/>
        <v>0</v>
      </c>
      <c r="DF736" s="1369"/>
      <c r="DG736" s="1369"/>
      <c r="DH736" s="1369"/>
      <c r="DI736" s="1369"/>
      <c r="DJ736" s="1369">
        <f t="shared" si="23"/>
        <v>0</v>
      </c>
      <c r="DK736" s="1369"/>
      <c r="DL736" s="1369"/>
      <c r="DM736" s="1369"/>
      <c r="DN736" s="1369"/>
      <c r="DO736" s="1369">
        <f t="shared" si="24"/>
        <v>0</v>
      </c>
      <c r="DP736" s="1369"/>
      <c r="DQ736" s="1369"/>
      <c r="DR736" s="1369"/>
      <c r="DS736" s="1369"/>
      <c r="DT736" s="6"/>
      <c r="DU736" s="1383">
        <f t="shared" si="25"/>
        <v>0</v>
      </c>
      <c r="DV736" s="1383"/>
      <c r="DW736" s="1383"/>
      <c r="DX736" s="1383"/>
      <c r="DY736" s="1383"/>
      <c r="DZ736" s="1383">
        <f t="shared" si="26"/>
        <v>0</v>
      </c>
      <c r="EA736" s="1383"/>
      <c r="EB736" s="1383"/>
      <c r="EC736" s="1383"/>
      <c r="ED736" s="1383"/>
      <c r="EE736" s="1383">
        <f t="shared" si="27"/>
        <v>0</v>
      </c>
      <c r="EF736" s="1383"/>
      <c r="EG736" s="1383"/>
      <c r="EH736" s="1383"/>
      <c r="EI736" s="1383"/>
      <c r="EJ736" s="1383">
        <f t="shared" si="28"/>
        <v>0</v>
      </c>
      <c r="EK736" s="1383"/>
      <c r="EL736" s="1383"/>
      <c r="EM736" s="1383"/>
      <c r="EN736" s="1383"/>
      <c r="EO736" s="1383">
        <f t="shared" si="29"/>
        <v>0</v>
      </c>
      <c r="EP736" s="1383"/>
      <c r="EQ736" s="1383"/>
      <c r="ER736" s="1383"/>
      <c r="ES736" s="1383"/>
      <c r="ET736" s="1383">
        <f t="shared" si="30"/>
        <v>0</v>
      </c>
      <c r="EU736" s="1383"/>
      <c r="EV736" s="1383"/>
      <c r="EW736" s="1383"/>
      <c r="EX736" s="1383"/>
      <c r="EZ736" s="1366" t="str">
        <f t="shared" si="31"/>
        <v/>
      </c>
      <c r="FA736" s="1367"/>
      <c r="FB736" s="1367"/>
      <c r="FC736" s="1367"/>
      <c r="FD736" s="1368"/>
      <c r="FE736" s="1366" t="str">
        <f t="shared" si="32"/>
        <v/>
      </c>
      <c r="FF736" s="1367"/>
      <c r="FG736" s="1367"/>
      <c r="FH736" s="1367"/>
      <c r="FI736" s="1368"/>
      <c r="FJ736" s="1366" t="str">
        <f t="shared" si="33"/>
        <v/>
      </c>
      <c r="FK736" s="1367"/>
      <c r="FL736" s="1367"/>
      <c r="FM736" s="1367"/>
      <c r="FN736" s="1368"/>
      <c r="FO736" s="1366" t="str">
        <f t="shared" si="34"/>
        <v/>
      </c>
      <c r="FP736" s="1367"/>
      <c r="FQ736" s="1367"/>
      <c r="FR736" s="1367"/>
      <c r="FS736" s="1368"/>
      <c r="FT736" s="1366" t="str">
        <f t="shared" si="35"/>
        <v/>
      </c>
      <c r="FU736" s="1367"/>
      <c r="FV736" s="1367"/>
      <c r="FW736" s="1367"/>
      <c r="FX736" s="1368"/>
      <c r="FY736" s="1366" t="str">
        <f t="shared" si="36"/>
        <v/>
      </c>
      <c r="FZ736" s="1367"/>
      <c r="GA736" s="1367"/>
      <c r="GB736" s="1367"/>
      <c r="GC736" s="1368"/>
    </row>
    <row r="737" spans="1:185" ht="12.95" customHeight="1">
      <c r="B737" s="1370"/>
      <c r="C737" s="1371"/>
      <c r="D737" s="1371"/>
      <c r="E737" s="1371"/>
      <c r="F737" s="1372"/>
      <c r="G737" s="1379"/>
      <c r="H737" s="1380"/>
      <c r="I737" s="1380"/>
      <c r="J737" s="1381"/>
      <c r="K737" s="1612"/>
      <c r="L737" s="1613"/>
      <c r="M737" s="1613"/>
      <c r="N737" s="1614"/>
      <c r="O737" s="1489"/>
      <c r="P737" s="1490"/>
      <c r="Q737" s="1490"/>
      <c r="R737" s="1490"/>
      <c r="S737" s="1491"/>
      <c r="T737" s="1489"/>
      <c r="U737" s="1490"/>
      <c r="V737" s="1490"/>
      <c r="W737" s="1491"/>
      <c r="X737" s="1373">
        <f t="shared" si="10"/>
        <v>0</v>
      </c>
      <c r="Y737" s="1374"/>
      <c r="Z737" s="1374"/>
      <c r="AA737" s="1374"/>
      <c r="AB737" s="1375"/>
      <c r="AC737" s="1616"/>
      <c r="AD737" s="1617"/>
      <c r="AE737" s="1617"/>
      <c r="AF737" s="1617"/>
      <c r="AG737" s="1618"/>
      <c r="AH737" s="1376" t="str">
        <f t="shared" si="37"/>
        <v/>
      </c>
      <c r="AI737" s="1377"/>
      <c r="AJ737" s="1378"/>
      <c r="AK737" s="1370" t="s">
        <v>591</v>
      </c>
      <c r="AL737" s="1371"/>
      <c r="AM737" s="1371"/>
      <c r="AN737" s="1371"/>
      <c r="AO737" s="1372"/>
      <c r="AP737" s="3"/>
      <c r="AQ737" s="3"/>
      <c r="AR737" s="3"/>
      <c r="AS737" s="3"/>
      <c r="AY737" s="1087"/>
      <c r="AZ737" s="118" t="str">
        <f>IF($G737=0,"N/A",VLOOKUP($T$189,TC_Rent,(MATCH($B737,bedrooms,FALSE)),FALSE))</f>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366">
        <f t="shared" si="38"/>
        <v>0</v>
      </c>
      <c r="CH737" s="1368"/>
      <c r="CI737" s="1350">
        <f t="shared" si="39"/>
        <v>0</v>
      </c>
      <c r="CJ737" s="1352"/>
      <c r="CK737" s="1366">
        <f t="shared" si="17"/>
        <v>0</v>
      </c>
      <c r="CL737" s="1368"/>
      <c r="CM737" s="1350">
        <f t="shared" si="18"/>
        <v>0</v>
      </c>
      <c r="CN737" s="1352"/>
      <c r="CO737" s="3"/>
      <c r="CP737" s="1347">
        <f t="shared" si="19"/>
        <v>0</v>
      </c>
      <c r="CQ737" s="1348"/>
      <c r="CR737" s="1348"/>
      <c r="CS737" s="1348"/>
      <c r="CT737" s="1349"/>
      <c r="CU737" s="1369">
        <f t="shared" si="20"/>
        <v>0</v>
      </c>
      <c r="CV737" s="1369"/>
      <c r="CW737" s="1369"/>
      <c r="CX737" s="1369"/>
      <c r="CY737" s="1369"/>
      <c r="CZ737" s="1369">
        <f t="shared" si="21"/>
        <v>0</v>
      </c>
      <c r="DA737" s="1369"/>
      <c r="DB737" s="1369"/>
      <c r="DC737" s="1369"/>
      <c r="DD737" s="1369"/>
      <c r="DE737" s="1369">
        <f t="shared" si="22"/>
        <v>0</v>
      </c>
      <c r="DF737" s="1369"/>
      <c r="DG737" s="1369"/>
      <c r="DH737" s="1369"/>
      <c r="DI737" s="1369"/>
      <c r="DJ737" s="1369">
        <f t="shared" si="23"/>
        <v>0</v>
      </c>
      <c r="DK737" s="1369"/>
      <c r="DL737" s="1369"/>
      <c r="DM737" s="1369"/>
      <c r="DN737" s="1369"/>
      <c r="DO737" s="1369">
        <f t="shared" si="24"/>
        <v>0</v>
      </c>
      <c r="DP737" s="1369"/>
      <c r="DQ737" s="1369"/>
      <c r="DR737" s="1369"/>
      <c r="DS737" s="1369"/>
      <c r="DT737" s="6"/>
      <c r="DU737" s="1383">
        <f t="shared" si="25"/>
        <v>0</v>
      </c>
      <c r="DV737" s="1383"/>
      <c r="DW737" s="1383"/>
      <c r="DX737" s="1383"/>
      <c r="DY737" s="1383"/>
      <c r="DZ737" s="1383">
        <f t="shared" si="26"/>
        <v>0</v>
      </c>
      <c r="EA737" s="1383"/>
      <c r="EB737" s="1383"/>
      <c r="EC737" s="1383"/>
      <c r="ED737" s="1383"/>
      <c r="EE737" s="1383">
        <f t="shared" si="27"/>
        <v>0</v>
      </c>
      <c r="EF737" s="1383"/>
      <c r="EG737" s="1383"/>
      <c r="EH737" s="1383"/>
      <c r="EI737" s="1383"/>
      <c r="EJ737" s="1383">
        <f t="shared" si="28"/>
        <v>0</v>
      </c>
      <c r="EK737" s="1383"/>
      <c r="EL737" s="1383"/>
      <c r="EM737" s="1383"/>
      <c r="EN737" s="1383"/>
      <c r="EO737" s="1383">
        <f t="shared" si="29"/>
        <v>0</v>
      </c>
      <c r="EP737" s="1383"/>
      <c r="EQ737" s="1383"/>
      <c r="ER737" s="1383"/>
      <c r="ES737" s="1383"/>
      <c r="ET737" s="1383">
        <f t="shared" si="30"/>
        <v>0</v>
      </c>
      <c r="EU737" s="1383"/>
      <c r="EV737" s="1383"/>
      <c r="EW737" s="1383"/>
      <c r="EX737" s="1383"/>
      <c r="EZ737" s="1366" t="str">
        <f t="shared" si="31"/>
        <v/>
      </c>
      <c r="FA737" s="1367"/>
      <c r="FB737" s="1367"/>
      <c r="FC737" s="1367"/>
      <c r="FD737" s="1368"/>
      <c r="FE737" s="1366" t="str">
        <f t="shared" si="32"/>
        <v/>
      </c>
      <c r="FF737" s="1367"/>
      <c r="FG737" s="1367"/>
      <c r="FH737" s="1367"/>
      <c r="FI737" s="1368"/>
      <c r="FJ737" s="1366" t="str">
        <f t="shared" si="33"/>
        <v/>
      </c>
      <c r="FK737" s="1367"/>
      <c r="FL737" s="1367"/>
      <c r="FM737" s="1367"/>
      <c r="FN737" s="1368"/>
      <c r="FO737" s="1366" t="str">
        <f t="shared" si="34"/>
        <v/>
      </c>
      <c r="FP737" s="1367"/>
      <c r="FQ737" s="1367"/>
      <c r="FR737" s="1367"/>
      <c r="FS737" s="1368"/>
      <c r="FT737" s="1366" t="str">
        <f t="shared" si="35"/>
        <v/>
      </c>
      <c r="FU737" s="1367"/>
      <c r="FV737" s="1367"/>
      <c r="FW737" s="1367"/>
      <c r="FX737" s="1368"/>
      <c r="FY737" s="1366" t="str">
        <f t="shared" si="36"/>
        <v/>
      </c>
      <c r="FZ737" s="1367"/>
      <c r="GA737" s="1367"/>
      <c r="GB737" s="1367"/>
      <c r="GC737" s="1368"/>
    </row>
    <row r="738" spans="1:185" ht="12.95" customHeight="1">
      <c r="B738" s="1370"/>
      <c r="C738" s="1371"/>
      <c r="D738" s="1371"/>
      <c r="E738" s="1371"/>
      <c r="F738" s="1372"/>
      <c r="G738" s="1379"/>
      <c r="H738" s="1380"/>
      <c r="I738" s="1380"/>
      <c r="J738" s="1381"/>
      <c r="K738" s="1612"/>
      <c r="L738" s="1613"/>
      <c r="M738" s="1613"/>
      <c r="N738" s="1614"/>
      <c r="O738" s="1489"/>
      <c r="P738" s="1490"/>
      <c r="Q738" s="1490"/>
      <c r="R738" s="1490"/>
      <c r="S738" s="1491"/>
      <c r="T738" s="1489"/>
      <c r="U738" s="1490"/>
      <c r="V738" s="1490"/>
      <c r="W738" s="1491"/>
      <c r="X738" s="1373">
        <f t="shared" si="10"/>
        <v>0</v>
      </c>
      <c r="Y738" s="1374"/>
      <c r="Z738" s="1374"/>
      <c r="AA738" s="1374"/>
      <c r="AB738" s="1375"/>
      <c r="AC738" s="1616"/>
      <c r="AD738" s="1617"/>
      <c r="AE738" s="1617"/>
      <c r="AF738" s="1617"/>
      <c r="AG738" s="1618"/>
      <c r="AH738" s="1376" t="str">
        <f t="shared" si="37"/>
        <v/>
      </c>
      <c r="AI738" s="1377"/>
      <c r="AJ738" s="1378"/>
      <c r="AK738" s="1370" t="s">
        <v>591</v>
      </c>
      <c r="AL738" s="1371"/>
      <c r="AM738" s="1371"/>
      <c r="AN738" s="1371"/>
      <c r="AO738" s="1372"/>
      <c r="AP738" s="3"/>
      <c r="AQ738" s="3"/>
      <c r="AR738" s="3"/>
      <c r="AS738" s="3"/>
      <c r="AY738" s="1087"/>
      <c r="AZ738" s="118" t="str">
        <f>IF($G738=0,"N/A",VLOOKUP($T$189,TC_Rent,(MATCH($B738,bedrooms,FALSE)),FALSE))</f>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366">
        <f t="shared" si="38"/>
        <v>0</v>
      </c>
      <c r="CH738" s="1368"/>
      <c r="CI738" s="1350">
        <f t="shared" si="39"/>
        <v>0</v>
      </c>
      <c r="CJ738" s="1352"/>
      <c r="CK738" s="1366">
        <f t="shared" si="17"/>
        <v>0</v>
      </c>
      <c r="CL738" s="1368"/>
      <c r="CM738" s="1350">
        <f t="shared" si="18"/>
        <v>0</v>
      </c>
      <c r="CN738" s="1352"/>
      <c r="CO738" s="3"/>
      <c r="CP738" s="1347">
        <f t="shared" si="19"/>
        <v>0</v>
      </c>
      <c r="CQ738" s="1348"/>
      <c r="CR738" s="1348"/>
      <c r="CS738" s="1348"/>
      <c r="CT738" s="1349"/>
      <c r="CU738" s="1369">
        <f t="shared" si="20"/>
        <v>0</v>
      </c>
      <c r="CV738" s="1369"/>
      <c r="CW738" s="1369"/>
      <c r="CX738" s="1369"/>
      <c r="CY738" s="1369"/>
      <c r="CZ738" s="1369">
        <f t="shared" si="21"/>
        <v>0</v>
      </c>
      <c r="DA738" s="1369"/>
      <c r="DB738" s="1369"/>
      <c r="DC738" s="1369"/>
      <c r="DD738" s="1369"/>
      <c r="DE738" s="1369">
        <f t="shared" si="22"/>
        <v>0</v>
      </c>
      <c r="DF738" s="1369"/>
      <c r="DG738" s="1369"/>
      <c r="DH738" s="1369"/>
      <c r="DI738" s="1369"/>
      <c r="DJ738" s="1369">
        <f t="shared" si="23"/>
        <v>0</v>
      </c>
      <c r="DK738" s="1369"/>
      <c r="DL738" s="1369"/>
      <c r="DM738" s="1369"/>
      <c r="DN738" s="1369"/>
      <c r="DO738" s="1369">
        <f t="shared" si="24"/>
        <v>0</v>
      </c>
      <c r="DP738" s="1369"/>
      <c r="DQ738" s="1369"/>
      <c r="DR738" s="1369"/>
      <c r="DS738" s="1369"/>
      <c r="DT738" s="6"/>
      <c r="DU738" s="1383">
        <f t="shared" si="25"/>
        <v>0</v>
      </c>
      <c r="DV738" s="1383"/>
      <c r="DW738" s="1383"/>
      <c r="DX738" s="1383"/>
      <c r="DY738" s="1383"/>
      <c r="DZ738" s="1383">
        <f t="shared" si="26"/>
        <v>0</v>
      </c>
      <c r="EA738" s="1383"/>
      <c r="EB738" s="1383"/>
      <c r="EC738" s="1383"/>
      <c r="ED738" s="1383"/>
      <c r="EE738" s="1383">
        <f t="shared" si="27"/>
        <v>0</v>
      </c>
      <c r="EF738" s="1383"/>
      <c r="EG738" s="1383"/>
      <c r="EH738" s="1383"/>
      <c r="EI738" s="1383"/>
      <c r="EJ738" s="1383">
        <f t="shared" si="28"/>
        <v>0</v>
      </c>
      <c r="EK738" s="1383"/>
      <c r="EL738" s="1383"/>
      <c r="EM738" s="1383"/>
      <c r="EN738" s="1383"/>
      <c r="EO738" s="1383">
        <f t="shared" si="29"/>
        <v>0</v>
      </c>
      <c r="EP738" s="1383"/>
      <c r="EQ738" s="1383"/>
      <c r="ER738" s="1383"/>
      <c r="ES738" s="1383"/>
      <c r="ET738" s="1383">
        <f t="shared" si="30"/>
        <v>0</v>
      </c>
      <c r="EU738" s="1383"/>
      <c r="EV738" s="1383"/>
      <c r="EW738" s="1383"/>
      <c r="EX738" s="1383"/>
      <c r="EZ738" s="1366" t="str">
        <f t="shared" si="31"/>
        <v/>
      </c>
      <c r="FA738" s="1367"/>
      <c r="FB738" s="1367"/>
      <c r="FC738" s="1367"/>
      <c r="FD738" s="1368"/>
      <c r="FE738" s="1366" t="str">
        <f t="shared" si="32"/>
        <v/>
      </c>
      <c r="FF738" s="1367"/>
      <c r="FG738" s="1367"/>
      <c r="FH738" s="1367"/>
      <c r="FI738" s="1368"/>
      <c r="FJ738" s="1366" t="str">
        <f t="shared" si="33"/>
        <v/>
      </c>
      <c r="FK738" s="1367"/>
      <c r="FL738" s="1367"/>
      <c r="FM738" s="1367"/>
      <c r="FN738" s="1368"/>
      <c r="FO738" s="1366" t="str">
        <f t="shared" si="34"/>
        <v/>
      </c>
      <c r="FP738" s="1367"/>
      <c r="FQ738" s="1367"/>
      <c r="FR738" s="1367"/>
      <c r="FS738" s="1368"/>
      <c r="FT738" s="1366" t="str">
        <f t="shared" si="35"/>
        <v/>
      </c>
      <c r="FU738" s="1367"/>
      <c r="FV738" s="1367"/>
      <c r="FW738" s="1367"/>
      <c r="FX738" s="1368"/>
      <c r="FY738" s="1366" t="str">
        <f t="shared" si="36"/>
        <v/>
      </c>
      <c r="FZ738" s="1367"/>
      <c r="GA738" s="1367"/>
      <c r="GB738" s="1367"/>
      <c r="GC738" s="1368"/>
    </row>
    <row r="739" spans="1:185" ht="12.95" customHeight="1">
      <c r="B739" s="1370"/>
      <c r="C739" s="1371"/>
      <c r="D739" s="1371"/>
      <c r="E739" s="1371"/>
      <c r="F739" s="1372"/>
      <c r="G739" s="1379"/>
      <c r="H739" s="1380"/>
      <c r="I739" s="1380"/>
      <c r="J739" s="1381"/>
      <c r="K739" s="1612"/>
      <c r="L739" s="1613"/>
      <c r="M739" s="1613"/>
      <c r="N739" s="1614"/>
      <c r="O739" s="1489"/>
      <c r="P739" s="1490"/>
      <c r="Q739" s="1490"/>
      <c r="R739" s="1490"/>
      <c r="S739" s="1491"/>
      <c r="T739" s="1489"/>
      <c r="U739" s="1490"/>
      <c r="V739" s="1490"/>
      <c r="W739" s="1491"/>
      <c r="X739" s="1373">
        <f t="shared" si="10"/>
        <v>0</v>
      </c>
      <c r="Y739" s="1374"/>
      <c r="Z739" s="1374"/>
      <c r="AA739" s="1374"/>
      <c r="AB739" s="1375"/>
      <c r="AC739" s="1616"/>
      <c r="AD739" s="1617"/>
      <c r="AE739" s="1617"/>
      <c r="AF739" s="1617"/>
      <c r="AG739" s="1618"/>
      <c r="AH739" s="1376" t="str">
        <f t="shared" si="37"/>
        <v/>
      </c>
      <c r="AI739" s="1377"/>
      <c r="AJ739" s="1378"/>
      <c r="AK739" s="1370" t="s">
        <v>591</v>
      </c>
      <c r="AL739" s="1371"/>
      <c r="AM739" s="1371"/>
      <c r="AN739" s="1371"/>
      <c r="AO739" s="1372"/>
      <c r="AP739" s="3"/>
      <c r="AQ739" s="3"/>
      <c r="AR739" s="3"/>
      <c r="AS739" s="3"/>
      <c r="AY739" s="1087"/>
      <c r="AZ739" s="118" t="str">
        <f>IF($G739=0,"N/A",VLOOKUP($T$189,TC_Rent,(MATCH($B739,bedrooms,FALSE)),FALSE))</f>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366">
        <f t="shared" si="38"/>
        <v>0</v>
      </c>
      <c r="CH739" s="1368"/>
      <c r="CI739" s="1350">
        <f t="shared" si="39"/>
        <v>0</v>
      </c>
      <c r="CJ739" s="1352"/>
      <c r="CK739" s="1366">
        <f t="shared" si="17"/>
        <v>0</v>
      </c>
      <c r="CL739" s="1368"/>
      <c r="CM739" s="1350">
        <f t="shared" si="18"/>
        <v>0</v>
      </c>
      <c r="CN739" s="1352"/>
      <c r="CO739" s="3"/>
      <c r="CP739" s="1347">
        <f t="shared" si="19"/>
        <v>0</v>
      </c>
      <c r="CQ739" s="1348"/>
      <c r="CR739" s="1348"/>
      <c r="CS739" s="1348"/>
      <c r="CT739" s="1349"/>
      <c r="CU739" s="1369">
        <f t="shared" si="20"/>
        <v>0</v>
      </c>
      <c r="CV739" s="1369"/>
      <c r="CW739" s="1369"/>
      <c r="CX739" s="1369"/>
      <c r="CY739" s="1369"/>
      <c r="CZ739" s="1369">
        <f t="shared" si="21"/>
        <v>0</v>
      </c>
      <c r="DA739" s="1369"/>
      <c r="DB739" s="1369"/>
      <c r="DC739" s="1369"/>
      <c r="DD739" s="1369"/>
      <c r="DE739" s="1369">
        <f t="shared" si="22"/>
        <v>0</v>
      </c>
      <c r="DF739" s="1369"/>
      <c r="DG739" s="1369"/>
      <c r="DH739" s="1369"/>
      <c r="DI739" s="1369"/>
      <c r="DJ739" s="1369">
        <f t="shared" si="23"/>
        <v>0</v>
      </c>
      <c r="DK739" s="1369"/>
      <c r="DL739" s="1369"/>
      <c r="DM739" s="1369"/>
      <c r="DN739" s="1369"/>
      <c r="DO739" s="1369">
        <f t="shared" si="24"/>
        <v>0</v>
      </c>
      <c r="DP739" s="1369"/>
      <c r="DQ739" s="1369"/>
      <c r="DR739" s="1369"/>
      <c r="DS739" s="1369"/>
      <c r="DT739" s="6"/>
      <c r="DU739" s="1383">
        <f t="shared" si="25"/>
        <v>0</v>
      </c>
      <c r="DV739" s="1383"/>
      <c r="DW739" s="1383"/>
      <c r="DX739" s="1383"/>
      <c r="DY739" s="1383"/>
      <c r="DZ739" s="1383">
        <f t="shared" si="26"/>
        <v>0</v>
      </c>
      <c r="EA739" s="1383"/>
      <c r="EB739" s="1383"/>
      <c r="EC739" s="1383"/>
      <c r="ED739" s="1383"/>
      <c r="EE739" s="1383">
        <f t="shared" si="27"/>
        <v>0</v>
      </c>
      <c r="EF739" s="1383"/>
      <c r="EG739" s="1383"/>
      <c r="EH739" s="1383"/>
      <c r="EI739" s="1383"/>
      <c r="EJ739" s="1383">
        <f t="shared" si="28"/>
        <v>0</v>
      </c>
      <c r="EK739" s="1383"/>
      <c r="EL739" s="1383"/>
      <c r="EM739" s="1383"/>
      <c r="EN739" s="1383"/>
      <c r="EO739" s="1383">
        <f t="shared" si="29"/>
        <v>0</v>
      </c>
      <c r="EP739" s="1383"/>
      <c r="EQ739" s="1383"/>
      <c r="ER739" s="1383"/>
      <c r="ES739" s="1383"/>
      <c r="ET739" s="1383">
        <f t="shared" si="30"/>
        <v>0</v>
      </c>
      <c r="EU739" s="1383"/>
      <c r="EV739" s="1383"/>
      <c r="EW739" s="1383"/>
      <c r="EX739" s="1383"/>
      <c r="EZ739" s="1366" t="str">
        <f t="shared" si="31"/>
        <v/>
      </c>
      <c r="FA739" s="1367"/>
      <c r="FB739" s="1367"/>
      <c r="FC739" s="1367"/>
      <c r="FD739" s="1368"/>
      <c r="FE739" s="1366" t="str">
        <f t="shared" si="32"/>
        <v/>
      </c>
      <c r="FF739" s="1367"/>
      <c r="FG739" s="1367"/>
      <c r="FH739" s="1367"/>
      <c r="FI739" s="1368"/>
      <c r="FJ739" s="1366" t="str">
        <f t="shared" si="33"/>
        <v/>
      </c>
      <c r="FK739" s="1367"/>
      <c r="FL739" s="1367"/>
      <c r="FM739" s="1367"/>
      <c r="FN739" s="1368"/>
      <c r="FO739" s="1366" t="str">
        <f t="shared" si="34"/>
        <v/>
      </c>
      <c r="FP739" s="1367"/>
      <c r="FQ739" s="1367"/>
      <c r="FR739" s="1367"/>
      <c r="FS739" s="1368"/>
      <c r="FT739" s="1366" t="str">
        <f t="shared" si="35"/>
        <v/>
      </c>
      <c r="FU739" s="1367"/>
      <c r="FV739" s="1367"/>
      <c r="FW739" s="1367"/>
      <c r="FX739" s="1368"/>
      <c r="FY739" s="1366" t="str">
        <f t="shared" si="36"/>
        <v/>
      </c>
      <c r="FZ739" s="1367"/>
      <c r="GA739" s="1367"/>
      <c r="GB739" s="1367"/>
      <c r="GC739" s="1368"/>
    </row>
    <row r="740" spans="1:185" ht="12.95" customHeight="1">
      <c r="B740" s="1370"/>
      <c r="C740" s="1371"/>
      <c r="D740" s="1371"/>
      <c r="E740" s="1371"/>
      <c r="F740" s="1372"/>
      <c r="G740" s="1379"/>
      <c r="H740" s="1380"/>
      <c r="I740" s="1380"/>
      <c r="J740" s="1381"/>
      <c r="K740" s="1612"/>
      <c r="L740" s="1613"/>
      <c r="M740" s="1613"/>
      <c r="N740" s="1614"/>
      <c r="O740" s="1489"/>
      <c r="P740" s="1490"/>
      <c r="Q740" s="1490"/>
      <c r="R740" s="1490"/>
      <c r="S740" s="1491"/>
      <c r="T740" s="1489"/>
      <c r="U740" s="1490"/>
      <c r="V740" s="1490"/>
      <c r="W740" s="1491"/>
      <c r="X740" s="1373">
        <f t="shared" si="10"/>
        <v>0</v>
      </c>
      <c r="Y740" s="1374"/>
      <c r="Z740" s="1374"/>
      <c r="AA740" s="1374"/>
      <c r="AB740" s="1375"/>
      <c r="AC740" s="1616"/>
      <c r="AD740" s="1617"/>
      <c r="AE740" s="1617"/>
      <c r="AF740" s="1617"/>
      <c r="AG740" s="1618"/>
      <c r="AH740" s="1376" t="str">
        <f t="shared" si="37"/>
        <v/>
      </c>
      <c r="AI740" s="1377"/>
      <c r="AJ740" s="1378"/>
      <c r="AK740" s="1370" t="s">
        <v>591</v>
      </c>
      <c r="AL740" s="1371"/>
      <c r="AM740" s="1371"/>
      <c r="AN740" s="1371"/>
      <c r="AO740" s="1372"/>
      <c r="AP740" s="3"/>
      <c r="AQ740" s="3"/>
      <c r="AR740" s="3"/>
      <c r="AS740" s="3"/>
      <c r="AY740" s="1087"/>
      <c r="AZ740" s="118" t="str">
        <f>IF($G740=0,"N/A",VLOOKUP($T$189,TC_Rent,(MATCH($B740,bedrooms,FALSE)),FALSE))</f>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366">
        <f t="shared" si="38"/>
        <v>0</v>
      </c>
      <c r="CH740" s="1368"/>
      <c r="CI740" s="1350">
        <f t="shared" si="39"/>
        <v>0</v>
      </c>
      <c r="CJ740" s="1352"/>
      <c r="CK740" s="1366">
        <f t="shared" si="17"/>
        <v>0</v>
      </c>
      <c r="CL740" s="1368"/>
      <c r="CM740" s="1350">
        <f t="shared" si="18"/>
        <v>0</v>
      </c>
      <c r="CN740" s="1352"/>
      <c r="CO740" s="3"/>
      <c r="CP740" s="1347">
        <f t="shared" si="19"/>
        <v>0</v>
      </c>
      <c r="CQ740" s="1348"/>
      <c r="CR740" s="1348"/>
      <c r="CS740" s="1348"/>
      <c r="CT740" s="1349"/>
      <c r="CU740" s="1369">
        <f t="shared" si="20"/>
        <v>0</v>
      </c>
      <c r="CV740" s="1369"/>
      <c r="CW740" s="1369"/>
      <c r="CX740" s="1369"/>
      <c r="CY740" s="1369"/>
      <c r="CZ740" s="1369">
        <f t="shared" si="21"/>
        <v>0</v>
      </c>
      <c r="DA740" s="1369"/>
      <c r="DB740" s="1369"/>
      <c r="DC740" s="1369"/>
      <c r="DD740" s="1369"/>
      <c r="DE740" s="1369">
        <f t="shared" si="22"/>
        <v>0</v>
      </c>
      <c r="DF740" s="1369"/>
      <c r="DG740" s="1369"/>
      <c r="DH740" s="1369"/>
      <c r="DI740" s="1369"/>
      <c r="DJ740" s="1369">
        <f t="shared" si="23"/>
        <v>0</v>
      </c>
      <c r="DK740" s="1369"/>
      <c r="DL740" s="1369"/>
      <c r="DM740" s="1369"/>
      <c r="DN740" s="1369"/>
      <c r="DO740" s="1369">
        <f t="shared" si="24"/>
        <v>0</v>
      </c>
      <c r="DP740" s="1369"/>
      <c r="DQ740" s="1369"/>
      <c r="DR740" s="1369"/>
      <c r="DS740" s="1369"/>
      <c r="DT740" s="6"/>
      <c r="DU740" s="1383">
        <f t="shared" si="25"/>
        <v>0</v>
      </c>
      <c r="DV740" s="1383"/>
      <c r="DW740" s="1383"/>
      <c r="DX740" s="1383"/>
      <c r="DY740" s="1383"/>
      <c r="DZ740" s="1383">
        <f t="shared" si="26"/>
        <v>0</v>
      </c>
      <c r="EA740" s="1383"/>
      <c r="EB740" s="1383"/>
      <c r="EC740" s="1383"/>
      <c r="ED740" s="1383"/>
      <c r="EE740" s="1383">
        <f t="shared" si="27"/>
        <v>0</v>
      </c>
      <c r="EF740" s="1383"/>
      <c r="EG740" s="1383"/>
      <c r="EH740" s="1383"/>
      <c r="EI740" s="1383"/>
      <c r="EJ740" s="1383">
        <f t="shared" si="28"/>
        <v>0</v>
      </c>
      <c r="EK740" s="1383"/>
      <c r="EL740" s="1383"/>
      <c r="EM740" s="1383"/>
      <c r="EN740" s="1383"/>
      <c r="EO740" s="1383">
        <f t="shared" si="29"/>
        <v>0</v>
      </c>
      <c r="EP740" s="1383"/>
      <c r="EQ740" s="1383"/>
      <c r="ER740" s="1383"/>
      <c r="ES740" s="1383"/>
      <c r="ET740" s="1383">
        <f t="shared" si="30"/>
        <v>0</v>
      </c>
      <c r="EU740" s="1383"/>
      <c r="EV740" s="1383"/>
      <c r="EW740" s="1383"/>
      <c r="EX740" s="1383"/>
      <c r="EZ740" s="1366" t="str">
        <f t="shared" si="31"/>
        <v/>
      </c>
      <c r="FA740" s="1367"/>
      <c r="FB740" s="1367"/>
      <c r="FC740" s="1367"/>
      <c r="FD740" s="1368"/>
      <c r="FE740" s="1366" t="str">
        <f t="shared" si="32"/>
        <v/>
      </c>
      <c r="FF740" s="1367"/>
      <c r="FG740" s="1367"/>
      <c r="FH740" s="1367"/>
      <c r="FI740" s="1368"/>
      <c r="FJ740" s="1366" t="str">
        <f t="shared" si="33"/>
        <v/>
      </c>
      <c r="FK740" s="1367"/>
      <c r="FL740" s="1367"/>
      <c r="FM740" s="1367"/>
      <c r="FN740" s="1368"/>
      <c r="FO740" s="1366" t="str">
        <f t="shared" si="34"/>
        <v/>
      </c>
      <c r="FP740" s="1367"/>
      <c r="FQ740" s="1367"/>
      <c r="FR740" s="1367"/>
      <c r="FS740" s="1368"/>
      <c r="FT740" s="1366" t="str">
        <f t="shared" si="35"/>
        <v/>
      </c>
      <c r="FU740" s="1367"/>
      <c r="FV740" s="1367"/>
      <c r="FW740" s="1367"/>
      <c r="FX740" s="1368"/>
      <c r="FY740" s="1366" t="str">
        <f t="shared" si="36"/>
        <v/>
      </c>
      <c r="FZ740" s="1367"/>
      <c r="GA740" s="1367"/>
      <c r="GB740" s="1367"/>
      <c r="GC740" s="1368"/>
    </row>
    <row r="741" spans="1:185" ht="12.95" customHeight="1">
      <c r="B741" s="1370"/>
      <c r="C741" s="1371"/>
      <c r="D741" s="1371"/>
      <c r="E741" s="1371"/>
      <c r="F741" s="1372"/>
      <c r="G741" s="1379"/>
      <c r="H741" s="1380"/>
      <c r="I741" s="1380"/>
      <c r="J741" s="1381"/>
      <c r="K741" s="1612"/>
      <c r="L741" s="1613"/>
      <c r="M741" s="1613"/>
      <c r="N741" s="1614"/>
      <c r="O741" s="1489"/>
      <c r="P741" s="1490"/>
      <c r="Q741" s="1490"/>
      <c r="R741" s="1490"/>
      <c r="S741" s="1491"/>
      <c r="T741" s="1489"/>
      <c r="U741" s="1490"/>
      <c r="V741" s="1490"/>
      <c r="W741" s="1491"/>
      <c r="X741" s="1373">
        <f t="shared" si="10"/>
        <v>0</v>
      </c>
      <c r="Y741" s="1374"/>
      <c r="Z741" s="1374"/>
      <c r="AA741" s="1374"/>
      <c r="AB741" s="1375"/>
      <c r="AC741" s="1616"/>
      <c r="AD741" s="1617"/>
      <c r="AE741" s="1617"/>
      <c r="AF741" s="1617"/>
      <c r="AG741" s="1618"/>
      <c r="AH741" s="1376" t="str">
        <f t="shared" si="37"/>
        <v/>
      </c>
      <c r="AI741" s="1377"/>
      <c r="AJ741" s="1378"/>
      <c r="AK741" s="1370" t="s">
        <v>591</v>
      </c>
      <c r="AL741" s="1371"/>
      <c r="AM741" s="1371"/>
      <c r="AN741" s="1371"/>
      <c r="AO741" s="1372"/>
      <c r="AP741" s="3"/>
      <c r="AQ741" s="3"/>
      <c r="AR741" s="3"/>
      <c r="AS741" s="3"/>
      <c r="AY741" s="1087"/>
      <c r="AZ741" s="118" t="str">
        <f>IF($G741=0,"N/A",VLOOKUP($T$189,TC_Rent,(MATCH($B741,bedrooms,FALSE)),FALSE))</f>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366">
        <f t="shared" si="38"/>
        <v>0</v>
      </c>
      <c r="CH741" s="1368"/>
      <c r="CI741" s="1350">
        <f t="shared" si="39"/>
        <v>0</v>
      </c>
      <c r="CJ741" s="1352"/>
      <c r="CK741" s="1366">
        <f t="shared" si="17"/>
        <v>0</v>
      </c>
      <c r="CL741" s="1368"/>
      <c r="CM741" s="1350">
        <f t="shared" si="18"/>
        <v>0</v>
      </c>
      <c r="CN741" s="1352"/>
      <c r="CO741" s="3"/>
      <c r="CP741" s="1347">
        <f t="shared" si="19"/>
        <v>0</v>
      </c>
      <c r="CQ741" s="1348"/>
      <c r="CR741" s="1348"/>
      <c r="CS741" s="1348"/>
      <c r="CT741" s="1349"/>
      <c r="CU741" s="1369">
        <f t="shared" si="20"/>
        <v>0</v>
      </c>
      <c r="CV741" s="1369"/>
      <c r="CW741" s="1369"/>
      <c r="CX741" s="1369"/>
      <c r="CY741" s="1369"/>
      <c r="CZ741" s="1369">
        <f t="shared" si="21"/>
        <v>0</v>
      </c>
      <c r="DA741" s="1369"/>
      <c r="DB741" s="1369"/>
      <c r="DC741" s="1369"/>
      <c r="DD741" s="1369"/>
      <c r="DE741" s="1369">
        <f t="shared" si="22"/>
        <v>0</v>
      </c>
      <c r="DF741" s="1369"/>
      <c r="DG741" s="1369"/>
      <c r="DH741" s="1369"/>
      <c r="DI741" s="1369"/>
      <c r="DJ741" s="1369">
        <f t="shared" si="23"/>
        <v>0</v>
      </c>
      <c r="DK741" s="1369"/>
      <c r="DL741" s="1369"/>
      <c r="DM741" s="1369"/>
      <c r="DN741" s="1369"/>
      <c r="DO741" s="1369">
        <f t="shared" si="24"/>
        <v>0</v>
      </c>
      <c r="DP741" s="1369"/>
      <c r="DQ741" s="1369"/>
      <c r="DR741" s="1369"/>
      <c r="DS741" s="1369"/>
      <c r="DT741" s="6"/>
      <c r="DU741" s="1383">
        <f t="shared" si="25"/>
        <v>0</v>
      </c>
      <c r="DV741" s="1383"/>
      <c r="DW741" s="1383"/>
      <c r="DX741" s="1383"/>
      <c r="DY741" s="1383"/>
      <c r="DZ741" s="1383">
        <f t="shared" si="26"/>
        <v>0</v>
      </c>
      <c r="EA741" s="1383"/>
      <c r="EB741" s="1383"/>
      <c r="EC741" s="1383"/>
      <c r="ED741" s="1383"/>
      <c r="EE741" s="1383">
        <f t="shared" si="27"/>
        <v>0</v>
      </c>
      <c r="EF741" s="1383"/>
      <c r="EG741" s="1383"/>
      <c r="EH741" s="1383"/>
      <c r="EI741" s="1383"/>
      <c r="EJ741" s="1383">
        <f t="shared" si="28"/>
        <v>0</v>
      </c>
      <c r="EK741" s="1383"/>
      <c r="EL741" s="1383"/>
      <c r="EM741" s="1383"/>
      <c r="EN741" s="1383"/>
      <c r="EO741" s="1383">
        <f t="shared" si="29"/>
        <v>0</v>
      </c>
      <c r="EP741" s="1383"/>
      <c r="EQ741" s="1383"/>
      <c r="ER741" s="1383"/>
      <c r="ES741" s="1383"/>
      <c r="ET741" s="1383">
        <f t="shared" si="30"/>
        <v>0</v>
      </c>
      <c r="EU741" s="1383"/>
      <c r="EV741" s="1383"/>
      <c r="EW741" s="1383"/>
      <c r="EX741" s="1383"/>
      <c r="EZ741" s="1366" t="str">
        <f t="shared" si="31"/>
        <v/>
      </c>
      <c r="FA741" s="1367"/>
      <c r="FB741" s="1367"/>
      <c r="FC741" s="1367"/>
      <c r="FD741" s="1368"/>
      <c r="FE741" s="1366" t="str">
        <f t="shared" si="32"/>
        <v/>
      </c>
      <c r="FF741" s="1367"/>
      <c r="FG741" s="1367"/>
      <c r="FH741" s="1367"/>
      <c r="FI741" s="1368"/>
      <c r="FJ741" s="1366" t="str">
        <f t="shared" si="33"/>
        <v/>
      </c>
      <c r="FK741" s="1367"/>
      <c r="FL741" s="1367"/>
      <c r="FM741" s="1367"/>
      <c r="FN741" s="1368"/>
      <c r="FO741" s="1366" t="str">
        <f t="shared" si="34"/>
        <v/>
      </c>
      <c r="FP741" s="1367"/>
      <c r="FQ741" s="1367"/>
      <c r="FR741" s="1367"/>
      <c r="FS741" s="1368"/>
      <c r="FT741" s="1366" t="str">
        <f t="shared" si="35"/>
        <v/>
      </c>
      <c r="FU741" s="1367"/>
      <c r="FV741" s="1367"/>
      <c r="FW741" s="1367"/>
      <c r="FX741" s="1368"/>
      <c r="FY741" s="1366" t="str">
        <f t="shared" si="36"/>
        <v/>
      </c>
      <c r="FZ741" s="1367"/>
      <c r="GA741" s="1367"/>
      <c r="GB741" s="1367"/>
      <c r="GC741" s="1368"/>
    </row>
    <row r="742" spans="1:185" ht="12.95" customHeight="1">
      <c r="B742" s="1370"/>
      <c r="C742" s="1371"/>
      <c r="D742" s="1371"/>
      <c r="E742" s="1371"/>
      <c r="F742" s="1372"/>
      <c r="G742" s="1379"/>
      <c r="H742" s="1380"/>
      <c r="I742" s="1380"/>
      <c r="J742" s="1381"/>
      <c r="K742" s="1612"/>
      <c r="L742" s="1613"/>
      <c r="M742" s="1613"/>
      <c r="N742" s="1614"/>
      <c r="O742" s="1489"/>
      <c r="P742" s="1490"/>
      <c r="Q742" s="1490"/>
      <c r="R742" s="1490"/>
      <c r="S742" s="1491"/>
      <c r="T742" s="1489"/>
      <c r="U742" s="1490"/>
      <c r="V742" s="1490"/>
      <c r="W742" s="1491"/>
      <c r="X742" s="1373">
        <f t="shared" ref="X742:X751" si="40">O742+T742</f>
        <v>0</v>
      </c>
      <c r="Y742" s="1374"/>
      <c r="Z742" s="1374"/>
      <c r="AA742" s="1374"/>
      <c r="AB742" s="1375"/>
      <c r="AC742" s="1616"/>
      <c r="AD742" s="1617"/>
      <c r="AE742" s="1617"/>
      <c r="AF742" s="1617"/>
      <c r="AG742" s="1618"/>
      <c r="AH742" s="1376" t="str">
        <f t="shared" si="37"/>
        <v/>
      </c>
      <c r="AI742" s="1377"/>
      <c r="AJ742" s="1378"/>
      <c r="AK742" s="1370" t="s">
        <v>591</v>
      </c>
      <c r="AL742" s="1371"/>
      <c r="AM742" s="1371"/>
      <c r="AN742" s="1371"/>
      <c r="AO742" s="1372"/>
      <c r="AP742" s="3"/>
      <c r="AQ742" s="3"/>
      <c r="AR742" s="3"/>
      <c r="AS742" s="3"/>
      <c r="AY742" s="1087"/>
      <c r="AZ742" s="118" t="str">
        <f>IF($G742=0,"N/A",VLOOKUP($T$189,TC_Rent,(MATCH($B742,bedrooms,FALSE)),FALSE))</f>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366">
        <f t="shared" si="38"/>
        <v>0</v>
      </c>
      <c r="CH742" s="1368"/>
      <c r="CI742" s="1350">
        <f t="shared" si="39"/>
        <v>0</v>
      </c>
      <c r="CJ742" s="1352"/>
      <c r="CK742" s="1366">
        <f t="shared" si="17"/>
        <v>0</v>
      </c>
      <c r="CL742" s="1368"/>
      <c r="CM742" s="1350">
        <f t="shared" si="18"/>
        <v>0</v>
      </c>
      <c r="CN742" s="1352"/>
      <c r="CO742" s="3"/>
      <c r="CP742" s="1347">
        <f t="shared" si="19"/>
        <v>0</v>
      </c>
      <c r="CQ742" s="1348"/>
      <c r="CR742" s="1348"/>
      <c r="CS742" s="1348"/>
      <c r="CT742" s="1349"/>
      <c r="CU742" s="1369">
        <f t="shared" si="20"/>
        <v>0</v>
      </c>
      <c r="CV742" s="1369"/>
      <c r="CW742" s="1369"/>
      <c r="CX742" s="1369"/>
      <c r="CY742" s="1369"/>
      <c r="CZ742" s="1369">
        <f t="shared" si="21"/>
        <v>0</v>
      </c>
      <c r="DA742" s="1369"/>
      <c r="DB742" s="1369"/>
      <c r="DC742" s="1369"/>
      <c r="DD742" s="1369"/>
      <c r="DE742" s="1369">
        <f t="shared" si="22"/>
        <v>0</v>
      </c>
      <c r="DF742" s="1369"/>
      <c r="DG742" s="1369"/>
      <c r="DH742" s="1369"/>
      <c r="DI742" s="1369"/>
      <c r="DJ742" s="1369">
        <f t="shared" si="23"/>
        <v>0</v>
      </c>
      <c r="DK742" s="1369"/>
      <c r="DL742" s="1369"/>
      <c r="DM742" s="1369"/>
      <c r="DN742" s="1369"/>
      <c r="DO742" s="1369">
        <f t="shared" si="24"/>
        <v>0</v>
      </c>
      <c r="DP742" s="1369"/>
      <c r="DQ742" s="1369"/>
      <c r="DR742" s="1369"/>
      <c r="DS742" s="1369"/>
      <c r="DT742" s="6"/>
      <c r="DU742" s="1383">
        <f t="shared" si="25"/>
        <v>0</v>
      </c>
      <c r="DV742" s="1383"/>
      <c r="DW742" s="1383"/>
      <c r="DX742" s="1383"/>
      <c r="DY742" s="1383"/>
      <c r="DZ742" s="1383">
        <f t="shared" si="26"/>
        <v>0</v>
      </c>
      <c r="EA742" s="1383"/>
      <c r="EB742" s="1383"/>
      <c r="EC742" s="1383"/>
      <c r="ED742" s="1383"/>
      <c r="EE742" s="1383">
        <f t="shared" si="27"/>
        <v>0</v>
      </c>
      <c r="EF742" s="1383"/>
      <c r="EG742" s="1383"/>
      <c r="EH742" s="1383"/>
      <c r="EI742" s="1383"/>
      <c r="EJ742" s="1383">
        <f t="shared" si="28"/>
        <v>0</v>
      </c>
      <c r="EK742" s="1383"/>
      <c r="EL742" s="1383"/>
      <c r="EM742" s="1383"/>
      <c r="EN742" s="1383"/>
      <c r="EO742" s="1383">
        <f t="shared" si="29"/>
        <v>0</v>
      </c>
      <c r="EP742" s="1383"/>
      <c r="EQ742" s="1383"/>
      <c r="ER742" s="1383"/>
      <c r="ES742" s="1383"/>
      <c r="ET742" s="1383">
        <f t="shared" si="30"/>
        <v>0</v>
      </c>
      <c r="EU742" s="1383"/>
      <c r="EV742" s="1383"/>
      <c r="EW742" s="1383"/>
      <c r="EX742" s="1383"/>
      <c r="EZ742" s="1366" t="str">
        <f t="shared" si="31"/>
        <v/>
      </c>
      <c r="FA742" s="1367"/>
      <c r="FB742" s="1367"/>
      <c r="FC742" s="1367"/>
      <c r="FD742" s="1368"/>
      <c r="FE742" s="1366" t="str">
        <f t="shared" si="32"/>
        <v/>
      </c>
      <c r="FF742" s="1367"/>
      <c r="FG742" s="1367"/>
      <c r="FH742" s="1367"/>
      <c r="FI742" s="1368"/>
      <c r="FJ742" s="1366" t="str">
        <f t="shared" si="33"/>
        <v/>
      </c>
      <c r="FK742" s="1367"/>
      <c r="FL742" s="1367"/>
      <c r="FM742" s="1367"/>
      <c r="FN742" s="1368"/>
      <c r="FO742" s="1366" t="str">
        <f t="shared" si="34"/>
        <v/>
      </c>
      <c r="FP742" s="1367"/>
      <c r="FQ742" s="1367"/>
      <c r="FR742" s="1367"/>
      <c r="FS742" s="1368"/>
      <c r="FT742" s="1366" t="str">
        <f t="shared" si="35"/>
        <v/>
      </c>
      <c r="FU742" s="1367"/>
      <c r="FV742" s="1367"/>
      <c r="FW742" s="1367"/>
      <c r="FX742" s="1368"/>
      <c r="FY742" s="1366" t="str">
        <f t="shared" si="36"/>
        <v/>
      </c>
      <c r="FZ742" s="1367"/>
      <c r="GA742" s="1367"/>
      <c r="GB742" s="1367"/>
      <c r="GC742" s="1368"/>
    </row>
    <row r="743" spans="1:185" s="3" customFormat="1" ht="12.95" customHeight="1">
      <c r="A743"/>
      <c r="B743" s="1370"/>
      <c r="C743" s="1371"/>
      <c r="D743" s="1371"/>
      <c r="E743" s="1371"/>
      <c r="F743" s="1372"/>
      <c r="G743" s="1379"/>
      <c r="H743" s="1380"/>
      <c r="I743" s="1380"/>
      <c r="J743" s="1381"/>
      <c r="K743" s="1612"/>
      <c r="L743" s="1613"/>
      <c r="M743" s="1613"/>
      <c r="N743" s="1614"/>
      <c r="O743" s="1489"/>
      <c r="P743" s="1490"/>
      <c r="Q743" s="1490"/>
      <c r="R743" s="1490"/>
      <c r="S743" s="1491"/>
      <c r="T743" s="1489"/>
      <c r="U743" s="1490"/>
      <c r="V743" s="1490"/>
      <c r="W743" s="1491"/>
      <c r="X743" s="1373">
        <f t="shared" si="40"/>
        <v>0</v>
      </c>
      <c r="Y743" s="1374"/>
      <c r="Z743" s="1374"/>
      <c r="AA743" s="1374"/>
      <c r="AB743" s="1375"/>
      <c r="AC743" s="1616"/>
      <c r="AD743" s="1617"/>
      <c r="AE743" s="1617"/>
      <c r="AF743" s="1617"/>
      <c r="AG743" s="1618"/>
      <c r="AH743" s="1376" t="str">
        <f t="shared" si="37"/>
        <v/>
      </c>
      <c r="AI743" s="1377"/>
      <c r="AJ743" s="1378"/>
      <c r="AK743" s="1370" t="s">
        <v>591</v>
      </c>
      <c r="AL743" s="1371"/>
      <c r="AM743" s="1371"/>
      <c r="AN743" s="1371"/>
      <c r="AO743" s="1372"/>
      <c r="AT743"/>
      <c r="AU743"/>
      <c r="AV743"/>
      <c r="AW743"/>
      <c r="AX743"/>
      <c r="AY743" s="1087"/>
      <c r="AZ743" s="118" t="str">
        <f>IF($G743=0,"N/A",VLOOKUP($T$189,TC_Rent,(MATCH($B743,bedrooms,FALSE)),FALSE))</f>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366">
        <f t="shared" si="38"/>
        <v>0</v>
      </c>
      <c r="CH743" s="1368"/>
      <c r="CI743" s="1350">
        <f t="shared" si="39"/>
        <v>0</v>
      </c>
      <c r="CJ743" s="1352"/>
      <c r="CK743" s="1366">
        <f t="shared" si="17"/>
        <v>0</v>
      </c>
      <c r="CL743" s="1368"/>
      <c r="CM743" s="1350">
        <f t="shared" si="18"/>
        <v>0</v>
      </c>
      <c r="CN743" s="1352"/>
      <c r="CP743" s="1347">
        <f t="shared" si="19"/>
        <v>0</v>
      </c>
      <c r="CQ743" s="1348"/>
      <c r="CR743" s="1348"/>
      <c r="CS743" s="1348"/>
      <c r="CT743" s="1349"/>
      <c r="CU743" s="1369">
        <f t="shared" si="20"/>
        <v>0</v>
      </c>
      <c r="CV743" s="1369"/>
      <c r="CW743" s="1369"/>
      <c r="CX743" s="1369"/>
      <c r="CY743" s="1369"/>
      <c r="CZ743" s="1369">
        <f t="shared" si="21"/>
        <v>0</v>
      </c>
      <c r="DA743" s="1369"/>
      <c r="DB743" s="1369"/>
      <c r="DC743" s="1369"/>
      <c r="DD743" s="1369"/>
      <c r="DE743" s="1369">
        <f t="shared" si="22"/>
        <v>0</v>
      </c>
      <c r="DF743" s="1369"/>
      <c r="DG743" s="1369"/>
      <c r="DH743" s="1369"/>
      <c r="DI743" s="1369"/>
      <c r="DJ743" s="1369">
        <f t="shared" si="23"/>
        <v>0</v>
      </c>
      <c r="DK743" s="1369"/>
      <c r="DL743" s="1369"/>
      <c r="DM743" s="1369"/>
      <c r="DN743" s="1369"/>
      <c r="DO743" s="1369">
        <f t="shared" si="24"/>
        <v>0</v>
      </c>
      <c r="DP743" s="1369"/>
      <c r="DQ743" s="1369"/>
      <c r="DR743" s="1369"/>
      <c r="DS743" s="1369"/>
      <c r="DT743" s="6"/>
      <c r="DU743" s="1383">
        <f t="shared" si="25"/>
        <v>0</v>
      </c>
      <c r="DV743" s="1383"/>
      <c r="DW743" s="1383"/>
      <c r="DX743" s="1383"/>
      <c r="DY743" s="1383"/>
      <c r="DZ743" s="1383">
        <f t="shared" si="26"/>
        <v>0</v>
      </c>
      <c r="EA743" s="1383"/>
      <c r="EB743" s="1383"/>
      <c r="EC743" s="1383"/>
      <c r="ED743" s="1383"/>
      <c r="EE743" s="1383">
        <f t="shared" si="27"/>
        <v>0</v>
      </c>
      <c r="EF743" s="1383"/>
      <c r="EG743" s="1383"/>
      <c r="EH743" s="1383"/>
      <c r="EI743" s="1383"/>
      <c r="EJ743" s="1383">
        <f t="shared" si="28"/>
        <v>0</v>
      </c>
      <c r="EK743" s="1383"/>
      <c r="EL743" s="1383"/>
      <c r="EM743" s="1383"/>
      <c r="EN743" s="1383"/>
      <c r="EO743" s="1383">
        <f t="shared" si="29"/>
        <v>0</v>
      </c>
      <c r="EP743" s="1383"/>
      <c r="EQ743" s="1383"/>
      <c r="ER743" s="1383"/>
      <c r="ES743" s="1383"/>
      <c r="ET743" s="1383">
        <f t="shared" si="30"/>
        <v>0</v>
      </c>
      <c r="EU743" s="1383"/>
      <c r="EV743" s="1383"/>
      <c r="EW743" s="1383"/>
      <c r="EX743" s="1383"/>
      <c r="EY743"/>
      <c r="EZ743" s="1366" t="str">
        <f t="shared" si="31"/>
        <v/>
      </c>
      <c r="FA743" s="1367"/>
      <c r="FB743" s="1367"/>
      <c r="FC743" s="1367"/>
      <c r="FD743" s="1368"/>
      <c r="FE743" s="1366" t="str">
        <f t="shared" si="32"/>
        <v/>
      </c>
      <c r="FF743" s="1367"/>
      <c r="FG743" s="1367"/>
      <c r="FH743" s="1367"/>
      <c r="FI743" s="1368"/>
      <c r="FJ743" s="1366" t="str">
        <f t="shared" si="33"/>
        <v/>
      </c>
      <c r="FK743" s="1367"/>
      <c r="FL743" s="1367"/>
      <c r="FM743" s="1367"/>
      <c r="FN743" s="1368"/>
      <c r="FO743" s="1366" t="str">
        <f t="shared" si="34"/>
        <v/>
      </c>
      <c r="FP743" s="1367"/>
      <c r="FQ743" s="1367"/>
      <c r="FR743" s="1367"/>
      <c r="FS743" s="1368"/>
      <c r="FT743" s="1366" t="str">
        <f t="shared" si="35"/>
        <v/>
      </c>
      <c r="FU743" s="1367"/>
      <c r="FV743" s="1367"/>
      <c r="FW743" s="1367"/>
      <c r="FX743" s="1368"/>
      <c r="FY743" s="1366" t="str">
        <f t="shared" si="36"/>
        <v/>
      </c>
      <c r="FZ743" s="1367"/>
      <c r="GA743" s="1367"/>
      <c r="GB743" s="1367"/>
      <c r="GC743" s="1368"/>
    </row>
    <row r="744" spans="1:185" ht="12.95" customHeight="1">
      <c r="B744" s="1370"/>
      <c r="C744" s="1371"/>
      <c r="D744" s="1371"/>
      <c r="E744" s="1371"/>
      <c r="F744" s="1372"/>
      <c r="G744" s="1379"/>
      <c r="H744" s="1380"/>
      <c r="I744" s="1380"/>
      <c r="J744" s="1381"/>
      <c r="K744" s="1612"/>
      <c r="L744" s="1613"/>
      <c r="M744" s="1613"/>
      <c r="N744" s="1614"/>
      <c r="O744" s="1489"/>
      <c r="P744" s="1490"/>
      <c r="Q744" s="1490"/>
      <c r="R744" s="1490"/>
      <c r="S744" s="1491"/>
      <c r="T744" s="1489"/>
      <c r="U744" s="1490"/>
      <c r="V744" s="1490"/>
      <c r="W744" s="1491"/>
      <c r="X744" s="1373">
        <f t="shared" si="40"/>
        <v>0</v>
      </c>
      <c r="Y744" s="1374"/>
      <c r="Z744" s="1374"/>
      <c r="AA744" s="1374"/>
      <c r="AB744" s="1375"/>
      <c r="AC744" s="1616"/>
      <c r="AD744" s="1617"/>
      <c r="AE744" s="1617"/>
      <c r="AF744" s="1617"/>
      <c r="AG744" s="1618"/>
      <c r="AH744" s="1376" t="str">
        <f t="shared" si="37"/>
        <v/>
      </c>
      <c r="AI744" s="1377"/>
      <c r="AJ744" s="1378"/>
      <c r="AK744" s="1370" t="s">
        <v>591</v>
      </c>
      <c r="AL744" s="1371"/>
      <c r="AM744" s="1371"/>
      <c r="AN744" s="1371"/>
      <c r="AO744" s="1372"/>
      <c r="AP744" s="3"/>
      <c r="AQ744" s="3"/>
      <c r="AR744" s="3"/>
      <c r="AS744" s="3"/>
      <c r="AY744" s="1087"/>
      <c r="AZ744" s="118" t="str">
        <f>IF($G744=0,"N/A",VLOOKUP($T$189,TC_Rent,(MATCH($B744,bedrooms,FALSE)),FALSE))</f>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366">
        <f t="shared" si="38"/>
        <v>0</v>
      </c>
      <c r="CH744" s="1368"/>
      <c r="CI744" s="1350">
        <f t="shared" si="39"/>
        <v>0</v>
      </c>
      <c r="CJ744" s="1352"/>
      <c r="CK744" s="1366">
        <f t="shared" si="17"/>
        <v>0</v>
      </c>
      <c r="CL744" s="1368"/>
      <c r="CM744" s="1350">
        <f t="shared" si="18"/>
        <v>0</v>
      </c>
      <c r="CN744" s="1352"/>
      <c r="CO744" s="3"/>
      <c r="CP744" s="1347">
        <f t="shared" si="19"/>
        <v>0</v>
      </c>
      <c r="CQ744" s="1348"/>
      <c r="CR744" s="1348"/>
      <c r="CS744" s="1348"/>
      <c r="CT744" s="1349"/>
      <c r="CU744" s="1369">
        <f t="shared" si="20"/>
        <v>0</v>
      </c>
      <c r="CV744" s="1369"/>
      <c r="CW744" s="1369"/>
      <c r="CX744" s="1369"/>
      <c r="CY744" s="1369"/>
      <c r="CZ744" s="1369">
        <f t="shared" si="21"/>
        <v>0</v>
      </c>
      <c r="DA744" s="1369"/>
      <c r="DB744" s="1369"/>
      <c r="DC744" s="1369"/>
      <c r="DD744" s="1369"/>
      <c r="DE744" s="1369">
        <f t="shared" si="22"/>
        <v>0</v>
      </c>
      <c r="DF744" s="1369"/>
      <c r="DG744" s="1369"/>
      <c r="DH744" s="1369"/>
      <c r="DI744" s="1369"/>
      <c r="DJ744" s="1369">
        <f t="shared" si="23"/>
        <v>0</v>
      </c>
      <c r="DK744" s="1369"/>
      <c r="DL744" s="1369"/>
      <c r="DM744" s="1369"/>
      <c r="DN744" s="1369"/>
      <c r="DO744" s="1369">
        <f t="shared" si="24"/>
        <v>0</v>
      </c>
      <c r="DP744" s="1369"/>
      <c r="DQ744" s="1369"/>
      <c r="DR744" s="1369"/>
      <c r="DS744" s="1369"/>
      <c r="DT744" s="6"/>
      <c r="DU744" s="1383">
        <f t="shared" si="25"/>
        <v>0</v>
      </c>
      <c r="DV744" s="1383"/>
      <c r="DW744" s="1383"/>
      <c r="DX744" s="1383"/>
      <c r="DY744" s="1383"/>
      <c r="DZ744" s="1383">
        <f t="shared" si="26"/>
        <v>0</v>
      </c>
      <c r="EA744" s="1383"/>
      <c r="EB744" s="1383"/>
      <c r="EC744" s="1383"/>
      <c r="ED744" s="1383"/>
      <c r="EE744" s="1383">
        <f t="shared" si="27"/>
        <v>0</v>
      </c>
      <c r="EF744" s="1383"/>
      <c r="EG744" s="1383"/>
      <c r="EH744" s="1383"/>
      <c r="EI744" s="1383"/>
      <c r="EJ744" s="1383">
        <f t="shared" si="28"/>
        <v>0</v>
      </c>
      <c r="EK744" s="1383"/>
      <c r="EL744" s="1383"/>
      <c r="EM744" s="1383"/>
      <c r="EN744" s="1383"/>
      <c r="EO744" s="1383">
        <f t="shared" si="29"/>
        <v>0</v>
      </c>
      <c r="EP744" s="1383"/>
      <c r="EQ744" s="1383"/>
      <c r="ER744" s="1383"/>
      <c r="ES744" s="1383"/>
      <c r="ET744" s="1383">
        <f t="shared" si="30"/>
        <v>0</v>
      </c>
      <c r="EU744" s="1383"/>
      <c r="EV744" s="1383"/>
      <c r="EW744" s="1383"/>
      <c r="EX744" s="1383"/>
      <c r="EZ744" s="1366" t="str">
        <f t="shared" si="31"/>
        <v/>
      </c>
      <c r="FA744" s="1367"/>
      <c r="FB744" s="1367"/>
      <c r="FC744" s="1367"/>
      <c r="FD744" s="1368"/>
      <c r="FE744" s="1366" t="str">
        <f t="shared" si="32"/>
        <v/>
      </c>
      <c r="FF744" s="1367"/>
      <c r="FG744" s="1367"/>
      <c r="FH744" s="1367"/>
      <c r="FI744" s="1368"/>
      <c r="FJ744" s="1366" t="str">
        <f t="shared" si="33"/>
        <v/>
      </c>
      <c r="FK744" s="1367"/>
      <c r="FL744" s="1367"/>
      <c r="FM744" s="1367"/>
      <c r="FN744" s="1368"/>
      <c r="FO744" s="1366" t="str">
        <f t="shared" si="34"/>
        <v/>
      </c>
      <c r="FP744" s="1367"/>
      <c r="FQ744" s="1367"/>
      <c r="FR744" s="1367"/>
      <c r="FS744" s="1368"/>
      <c r="FT744" s="1366" t="str">
        <f t="shared" si="35"/>
        <v/>
      </c>
      <c r="FU744" s="1367"/>
      <c r="FV744" s="1367"/>
      <c r="FW744" s="1367"/>
      <c r="FX744" s="1368"/>
      <c r="FY744" s="1366" t="str">
        <f t="shared" si="36"/>
        <v/>
      </c>
      <c r="FZ744" s="1367"/>
      <c r="GA744" s="1367"/>
      <c r="GB744" s="1367"/>
      <c r="GC744" s="1368"/>
    </row>
    <row r="745" spans="1:185" ht="12.95" customHeight="1">
      <c r="B745" s="1370"/>
      <c r="C745" s="1371"/>
      <c r="D745" s="1371"/>
      <c r="E745" s="1371"/>
      <c r="F745" s="1372"/>
      <c r="G745" s="1379"/>
      <c r="H745" s="1380"/>
      <c r="I745" s="1380"/>
      <c r="J745" s="1381"/>
      <c r="K745" s="1612"/>
      <c r="L745" s="1613"/>
      <c r="M745" s="1613"/>
      <c r="N745" s="1614"/>
      <c r="O745" s="1489"/>
      <c r="P745" s="1490"/>
      <c r="Q745" s="1490"/>
      <c r="R745" s="1490"/>
      <c r="S745" s="1491"/>
      <c r="T745" s="1489"/>
      <c r="U745" s="1490"/>
      <c r="V745" s="1490"/>
      <c r="W745" s="1491"/>
      <c r="X745" s="1373">
        <f t="shared" si="40"/>
        <v>0</v>
      </c>
      <c r="Y745" s="1374"/>
      <c r="Z745" s="1374"/>
      <c r="AA745" s="1374"/>
      <c r="AB745" s="1375"/>
      <c r="AC745" s="1616"/>
      <c r="AD745" s="1617"/>
      <c r="AE745" s="1617"/>
      <c r="AF745" s="1617"/>
      <c r="AG745" s="1618"/>
      <c r="AH745" s="1376" t="str">
        <f t="shared" si="37"/>
        <v/>
      </c>
      <c r="AI745" s="1377"/>
      <c r="AJ745" s="1378"/>
      <c r="AK745" s="1370" t="s">
        <v>591</v>
      </c>
      <c r="AL745" s="1371"/>
      <c r="AM745" s="1371"/>
      <c r="AN745" s="1371"/>
      <c r="AO745" s="1372"/>
      <c r="AP745" s="3"/>
      <c r="AQ745" s="3"/>
      <c r="AR745" s="3"/>
      <c r="AS745" s="3"/>
      <c r="AY745" s="1087"/>
      <c r="AZ745" s="118" t="str">
        <f>IF($G745=0,"N/A",VLOOKUP($T$189,TC_Rent,(MATCH($B745,bedrooms,FALSE)),FALSE))</f>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366">
        <f t="shared" si="38"/>
        <v>0</v>
      </c>
      <c r="CH745" s="1368"/>
      <c r="CI745" s="1350">
        <f t="shared" si="39"/>
        <v>0</v>
      </c>
      <c r="CJ745" s="1352"/>
      <c r="CK745" s="1366">
        <f t="shared" si="17"/>
        <v>0</v>
      </c>
      <c r="CL745" s="1368"/>
      <c r="CM745" s="1350">
        <f t="shared" si="18"/>
        <v>0</v>
      </c>
      <c r="CN745" s="1352"/>
      <c r="CO745" s="3"/>
      <c r="CP745" s="1347">
        <f t="shared" si="19"/>
        <v>0</v>
      </c>
      <c r="CQ745" s="1348"/>
      <c r="CR745" s="1348"/>
      <c r="CS745" s="1348"/>
      <c r="CT745" s="1349"/>
      <c r="CU745" s="1369">
        <f t="shared" si="20"/>
        <v>0</v>
      </c>
      <c r="CV745" s="1369"/>
      <c r="CW745" s="1369"/>
      <c r="CX745" s="1369"/>
      <c r="CY745" s="1369"/>
      <c r="CZ745" s="1369">
        <f t="shared" si="21"/>
        <v>0</v>
      </c>
      <c r="DA745" s="1369"/>
      <c r="DB745" s="1369"/>
      <c r="DC745" s="1369"/>
      <c r="DD745" s="1369"/>
      <c r="DE745" s="1369">
        <f t="shared" si="22"/>
        <v>0</v>
      </c>
      <c r="DF745" s="1369"/>
      <c r="DG745" s="1369"/>
      <c r="DH745" s="1369"/>
      <c r="DI745" s="1369"/>
      <c r="DJ745" s="1369">
        <f t="shared" si="23"/>
        <v>0</v>
      </c>
      <c r="DK745" s="1369"/>
      <c r="DL745" s="1369"/>
      <c r="DM745" s="1369"/>
      <c r="DN745" s="1369"/>
      <c r="DO745" s="1369">
        <f t="shared" si="24"/>
        <v>0</v>
      </c>
      <c r="DP745" s="1369"/>
      <c r="DQ745" s="1369"/>
      <c r="DR745" s="1369"/>
      <c r="DS745" s="1369"/>
      <c r="DT745" s="6"/>
      <c r="DU745" s="1383">
        <f t="shared" si="25"/>
        <v>0</v>
      </c>
      <c r="DV745" s="1383"/>
      <c r="DW745" s="1383"/>
      <c r="DX745" s="1383"/>
      <c r="DY745" s="1383"/>
      <c r="DZ745" s="1383">
        <f t="shared" si="26"/>
        <v>0</v>
      </c>
      <c r="EA745" s="1383"/>
      <c r="EB745" s="1383"/>
      <c r="EC745" s="1383"/>
      <c r="ED745" s="1383"/>
      <c r="EE745" s="1383">
        <f t="shared" si="27"/>
        <v>0</v>
      </c>
      <c r="EF745" s="1383"/>
      <c r="EG745" s="1383"/>
      <c r="EH745" s="1383"/>
      <c r="EI745" s="1383"/>
      <c r="EJ745" s="1383">
        <f t="shared" si="28"/>
        <v>0</v>
      </c>
      <c r="EK745" s="1383"/>
      <c r="EL745" s="1383"/>
      <c r="EM745" s="1383"/>
      <c r="EN745" s="1383"/>
      <c r="EO745" s="1383">
        <f t="shared" si="29"/>
        <v>0</v>
      </c>
      <c r="EP745" s="1383"/>
      <c r="EQ745" s="1383"/>
      <c r="ER745" s="1383"/>
      <c r="ES745" s="1383"/>
      <c r="ET745" s="1383">
        <f t="shared" si="30"/>
        <v>0</v>
      </c>
      <c r="EU745" s="1383"/>
      <c r="EV745" s="1383"/>
      <c r="EW745" s="1383"/>
      <c r="EX745" s="1383"/>
      <c r="EZ745" s="1366" t="str">
        <f t="shared" si="31"/>
        <v/>
      </c>
      <c r="FA745" s="1367"/>
      <c r="FB745" s="1367"/>
      <c r="FC745" s="1367"/>
      <c r="FD745" s="1368"/>
      <c r="FE745" s="1366" t="str">
        <f t="shared" si="32"/>
        <v/>
      </c>
      <c r="FF745" s="1367"/>
      <c r="FG745" s="1367"/>
      <c r="FH745" s="1367"/>
      <c r="FI745" s="1368"/>
      <c r="FJ745" s="1366" t="str">
        <f t="shared" si="33"/>
        <v/>
      </c>
      <c r="FK745" s="1367"/>
      <c r="FL745" s="1367"/>
      <c r="FM745" s="1367"/>
      <c r="FN745" s="1368"/>
      <c r="FO745" s="1366" t="str">
        <f t="shared" si="34"/>
        <v/>
      </c>
      <c r="FP745" s="1367"/>
      <c r="FQ745" s="1367"/>
      <c r="FR745" s="1367"/>
      <c r="FS745" s="1368"/>
      <c r="FT745" s="1366" t="str">
        <f t="shared" si="35"/>
        <v/>
      </c>
      <c r="FU745" s="1367"/>
      <c r="FV745" s="1367"/>
      <c r="FW745" s="1367"/>
      <c r="FX745" s="1368"/>
      <c r="FY745" s="1366" t="str">
        <f t="shared" si="36"/>
        <v/>
      </c>
      <c r="FZ745" s="1367"/>
      <c r="GA745" s="1367"/>
      <c r="GB745" s="1367"/>
      <c r="GC745" s="1368"/>
    </row>
    <row r="746" spans="1:185" ht="12.95" customHeight="1">
      <c r="B746" s="1370"/>
      <c r="C746" s="1371"/>
      <c r="D746" s="1371"/>
      <c r="E746" s="1371"/>
      <c r="F746" s="1372"/>
      <c r="G746" s="1379"/>
      <c r="H746" s="1380"/>
      <c r="I746" s="1380"/>
      <c r="J746" s="1381"/>
      <c r="K746" s="1612"/>
      <c r="L746" s="1613"/>
      <c r="M746" s="1613"/>
      <c r="N746" s="1614"/>
      <c r="O746" s="1489"/>
      <c r="P746" s="1490"/>
      <c r="Q746" s="1490"/>
      <c r="R746" s="1490"/>
      <c r="S746" s="1491"/>
      <c r="T746" s="1489"/>
      <c r="U746" s="1490"/>
      <c r="V746" s="1490"/>
      <c r="W746" s="1491"/>
      <c r="X746" s="1373">
        <f t="shared" si="40"/>
        <v>0</v>
      </c>
      <c r="Y746" s="1374"/>
      <c r="Z746" s="1374"/>
      <c r="AA746" s="1374"/>
      <c r="AB746" s="1375"/>
      <c r="AC746" s="1616"/>
      <c r="AD746" s="1617"/>
      <c r="AE746" s="1617"/>
      <c r="AF746" s="1617"/>
      <c r="AG746" s="1618"/>
      <c r="AH746" s="1376" t="str">
        <f t="shared" si="37"/>
        <v/>
      </c>
      <c r="AI746" s="1377"/>
      <c r="AJ746" s="1378"/>
      <c r="AK746" s="1370" t="s">
        <v>591</v>
      </c>
      <c r="AL746" s="1371"/>
      <c r="AM746" s="1371"/>
      <c r="AN746" s="1371"/>
      <c r="AO746" s="1372"/>
      <c r="AP746" s="3"/>
      <c r="AQ746" s="3"/>
      <c r="AR746" s="3"/>
      <c r="AS746" s="3"/>
      <c r="AY746" s="1087"/>
      <c r="AZ746" s="118" t="str">
        <f>IF($G746=0,"N/A",VLOOKUP($T$189,TC_Rent,(MATCH($B746,bedrooms,FALSE)),FALSE))</f>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366">
        <f t="shared" si="38"/>
        <v>0</v>
      </c>
      <c r="CH746" s="1368"/>
      <c r="CI746" s="1350">
        <f t="shared" si="39"/>
        <v>0</v>
      </c>
      <c r="CJ746" s="1352"/>
      <c r="CK746" s="1366">
        <f t="shared" si="17"/>
        <v>0</v>
      </c>
      <c r="CL746" s="1368"/>
      <c r="CM746" s="1350">
        <f t="shared" si="18"/>
        <v>0</v>
      </c>
      <c r="CN746" s="1352"/>
      <c r="CO746" s="3"/>
      <c r="CP746" s="1347">
        <f t="shared" si="19"/>
        <v>0</v>
      </c>
      <c r="CQ746" s="1348"/>
      <c r="CR746" s="1348"/>
      <c r="CS746" s="1348"/>
      <c r="CT746" s="1349"/>
      <c r="CU746" s="1369">
        <f t="shared" si="20"/>
        <v>0</v>
      </c>
      <c r="CV746" s="1369"/>
      <c r="CW746" s="1369"/>
      <c r="CX746" s="1369"/>
      <c r="CY746" s="1369"/>
      <c r="CZ746" s="1369">
        <f t="shared" si="21"/>
        <v>0</v>
      </c>
      <c r="DA746" s="1369"/>
      <c r="DB746" s="1369"/>
      <c r="DC746" s="1369"/>
      <c r="DD746" s="1369"/>
      <c r="DE746" s="1369">
        <f t="shared" si="22"/>
        <v>0</v>
      </c>
      <c r="DF746" s="1369"/>
      <c r="DG746" s="1369"/>
      <c r="DH746" s="1369"/>
      <c r="DI746" s="1369"/>
      <c r="DJ746" s="1369">
        <f t="shared" si="23"/>
        <v>0</v>
      </c>
      <c r="DK746" s="1369"/>
      <c r="DL746" s="1369"/>
      <c r="DM746" s="1369"/>
      <c r="DN746" s="1369"/>
      <c r="DO746" s="1369">
        <f t="shared" si="24"/>
        <v>0</v>
      </c>
      <c r="DP746" s="1369"/>
      <c r="DQ746" s="1369"/>
      <c r="DR746" s="1369"/>
      <c r="DS746" s="1369"/>
      <c r="DT746" s="6"/>
      <c r="DU746" s="1383">
        <f t="shared" si="25"/>
        <v>0</v>
      </c>
      <c r="DV746" s="1383"/>
      <c r="DW746" s="1383"/>
      <c r="DX746" s="1383"/>
      <c r="DY746" s="1383"/>
      <c r="DZ746" s="1383">
        <f t="shared" si="26"/>
        <v>0</v>
      </c>
      <c r="EA746" s="1383"/>
      <c r="EB746" s="1383"/>
      <c r="EC746" s="1383"/>
      <c r="ED746" s="1383"/>
      <c r="EE746" s="1383">
        <f t="shared" si="27"/>
        <v>0</v>
      </c>
      <c r="EF746" s="1383"/>
      <c r="EG746" s="1383"/>
      <c r="EH746" s="1383"/>
      <c r="EI746" s="1383"/>
      <c r="EJ746" s="1383">
        <f t="shared" si="28"/>
        <v>0</v>
      </c>
      <c r="EK746" s="1383"/>
      <c r="EL746" s="1383"/>
      <c r="EM746" s="1383"/>
      <c r="EN746" s="1383"/>
      <c r="EO746" s="1383">
        <f t="shared" si="29"/>
        <v>0</v>
      </c>
      <c r="EP746" s="1383"/>
      <c r="EQ746" s="1383"/>
      <c r="ER746" s="1383"/>
      <c r="ES746" s="1383"/>
      <c r="ET746" s="1383">
        <f t="shared" si="30"/>
        <v>0</v>
      </c>
      <c r="EU746" s="1383"/>
      <c r="EV746" s="1383"/>
      <c r="EW746" s="1383"/>
      <c r="EX746" s="1383"/>
      <c r="EZ746" s="1366" t="str">
        <f t="shared" si="31"/>
        <v/>
      </c>
      <c r="FA746" s="1367"/>
      <c r="FB746" s="1367"/>
      <c r="FC746" s="1367"/>
      <c r="FD746" s="1368"/>
      <c r="FE746" s="1366" t="str">
        <f t="shared" si="32"/>
        <v/>
      </c>
      <c r="FF746" s="1367"/>
      <c r="FG746" s="1367"/>
      <c r="FH746" s="1367"/>
      <c r="FI746" s="1368"/>
      <c r="FJ746" s="1366" t="str">
        <f t="shared" si="33"/>
        <v/>
      </c>
      <c r="FK746" s="1367"/>
      <c r="FL746" s="1367"/>
      <c r="FM746" s="1367"/>
      <c r="FN746" s="1368"/>
      <c r="FO746" s="1366" t="str">
        <f t="shared" si="34"/>
        <v/>
      </c>
      <c r="FP746" s="1367"/>
      <c r="FQ746" s="1367"/>
      <c r="FR746" s="1367"/>
      <c r="FS746" s="1368"/>
      <c r="FT746" s="1366" t="str">
        <f t="shared" si="35"/>
        <v/>
      </c>
      <c r="FU746" s="1367"/>
      <c r="FV746" s="1367"/>
      <c r="FW746" s="1367"/>
      <c r="FX746" s="1368"/>
      <c r="FY746" s="1366" t="str">
        <f t="shared" si="36"/>
        <v/>
      </c>
      <c r="FZ746" s="1367"/>
      <c r="GA746" s="1367"/>
      <c r="GB746" s="1367"/>
      <c r="GC746" s="1368"/>
    </row>
    <row r="747" spans="1:185" ht="12.95" customHeight="1">
      <c r="B747" s="1370"/>
      <c r="C747" s="1371"/>
      <c r="D747" s="1371"/>
      <c r="E747" s="1371"/>
      <c r="F747" s="1372"/>
      <c r="G747" s="1379"/>
      <c r="H747" s="1380"/>
      <c r="I747" s="1380"/>
      <c r="J747" s="1381"/>
      <c r="K747" s="1612"/>
      <c r="L747" s="1613"/>
      <c r="M747" s="1613"/>
      <c r="N747" s="1614"/>
      <c r="O747" s="1489"/>
      <c r="P747" s="1490"/>
      <c r="Q747" s="1490"/>
      <c r="R747" s="1490"/>
      <c r="S747" s="1491"/>
      <c r="T747" s="1489"/>
      <c r="U747" s="1490"/>
      <c r="V747" s="1490"/>
      <c r="W747" s="1491"/>
      <c r="X747" s="1373">
        <f t="shared" si="40"/>
        <v>0</v>
      </c>
      <c r="Y747" s="1374"/>
      <c r="Z747" s="1374"/>
      <c r="AA747" s="1374"/>
      <c r="AB747" s="1375"/>
      <c r="AC747" s="1616"/>
      <c r="AD747" s="1617"/>
      <c r="AE747" s="1617"/>
      <c r="AF747" s="1617"/>
      <c r="AG747" s="1618"/>
      <c r="AH747" s="1376" t="str">
        <f t="shared" si="37"/>
        <v/>
      </c>
      <c r="AI747" s="1377"/>
      <c r="AJ747" s="1378"/>
      <c r="AK747" s="1370" t="s">
        <v>591</v>
      </c>
      <c r="AL747" s="1371"/>
      <c r="AM747" s="1371"/>
      <c r="AN747" s="1371"/>
      <c r="AO747" s="1372"/>
      <c r="AP747" s="3"/>
      <c r="AQ747" s="3"/>
      <c r="AR747" s="3"/>
      <c r="AS747" s="3"/>
      <c r="AY747" s="1087"/>
      <c r="AZ747" s="118" t="str">
        <f>IF($G747=0,"N/A",VLOOKUP($T$189,TC_Rent,(MATCH($B747,bedrooms,FALSE)),FALSE))</f>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366">
        <f t="shared" si="38"/>
        <v>0</v>
      </c>
      <c r="CH747" s="1368"/>
      <c r="CI747" s="1350">
        <f t="shared" si="39"/>
        <v>0</v>
      </c>
      <c r="CJ747" s="1352"/>
      <c r="CK747" s="1366">
        <f t="shared" si="17"/>
        <v>0</v>
      </c>
      <c r="CL747" s="1368"/>
      <c r="CM747" s="1350">
        <f t="shared" si="18"/>
        <v>0</v>
      </c>
      <c r="CN747" s="1352"/>
      <c r="CO747" s="3"/>
      <c r="CP747" s="1347">
        <f t="shared" si="19"/>
        <v>0</v>
      </c>
      <c r="CQ747" s="1348"/>
      <c r="CR747" s="1348"/>
      <c r="CS747" s="1348"/>
      <c r="CT747" s="1349"/>
      <c r="CU747" s="1369">
        <f t="shared" si="20"/>
        <v>0</v>
      </c>
      <c r="CV747" s="1369"/>
      <c r="CW747" s="1369"/>
      <c r="CX747" s="1369"/>
      <c r="CY747" s="1369"/>
      <c r="CZ747" s="1369">
        <f t="shared" si="21"/>
        <v>0</v>
      </c>
      <c r="DA747" s="1369"/>
      <c r="DB747" s="1369"/>
      <c r="DC747" s="1369"/>
      <c r="DD747" s="1369"/>
      <c r="DE747" s="1369">
        <f t="shared" si="22"/>
        <v>0</v>
      </c>
      <c r="DF747" s="1369"/>
      <c r="DG747" s="1369"/>
      <c r="DH747" s="1369"/>
      <c r="DI747" s="1369"/>
      <c r="DJ747" s="1369">
        <f t="shared" si="23"/>
        <v>0</v>
      </c>
      <c r="DK747" s="1369"/>
      <c r="DL747" s="1369"/>
      <c r="DM747" s="1369"/>
      <c r="DN747" s="1369"/>
      <c r="DO747" s="1369">
        <f t="shared" si="24"/>
        <v>0</v>
      </c>
      <c r="DP747" s="1369"/>
      <c r="DQ747" s="1369"/>
      <c r="DR747" s="1369"/>
      <c r="DS747" s="1369"/>
      <c r="DT747" s="6"/>
      <c r="DU747" s="1383">
        <f t="shared" si="25"/>
        <v>0</v>
      </c>
      <c r="DV747" s="1383"/>
      <c r="DW747" s="1383"/>
      <c r="DX747" s="1383"/>
      <c r="DY747" s="1383"/>
      <c r="DZ747" s="1383">
        <f t="shared" si="26"/>
        <v>0</v>
      </c>
      <c r="EA747" s="1383"/>
      <c r="EB747" s="1383"/>
      <c r="EC747" s="1383"/>
      <c r="ED747" s="1383"/>
      <c r="EE747" s="1383">
        <f t="shared" si="27"/>
        <v>0</v>
      </c>
      <c r="EF747" s="1383"/>
      <c r="EG747" s="1383"/>
      <c r="EH747" s="1383"/>
      <c r="EI747" s="1383"/>
      <c r="EJ747" s="1383">
        <f t="shared" si="28"/>
        <v>0</v>
      </c>
      <c r="EK747" s="1383"/>
      <c r="EL747" s="1383"/>
      <c r="EM747" s="1383"/>
      <c r="EN747" s="1383"/>
      <c r="EO747" s="1383">
        <f t="shared" si="29"/>
        <v>0</v>
      </c>
      <c r="EP747" s="1383"/>
      <c r="EQ747" s="1383"/>
      <c r="ER747" s="1383"/>
      <c r="ES747" s="1383"/>
      <c r="ET747" s="1383">
        <f t="shared" si="30"/>
        <v>0</v>
      </c>
      <c r="EU747" s="1383"/>
      <c r="EV747" s="1383"/>
      <c r="EW747" s="1383"/>
      <c r="EX747" s="1383"/>
      <c r="EZ747" s="1366" t="str">
        <f t="shared" si="31"/>
        <v/>
      </c>
      <c r="FA747" s="1367"/>
      <c r="FB747" s="1367"/>
      <c r="FC747" s="1367"/>
      <c r="FD747" s="1368"/>
      <c r="FE747" s="1366" t="str">
        <f t="shared" si="32"/>
        <v/>
      </c>
      <c r="FF747" s="1367"/>
      <c r="FG747" s="1367"/>
      <c r="FH747" s="1367"/>
      <c r="FI747" s="1368"/>
      <c r="FJ747" s="1366" t="str">
        <f t="shared" si="33"/>
        <v/>
      </c>
      <c r="FK747" s="1367"/>
      <c r="FL747" s="1367"/>
      <c r="FM747" s="1367"/>
      <c r="FN747" s="1368"/>
      <c r="FO747" s="1366" t="str">
        <f t="shared" si="34"/>
        <v/>
      </c>
      <c r="FP747" s="1367"/>
      <c r="FQ747" s="1367"/>
      <c r="FR747" s="1367"/>
      <c r="FS747" s="1368"/>
      <c r="FT747" s="1366" t="str">
        <f t="shared" si="35"/>
        <v/>
      </c>
      <c r="FU747" s="1367"/>
      <c r="FV747" s="1367"/>
      <c r="FW747" s="1367"/>
      <c r="FX747" s="1368"/>
      <c r="FY747" s="1366" t="str">
        <f t="shared" si="36"/>
        <v/>
      </c>
      <c r="FZ747" s="1367"/>
      <c r="GA747" s="1367"/>
      <c r="GB747" s="1367"/>
      <c r="GC747" s="1368"/>
    </row>
    <row r="748" spans="1:185" s="3" customFormat="1" ht="12.95" customHeight="1">
      <c r="A748"/>
      <c r="B748" s="1370"/>
      <c r="C748" s="1371"/>
      <c r="D748" s="1371"/>
      <c r="E748" s="1371"/>
      <c r="F748" s="1372"/>
      <c r="G748" s="1379"/>
      <c r="H748" s="1380"/>
      <c r="I748" s="1380"/>
      <c r="J748" s="1381"/>
      <c r="K748" s="1612"/>
      <c r="L748" s="1613"/>
      <c r="M748" s="1613"/>
      <c r="N748" s="1614"/>
      <c r="O748" s="1489"/>
      <c r="P748" s="1490"/>
      <c r="Q748" s="1490"/>
      <c r="R748" s="1490"/>
      <c r="S748" s="1491"/>
      <c r="T748" s="1489"/>
      <c r="U748" s="1490"/>
      <c r="V748" s="1490"/>
      <c r="W748" s="1491"/>
      <c r="X748" s="1373">
        <f t="shared" si="40"/>
        <v>0</v>
      </c>
      <c r="Y748" s="1374"/>
      <c r="Z748" s="1374"/>
      <c r="AA748" s="1374"/>
      <c r="AB748" s="1375"/>
      <c r="AC748" s="1616"/>
      <c r="AD748" s="1617"/>
      <c r="AE748" s="1617"/>
      <c r="AF748" s="1617"/>
      <c r="AG748" s="1618"/>
      <c r="AH748" s="1376" t="str">
        <f t="shared" si="37"/>
        <v/>
      </c>
      <c r="AI748" s="1377"/>
      <c r="AJ748" s="1378"/>
      <c r="AK748" s="1370" t="s">
        <v>591</v>
      </c>
      <c r="AL748" s="1371"/>
      <c r="AM748" s="1371"/>
      <c r="AN748" s="1371"/>
      <c r="AO748" s="1372"/>
      <c r="AT748"/>
      <c r="AU748"/>
      <c r="AV748"/>
      <c r="AW748"/>
      <c r="AX748"/>
      <c r="AY748" s="1087"/>
      <c r="AZ748" s="118" t="str">
        <f>IF($G748=0,"N/A",VLOOKUP($T$189,TC_Rent,(MATCH($B748,bedrooms,FALSE)),FALSE))</f>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366">
        <f t="shared" si="38"/>
        <v>0</v>
      </c>
      <c r="CH748" s="1368"/>
      <c r="CI748" s="1350">
        <f t="shared" si="39"/>
        <v>0</v>
      </c>
      <c r="CJ748" s="1352"/>
      <c r="CK748" s="1366">
        <f t="shared" si="17"/>
        <v>0</v>
      </c>
      <c r="CL748" s="1368"/>
      <c r="CM748" s="1350">
        <f t="shared" si="18"/>
        <v>0</v>
      </c>
      <c r="CN748" s="1352"/>
      <c r="CP748" s="1347">
        <f t="shared" si="19"/>
        <v>0</v>
      </c>
      <c r="CQ748" s="1348"/>
      <c r="CR748" s="1348"/>
      <c r="CS748" s="1348"/>
      <c r="CT748" s="1349"/>
      <c r="CU748" s="1369">
        <f t="shared" si="20"/>
        <v>0</v>
      </c>
      <c r="CV748" s="1369"/>
      <c r="CW748" s="1369"/>
      <c r="CX748" s="1369"/>
      <c r="CY748" s="1369"/>
      <c r="CZ748" s="1369">
        <f t="shared" si="21"/>
        <v>0</v>
      </c>
      <c r="DA748" s="1369"/>
      <c r="DB748" s="1369"/>
      <c r="DC748" s="1369"/>
      <c r="DD748" s="1369"/>
      <c r="DE748" s="1369">
        <f t="shared" si="22"/>
        <v>0</v>
      </c>
      <c r="DF748" s="1369"/>
      <c r="DG748" s="1369"/>
      <c r="DH748" s="1369"/>
      <c r="DI748" s="1369"/>
      <c r="DJ748" s="1369">
        <f t="shared" si="23"/>
        <v>0</v>
      </c>
      <c r="DK748" s="1369"/>
      <c r="DL748" s="1369"/>
      <c r="DM748" s="1369"/>
      <c r="DN748" s="1369"/>
      <c r="DO748" s="1369">
        <f t="shared" si="24"/>
        <v>0</v>
      </c>
      <c r="DP748" s="1369"/>
      <c r="DQ748" s="1369"/>
      <c r="DR748" s="1369"/>
      <c r="DS748" s="1369"/>
      <c r="DT748" s="6"/>
      <c r="DU748" s="1383">
        <f t="shared" si="25"/>
        <v>0</v>
      </c>
      <c r="DV748" s="1383"/>
      <c r="DW748" s="1383"/>
      <c r="DX748" s="1383"/>
      <c r="DY748" s="1383"/>
      <c r="DZ748" s="1383">
        <f t="shared" si="26"/>
        <v>0</v>
      </c>
      <c r="EA748" s="1383"/>
      <c r="EB748" s="1383"/>
      <c r="EC748" s="1383"/>
      <c r="ED748" s="1383"/>
      <c r="EE748" s="1383">
        <f t="shared" si="27"/>
        <v>0</v>
      </c>
      <c r="EF748" s="1383"/>
      <c r="EG748" s="1383"/>
      <c r="EH748" s="1383"/>
      <c r="EI748" s="1383"/>
      <c r="EJ748" s="1383">
        <f t="shared" si="28"/>
        <v>0</v>
      </c>
      <c r="EK748" s="1383"/>
      <c r="EL748" s="1383"/>
      <c r="EM748" s="1383"/>
      <c r="EN748" s="1383"/>
      <c r="EO748" s="1383">
        <f t="shared" si="29"/>
        <v>0</v>
      </c>
      <c r="EP748" s="1383"/>
      <c r="EQ748" s="1383"/>
      <c r="ER748" s="1383"/>
      <c r="ES748" s="1383"/>
      <c r="ET748" s="1383">
        <f t="shared" si="30"/>
        <v>0</v>
      </c>
      <c r="EU748" s="1383"/>
      <c r="EV748" s="1383"/>
      <c r="EW748" s="1383"/>
      <c r="EX748" s="1383"/>
      <c r="EY748"/>
      <c r="EZ748" s="1366" t="str">
        <f t="shared" si="31"/>
        <v/>
      </c>
      <c r="FA748" s="1367"/>
      <c r="FB748" s="1367"/>
      <c r="FC748" s="1367"/>
      <c r="FD748" s="1368"/>
      <c r="FE748" s="1366" t="str">
        <f t="shared" si="32"/>
        <v/>
      </c>
      <c r="FF748" s="1367"/>
      <c r="FG748" s="1367"/>
      <c r="FH748" s="1367"/>
      <c r="FI748" s="1368"/>
      <c r="FJ748" s="1366" t="str">
        <f t="shared" si="33"/>
        <v/>
      </c>
      <c r="FK748" s="1367"/>
      <c r="FL748" s="1367"/>
      <c r="FM748" s="1367"/>
      <c r="FN748" s="1368"/>
      <c r="FO748" s="1366" t="str">
        <f t="shared" si="34"/>
        <v/>
      </c>
      <c r="FP748" s="1367"/>
      <c r="FQ748" s="1367"/>
      <c r="FR748" s="1367"/>
      <c r="FS748" s="1368"/>
      <c r="FT748" s="1366" t="str">
        <f t="shared" si="35"/>
        <v/>
      </c>
      <c r="FU748" s="1367"/>
      <c r="FV748" s="1367"/>
      <c r="FW748" s="1367"/>
      <c r="FX748" s="1368"/>
      <c r="FY748" s="1366" t="str">
        <f t="shared" si="36"/>
        <v/>
      </c>
      <c r="FZ748" s="1367"/>
      <c r="GA748" s="1367"/>
      <c r="GB748" s="1367"/>
      <c r="GC748" s="1368"/>
    </row>
    <row r="749" spans="1:185" s="3" customFormat="1" ht="12.95" customHeight="1">
      <c r="A749"/>
      <c r="B749" s="1370"/>
      <c r="C749" s="1371"/>
      <c r="D749" s="1371"/>
      <c r="E749" s="1371"/>
      <c r="F749" s="1372"/>
      <c r="G749" s="1379"/>
      <c r="H749" s="1380"/>
      <c r="I749" s="1380"/>
      <c r="J749" s="1381"/>
      <c r="K749" s="1612"/>
      <c r="L749" s="1613"/>
      <c r="M749" s="1613"/>
      <c r="N749" s="1614"/>
      <c r="O749" s="1489"/>
      <c r="P749" s="1490"/>
      <c r="Q749" s="1490"/>
      <c r="R749" s="1490"/>
      <c r="S749" s="1491"/>
      <c r="T749" s="1489"/>
      <c r="U749" s="1490"/>
      <c r="V749" s="1490"/>
      <c r="W749" s="1491"/>
      <c r="X749" s="1373">
        <f t="shared" si="40"/>
        <v>0</v>
      </c>
      <c r="Y749" s="1374"/>
      <c r="Z749" s="1374"/>
      <c r="AA749" s="1374"/>
      <c r="AB749" s="1375"/>
      <c r="AC749" s="1616"/>
      <c r="AD749" s="1617"/>
      <c r="AE749" s="1617"/>
      <c r="AF749" s="1617"/>
      <c r="AG749" s="1618"/>
      <c r="AH749" s="1376" t="str">
        <f t="shared" si="37"/>
        <v/>
      </c>
      <c r="AI749" s="1377"/>
      <c r="AJ749" s="1378"/>
      <c r="AK749" s="1370" t="s">
        <v>591</v>
      </c>
      <c r="AL749" s="1371"/>
      <c r="AM749" s="1371"/>
      <c r="AN749" s="1371"/>
      <c r="AO749" s="1372"/>
      <c r="AT749"/>
      <c r="AU749"/>
      <c r="AV749"/>
      <c r="AW749"/>
      <c r="AX749"/>
      <c r="AY749" s="1087"/>
      <c r="AZ749" s="118" t="str">
        <f>IF($G749=0,"N/A",VLOOKUP($T$189,TC_Rent,(MATCH($B749,bedrooms,FALSE)),FALSE))</f>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366">
        <f t="shared" si="38"/>
        <v>0</v>
      </c>
      <c r="CH749" s="1368"/>
      <c r="CI749" s="1350">
        <f t="shared" si="39"/>
        <v>0</v>
      </c>
      <c r="CJ749" s="1352"/>
      <c r="CK749" s="1366">
        <f t="shared" si="17"/>
        <v>0</v>
      </c>
      <c r="CL749" s="1368"/>
      <c r="CM749" s="1350">
        <f t="shared" si="18"/>
        <v>0</v>
      </c>
      <c r="CN749" s="1352"/>
      <c r="CP749" s="1347">
        <f t="shared" si="19"/>
        <v>0</v>
      </c>
      <c r="CQ749" s="1348"/>
      <c r="CR749" s="1348"/>
      <c r="CS749" s="1348"/>
      <c r="CT749" s="1349"/>
      <c r="CU749" s="1369">
        <f t="shared" si="20"/>
        <v>0</v>
      </c>
      <c r="CV749" s="1369"/>
      <c r="CW749" s="1369"/>
      <c r="CX749" s="1369"/>
      <c r="CY749" s="1369"/>
      <c r="CZ749" s="1369">
        <f t="shared" si="21"/>
        <v>0</v>
      </c>
      <c r="DA749" s="1369"/>
      <c r="DB749" s="1369"/>
      <c r="DC749" s="1369"/>
      <c r="DD749" s="1369"/>
      <c r="DE749" s="1369">
        <f t="shared" si="22"/>
        <v>0</v>
      </c>
      <c r="DF749" s="1369"/>
      <c r="DG749" s="1369"/>
      <c r="DH749" s="1369"/>
      <c r="DI749" s="1369"/>
      <c r="DJ749" s="1369">
        <f t="shared" si="23"/>
        <v>0</v>
      </c>
      <c r="DK749" s="1369"/>
      <c r="DL749" s="1369"/>
      <c r="DM749" s="1369"/>
      <c r="DN749" s="1369"/>
      <c r="DO749" s="1369">
        <f t="shared" si="24"/>
        <v>0</v>
      </c>
      <c r="DP749" s="1369"/>
      <c r="DQ749" s="1369"/>
      <c r="DR749" s="1369"/>
      <c r="DS749" s="1369"/>
      <c r="DT749" s="6"/>
      <c r="DU749" s="1383">
        <f t="shared" si="25"/>
        <v>0</v>
      </c>
      <c r="DV749" s="1383"/>
      <c r="DW749" s="1383"/>
      <c r="DX749" s="1383"/>
      <c r="DY749" s="1383"/>
      <c r="DZ749" s="1383">
        <f t="shared" si="26"/>
        <v>0</v>
      </c>
      <c r="EA749" s="1383"/>
      <c r="EB749" s="1383"/>
      <c r="EC749" s="1383"/>
      <c r="ED749" s="1383"/>
      <c r="EE749" s="1383">
        <f t="shared" si="27"/>
        <v>0</v>
      </c>
      <c r="EF749" s="1383"/>
      <c r="EG749" s="1383"/>
      <c r="EH749" s="1383"/>
      <c r="EI749" s="1383"/>
      <c r="EJ749" s="1383">
        <f t="shared" si="28"/>
        <v>0</v>
      </c>
      <c r="EK749" s="1383"/>
      <c r="EL749" s="1383"/>
      <c r="EM749" s="1383"/>
      <c r="EN749" s="1383"/>
      <c r="EO749" s="1383">
        <f t="shared" si="29"/>
        <v>0</v>
      </c>
      <c r="EP749" s="1383"/>
      <c r="EQ749" s="1383"/>
      <c r="ER749" s="1383"/>
      <c r="ES749" s="1383"/>
      <c r="ET749" s="1383">
        <f t="shared" si="30"/>
        <v>0</v>
      </c>
      <c r="EU749" s="1383"/>
      <c r="EV749" s="1383"/>
      <c r="EW749" s="1383"/>
      <c r="EX749" s="1383"/>
      <c r="EY749"/>
      <c r="EZ749" s="1366" t="str">
        <f t="shared" si="31"/>
        <v/>
      </c>
      <c r="FA749" s="1367"/>
      <c r="FB749" s="1367"/>
      <c r="FC749" s="1367"/>
      <c r="FD749" s="1368"/>
      <c r="FE749" s="1366" t="str">
        <f t="shared" si="32"/>
        <v/>
      </c>
      <c r="FF749" s="1367"/>
      <c r="FG749" s="1367"/>
      <c r="FH749" s="1367"/>
      <c r="FI749" s="1368"/>
      <c r="FJ749" s="1366" t="str">
        <f t="shared" si="33"/>
        <v/>
      </c>
      <c r="FK749" s="1367"/>
      <c r="FL749" s="1367"/>
      <c r="FM749" s="1367"/>
      <c r="FN749" s="1368"/>
      <c r="FO749" s="1366" t="str">
        <f t="shared" si="34"/>
        <v/>
      </c>
      <c r="FP749" s="1367"/>
      <c r="FQ749" s="1367"/>
      <c r="FR749" s="1367"/>
      <c r="FS749" s="1368"/>
      <c r="FT749" s="1366" t="str">
        <f t="shared" si="35"/>
        <v/>
      </c>
      <c r="FU749" s="1367"/>
      <c r="FV749" s="1367"/>
      <c r="FW749" s="1367"/>
      <c r="FX749" s="1368"/>
      <c r="FY749" s="1366" t="str">
        <f t="shared" si="36"/>
        <v/>
      </c>
      <c r="FZ749" s="1367"/>
      <c r="GA749" s="1367"/>
      <c r="GB749" s="1367"/>
      <c r="GC749" s="1368"/>
    </row>
    <row r="750" spans="1:185" s="3" customFormat="1" ht="12.95" customHeight="1">
      <c r="A750"/>
      <c r="B750" s="1370"/>
      <c r="C750" s="1371"/>
      <c r="D750" s="1371"/>
      <c r="E750" s="1371"/>
      <c r="F750" s="1372"/>
      <c r="G750" s="1379"/>
      <c r="H750" s="1380"/>
      <c r="I750" s="1380"/>
      <c r="J750" s="1381"/>
      <c r="K750" s="1612"/>
      <c r="L750" s="1613"/>
      <c r="M750" s="1613"/>
      <c r="N750" s="1614"/>
      <c r="O750" s="1489"/>
      <c r="P750" s="1490"/>
      <c r="Q750" s="1490"/>
      <c r="R750" s="1490"/>
      <c r="S750" s="1491"/>
      <c r="T750" s="1489"/>
      <c r="U750" s="1490"/>
      <c r="V750" s="1490"/>
      <c r="W750" s="1491"/>
      <c r="X750" s="1373">
        <f t="shared" si="40"/>
        <v>0</v>
      </c>
      <c r="Y750" s="1374"/>
      <c r="Z750" s="1374"/>
      <c r="AA750" s="1374"/>
      <c r="AB750" s="1375"/>
      <c r="AC750" s="1616"/>
      <c r="AD750" s="1617"/>
      <c r="AE750" s="1617"/>
      <c r="AF750" s="1617"/>
      <c r="AG750" s="1618"/>
      <c r="AH750" s="1376" t="str">
        <f t="shared" si="37"/>
        <v/>
      </c>
      <c r="AI750" s="1377"/>
      <c r="AJ750" s="1378"/>
      <c r="AK750" s="1370" t="s">
        <v>591</v>
      </c>
      <c r="AL750" s="1371"/>
      <c r="AM750" s="1371"/>
      <c r="AN750" s="1371"/>
      <c r="AO750" s="1372"/>
      <c r="AT750"/>
      <c r="AU750"/>
      <c r="AV750"/>
      <c r="AW750"/>
      <c r="AX750"/>
      <c r="AY750"/>
      <c r="AZ750" s="118" t="str">
        <f>IF($G750=0,"N/A",VLOOKUP($T$189,TC_Rent,(MATCH($B750,bedrooms,FALSE)),FALSE))</f>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366">
        <f t="shared" si="38"/>
        <v>0</v>
      </c>
      <c r="CH750" s="1368"/>
      <c r="CI750" s="1350">
        <f t="shared" si="39"/>
        <v>0</v>
      </c>
      <c r="CJ750" s="1352"/>
      <c r="CK750" s="1366">
        <f t="shared" si="17"/>
        <v>0</v>
      </c>
      <c r="CL750" s="1368"/>
      <c r="CM750" s="1350">
        <f t="shared" si="18"/>
        <v>0</v>
      </c>
      <c r="CN750" s="1352"/>
      <c r="CP750" s="1347">
        <f t="shared" si="19"/>
        <v>0</v>
      </c>
      <c r="CQ750" s="1348"/>
      <c r="CR750" s="1348"/>
      <c r="CS750" s="1348"/>
      <c r="CT750" s="1349"/>
      <c r="CU750" s="1369">
        <f t="shared" si="20"/>
        <v>0</v>
      </c>
      <c r="CV750" s="1369"/>
      <c r="CW750" s="1369"/>
      <c r="CX750" s="1369"/>
      <c r="CY750" s="1369"/>
      <c r="CZ750" s="1369">
        <f t="shared" si="21"/>
        <v>0</v>
      </c>
      <c r="DA750" s="1369"/>
      <c r="DB750" s="1369"/>
      <c r="DC750" s="1369"/>
      <c r="DD750" s="1369"/>
      <c r="DE750" s="1369">
        <f t="shared" si="22"/>
        <v>0</v>
      </c>
      <c r="DF750" s="1369"/>
      <c r="DG750" s="1369"/>
      <c r="DH750" s="1369"/>
      <c r="DI750" s="1369"/>
      <c r="DJ750" s="1369">
        <f t="shared" si="23"/>
        <v>0</v>
      </c>
      <c r="DK750" s="1369"/>
      <c r="DL750" s="1369"/>
      <c r="DM750" s="1369"/>
      <c r="DN750" s="1369"/>
      <c r="DO750" s="1369">
        <f t="shared" si="24"/>
        <v>0</v>
      </c>
      <c r="DP750" s="1369"/>
      <c r="DQ750" s="1369"/>
      <c r="DR750" s="1369"/>
      <c r="DS750" s="1369"/>
      <c r="DT750" s="6"/>
      <c r="DU750" s="1383">
        <f t="shared" si="25"/>
        <v>0</v>
      </c>
      <c r="DV750" s="1383"/>
      <c r="DW750" s="1383"/>
      <c r="DX750" s="1383"/>
      <c r="DY750" s="1383"/>
      <c r="DZ750" s="1383">
        <f t="shared" si="26"/>
        <v>0</v>
      </c>
      <c r="EA750" s="1383"/>
      <c r="EB750" s="1383"/>
      <c r="EC750" s="1383"/>
      <c r="ED750" s="1383"/>
      <c r="EE750" s="1383">
        <f t="shared" si="27"/>
        <v>0</v>
      </c>
      <c r="EF750" s="1383"/>
      <c r="EG750" s="1383"/>
      <c r="EH750" s="1383"/>
      <c r="EI750" s="1383"/>
      <c r="EJ750" s="1383">
        <f t="shared" si="28"/>
        <v>0</v>
      </c>
      <c r="EK750" s="1383"/>
      <c r="EL750" s="1383"/>
      <c r="EM750" s="1383"/>
      <c r="EN750" s="1383"/>
      <c r="EO750" s="1383">
        <f t="shared" si="29"/>
        <v>0</v>
      </c>
      <c r="EP750" s="1383"/>
      <c r="EQ750" s="1383"/>
      <c r="ER750" s="1383"/>
      <c r="ES750" s="1383"/>
      <c r="ET750" s="1383">
        <f t="shared" si="30"/>
        <v>0</v>
      </c>
      <c r="EU750" s="1383"/>
      <c r="EV750" s="1383"/>
      <c r="EW750" s="1383"/>
      <c r="EX750" s="1383"/>
      <c r="EY750"/>
      <c r="EZ750" s="1366" t="str">
        <f t="shared" si="31"/>
        <v/>
      </c>
      <c r="FA750" s="1367"/>
      <c r="FB750" s="1367"/>
      <c r="FC750" s="1367"/>
      <c r="FD750" s="1368"/>
      <c r="FE750" s="1366" t="str">
        <f t="shared" si="32"/>
        <v/>
      </c>
      <c r="FF750" s="1367"/>
      <c r="FG750" s="1367"/>
      <c r="FH750" s="1367"/>
      <c r="FI750" s="1368"/>
      <c r="FJ750" s="1366" t="str">
        <f t="shared" si="33"/>
        <v/>
      </c>
      <c r="FK750" s="1367"/>
      <c r="FL750" s="1367"/>
      <c r="FM750" s="1367"/>
      <c r="FN750" s="1368"/>
      <c r="FO750" s="1366" t="str">
        <f t="shared" si="34"/>
        <v/>
      </c>
      <c r="FP750" s="1367"/>
      <c r="FQ750" s="1367"/>
      <c r="FR750" s="1367"/>
      <c r="FS750" s="1368"/>
      <c r="FT750" s="1366" t="str">
        <f t="shared" si="35"/>
        <v/>
      </c>
      <c r="FU750" s="1367"/>
      <c r="FV750" s="1367"/>
      <c r="FW750" s="1367"/>
      <c r="FX750" s="1368"/>
      <c r="FY750" s="1366" t="str">
        <f t="shared" si="36"/>
        <v/>
      </c>
      <c r="FZ750" s="1367"/>
      <c r="GA750" s="1367"/>
      <c r="GB750" s="1367"/>
      <c r="GC750" s="1368"/>
    </row>
    <row r="751" spans="1:185" s="3" customFormat="1" ht="12.95" customHeight="1">
      <c r="A751"/>
      <c r="B751" s="1370"/>
      <c r="C751" s="1371"/>
      <c r="D751" s="1371"/>
      <c r="E751" s="1371"/>
      <c r="F751" s="1372"/>
      <c r="G751" s="1379"/>
      <c r="H751" s="1380"/>
      <c r="I751" s="1380"/>
      <c r="J751" s="1381"/>
      <c r="K751" s="1612"/>
      <c r="L751" s="1613"/>
      <c r="M751" s="1613"/>
      <c r="N751" s="1614"/>
      <c r="O751" s="1489"/>
      <c r="P751" s="1490"/>
      <c r="Q751" s="1490"/>
      <c r="R751" s="1490"/>
      <c r="S751" s="1491"/>
      <c r="T751" s="1489"/>
      <c r="U751" s="1490"/>
      <c r="V751" s="1490"/>
      <c r="W751" s="1491"/>
      <c r="X751" s="1373">
        <f t="shared" si="40"/>
        <v>0</v>
      </c>
      <c r="Y751" s="1374"/>
      <c r="Z751" s="1374"/>
      <c r="AA751" s="1374"/>
      <c r="AB751" s="1375"/>
      <c r="AC751" s="1616"/>
      <c r="AD751" s="1617"/>
      <c r="AE751" s="1617"/>
      <c r="AF751" s="1617"/>
      <c r="AG751" s="1618"/>
      <c r="AH751" s="1376" t="str">
        <f t="shared" si="37"/>
        <v/>
      </c>
      <c r="AI751" s="1377"/>
      <c r="AJ751" s="1378"/>
      <c r="AK751" s="1370" t="s">
        <v>591</v>
      </c>
      <c r="AL751" s="1371"/>
      <c r="AM751" s="1371"/>
      <c r="AN751" s="1371"/>
      <c r="AO751" s="1372"/>
      <c r="AT751"/>
      <c r="AU751"/>
      <c r="AV751"/>
      <c r="AW751"/>
      <c r="AX751"/>
      <c r="AY751"/>
      <c r="AZ751" s="118" t="str">
        <f>IF($G751=0,"N/A",VLOOKUP($T$189,TC_Rent,(MATCH($B751,bedrooms,FALSE)),FALSE))</f>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366">
        <f t="shared" si="38"/>
        <v>0</v>
      </c>
      <c r="CH751" s="1368"/>
      <c r="CI751" s="1350">
        <f t="shared" si="39"/>
        <v>0</v>
      </c>
      <c r="CJ751" s="1352"/>
      <c r="CK751" s="1366">
        <f t="shared" si="17"/>
        <v>0</v>
      </c>
      <c r="CL751" s="1368"/>
      <c r="CM751" s="1350">
        <f t="shared" si="18"/>
        <v>0</v>
      </c>
      <c r="CN751" s="1352"/>
      <c r="CP751" s="1347">
        <f t="shared" si="19"/>
        <v>0</v>
      </c>
      <c r="CQ751" s="1348"/>
      <c r="CR751" s="1348"/>
      <c r="CS751" s="1348"/>
      <c r="CT751" s="1349"/>
      <c r="CU751" s="1369">
        <f t="shared" si="20"/>
        <v>0</v>
      </c>
      <c r="CV751" s="1369"/>
      <c r="CW751" s="1369"/>
      <c r="CX751" s="1369"/>
      <c r="CY751" s="1369"/>
      <c r="CZ751" s="1369">
        <f t="shared" si="21"/>
        <v>0</v>
      </c>
      <c r="DA751" s="1369"/>
      <c r="DB751" s="1369"/>
      <c r="DC751" s="1369"/>
      <c r="DD751" s="1369"/>
      <c r="DE751" s="1369">
        <f t="shared" si="22"/>
        <v>0</v>
      </c>
      <c r="DF751" s="1369"/>
      <c r="DG751" s="1369"/>
      <c r="DH751" s="1369"/>
      <c r="DI751" s="1369"/>
      <c r="DJ751" s="1369">
        <f t="shared" si="23"/>
        <v>0</v>
      </c>
      <c r="DK751" s="1369"/>
      <c r="DL751" s="1369"/>
      <c r="DM751" s="1369"/>
      <c r="DN751" s="1369"/>
      <c r="DO751" s="1369">
        <f t="shared" si="24"/>
        <v>0</v>
      </c>
      <c r="DP751" s="1369"/>
      <c r="DQ751" s="1369"/>
      <c r="DR751" s="1369"/>
      <c r="DS751" s="1369"/>
      <c r="DT751" s="6"/>
      <c r="DU751" s="1383">
        <f t="shared" si="25"/>
        <v>0</v>
      </c>
      <c r="DV751" s="1383"/>
      <c r="DW751" s="1383"/>
      <c r="DX751" s="1383"/>
      <c r="DY751" s="1383"/>
      <c r="DZ751" s="1383">
        <f t="shared" si="26"/>
        <v>0</v>
      </c>
      <c r="EA751" s="1383"/>
      <c r="EB751" s="1383"/>
      <c r="EC751" s="1383"/>
      <c r="ED751" s="1383"/>
      <c r="EE751" s="1383">
        <f t="shared" si="27"/>
        <v>0</v>
      </c>
      <c r="EF751" s="1383"/>
      <c r="EG751" s="1383"/>
      <c r="EH751" s="1383"/>
      <c r="EI751" s="1383"/>
      <c r="EJ751" s="1383">
        <f t="shared" si="28"/>
        <v>0</v>
      </c>
      <c r="EK751" s="1383"/>
      <c r="EL751" s="1383"/>
      <c r="EM751" s="1383"/>
      <c r="EN751" s="1383"/>
      <c r="EO751" s="1383">
        <f t="shared" si="29"/>
        <v>0</v>
      </c>
      <c r="EP751" s="1383"/>
      <c r="EQ751" s="1383"/>
      <c r="ER751" s="1383"/>
      <c r="ES751" s="1383"/>
      <c r="ET751" s="1383">
        <f t="shared" si="30"/>
        <v>0</v>
      </c>
      <c r="EU751" s="1383"/>
      <c r="EV751" s="1383"/>
      <c r="EW751" s="1383"/>
      <c r="EX751" s="1383"/>
      <c r="EY751"/>
      <c r="EZ751" s="1366" t="str">
        <f t="shared" si="31"/>
        <v/>
      </c>
      <c r="FA751" s="1367"/>
      <c r="FB751" s="1367"/>
      <c r="FC751" s="1367"/>
      <c r="FD751" s="1368"/>
      <c r="FE751" s="1366" t="str">
        <f t="shared" si="32"/>
        <v/>
      </c>
      <c r="FF751" s="1367"/>
      <c r="FG751" s="1367"/>
      <c r="FH751" s="1367"/>
      <c r="FI751" s="1368"/>
      <c r="FJ751" s="1366" t="str">
        <f t="shared" si="33"/>
        <v/>
      </c>
      <c r="FK751" s="1367"/>
      <c r="FL751" s="1367"/>
      <c r="FM751" s="1367"/>
      <c r="FN751" s="1368"/>
      <c r="FO751" s="1366" t="str">
        <f t="shared" si="34"/>
        <v/>
      </c>
      <c r="FP751" s="1367"/>
      <c r="FQ751" s="1367"/>
      <c r="FR751" s="1367"/>
      <c r="FS751" s="1368"/>
      <c r="FT751" s="1366" t="str">
        <f t="shared" si="35"/>
        <v/>
      </c>
      <c r="FU751" s="1367"/>
      <c r="FV751" s="1367"/>
      <c r="FW751" s="1367"/>
      <c r="FX751" s="1368"/>
      <c r="FY751" s="1366" t="str">
        <f t="shared" si="36"/>
        <v/>
      </c>
      <c r="FZ751" s="1367"/>
      <c r="GA751" s="1367"/>
      <c r="GB751" s="1367"/>
      <c r="GC751" s="1368"/>
    </row>
    <row r="752" spans="1:185" s="3" customFormat="1" ht="12.95" customHeight="1">
      <c r="A752"/>
      <c r="B752" s="1370"/>
      <c r="C752" s="1371"/>
      <c r="D752" s="1371"/>
      <c r="E752" s="1371"/>
      <c r="F752" s="1372"/>
      <c r="G752" s="1379"/>
      <c r="H752" s="1380"/>
      <c r="I752" s="1380"/>
      <c r="J752" s="1381"/>
      <c r="K752" s="1612"/>
      <c r="L752" s="1613"/>
      <c r="M752" s="1613"/>
      <c r="N752" s="1614"/>
      <c r="O752" s="1489"/>
      <c r="P752" s="1490"/>
      <c r="Q752" s="1490"/>
      <c r="R752" s="1490"/>
      <c r="S752" s="1491"/>
      <c r="T752" s="1489"/>
      <c r="U752" s="1490"/>
      <c r="V752" s="1490"/>
      <c r="W752" s="1491"/>
      <c r="X752" s="1373">
        <f>O752+T752</f>
        <v>0</v>
      </c>
      <c r="Y752" s="1374"/>
      <c r="Z752" s="1374"/>
      <c r="AA752" s="1374"/>
      <c r="AB752" s="1375"/>
      <c r="AC752" s="1616"/>
      <c r="AD752" s="1617"/>
      <c r="AE752" s="1617"/>
      <c r="AF752" s="1617"/>
      <c r="AG752" s="1618"/>
      <c r="AH752" s="1376" t="str">
        <f t="shared" si="37"/>
        <v/>
      </c>
      <c r="AI752" s="1377"/>
      <c r="AJ752" s="1378"/>
      <c r="AK752" s="1370" t="s">
        <v>591</v>
      </c>
      <c r="AL752" s="1371"/>
      <c r="AM752" s="1371"/>
      <c r="AN752" s="1371"/>
      <c r="AO752" s="1372"/>
      <c r="AT752"/>
      <c r="AU752"/>
      <c r="AV752"/>
      <c r="AW752"/>
      <c r="AX752"/>
      <c r="AY752"/>
      <c r="AZ752" s="118" t="str">
        <f>IF($G752=0,"N/A",VLOOKUP($T$189,TC_Rent,(MATCH($B752,bedrooms,FALSE)),FALSE))</f>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366">
        <f t="shared" si="38"/>
        <v>0</v>
      </c>
      <c r="CH752" s="1368"/>
      <c r="CI752" s="1350">
        <f t="shared" si="39"/>
        <v>0</v>
      </c>
      <c r="CJ752" s="1352"/>
      <c r="CK752" s="1366">
        <f t="shared" si="17"/>
        <v>0</v>
      </c>
      <c r="CL752" s="1368"/>
      <c r="CM752" s="1350">
        <f t="shared" si="18"/>
        <v>0</v>
      </c>
      <c r="CN752" s="1352"/>
      <c r="CP752" s="1347">
        <f t="shared" si="19"/>
        <v>0</v>
      </c>
      <c r="CQ752" s="1348"/>
      <c r="CR752" s="1348"/>
      <c r="CS752" s="1348"/>
      <c r="CT752" s="1349"/>
      <c r="CU752" s="1369">
        <f t="shared" si="20"/>
        <v>0</v>
      </c>
      <c r="CV752" s="1369"/>
      <c r="CW752" s="1369"/>
      <c r="CX752" s="1369"/>
      <c r="CY752" s="1369"/>
      <c r="CZ752" s="1369">
        <f t="shared" si="21"/>
        <v>0</v>
      </c>
      <c r="DA752" s="1369"/>
      <c r="DB752" s="1369"/>
      <c r="DC752" s="1369"/>
      <c r="DD752" s="1369"/>
      <c r="DE752" s="1369">
        <f t="shared" si="22"/>
        <v>0</v>
      </c>
      <c r="DF752" s="1369"/>
      <c r="DG752" s="1369"/>
      <c r="DH752" s="1369"/>
      <c r="DI752" s="1369"/>
      <c r="DJ752" s="1369">
        <f t="shared" si="23"/>
        <v>0</v>
      </c>
      <c r="DK752" s="1369"/>
      <c r="DL752" s="1369"/>
      <c r="DM752" s="1369"/>
      <c r="DN752" s="1369"/>
      <c r="DO752" s="1369">
        <f t="shared" si="24"/>
        <v>0</v>
      </c>
      <c r="DP752" s="1369"/>
      <c r="DQ752" s="1369"/>
      <c r="DR752" s="1369"/>
      <c r="DS752" s="1369"/>
      <c r="DT752" s="6"/>
      <c r="DU752" s="1383">
        <f t="shared" si="25"/>
        <v>0</v>
      </c>
      <c r="DV752" s="1383"/>
      <c r="DW752" s="1383"/>
      <c r="DX752" s="1383"/>
      <c r="DY752" s="1383"/>
      <c r="DZ752" s="1383">
        <f t="shared" si="26"/>
        <v>0</v>
      </c>
      <c r="EA752" s="1383"/>
      <c r="EB752" s="1383"/>
      <c r="EC752" s="1383"/>
      <c r="ED752" s="1383"/>
      <c r="EE752" s="1383">
        <f t="shared" si="27"/>
        <v>0</v>
      </c>
      <c r="EF752" s="1383"/>
      <c r="EG752" s="1383"/>
      <c r="EH752" s="1383"/>
      <c r="EI752" s="1383"/>
      <c r="EJ752" s="1383">
        <f t="shared" si="28"/>
        <v>0</v>
      </c>
      <c r="EK752" s="1383"/>
      <c r="EL752" s="1383"/>
      <c r="EM752" s="1383"/>
      <c r="EN752" s="1383"/>
      <c r="EO752" s="1383">
        <f t="shared" si="29"/>
        <v>0</v>
      </c>
      <c r="EP752" s="1383"/>
      <c r="EQ752" s="1383"/>
      <c r="ER752" s="1383"/>
      <c r="ES752" s="1383"/>
      <c r="ET752" s="1383">
        <f t="shared" si="30"/>
        <v>0</v>
      </c>
      <c r="EU752" s="1383"/>
      <c r="EV752" s="1383"/>
      <c r="EW752" s="1383"/>
      <c r="EX752" s="1383"/>
      <c r="EY752"/>
      <c r="EZ752" s="1366" t="str">
        <f t="shared" si="31"/>
        <v/>
      </c>
      <c r="FA752" s="1367"/>
      <c r="FB752" s="1367"/>
      <c r="FC752" s="1367"/>
      <c r="FD752" s="1368"/>
      <c r="FE752" s="1366" t="str">
        <f t="shared" si="32"/>
        <v/>
      </c>
      <c r="FF752" s="1367"/>
      <c r="FG752" s="1367"/>
      <c r="FH752" s="1367"/>
      <c r="FI752" s="1368"/>
      <c r="FJ752" s="1366" t="str">
        <f t="shared" si="33"/>
        <v/>
      </c>
      <c r="FK752" s="1367"/>
      <c r="FL752" s="1367"/>
      <c r="FM752" s="1367"/>
      <c r="FN752" s="1368"/>
      <c r="FO752" s="1366" t="str">
        <f t="shared" si="34"/>
        <v/>
      </c>
      <c r="FP752" s="1367"/>
      <c r="FQ752" s="1367"/>
      <c r="FR752" s="1367"/>
      <c r="FS752" s="1368"/>
      <c r="FT752" s="1366" t="str">
        <f t="shared" si="35"/>
        <v/>
      </c>
      <c r="FU752" s="1367"/>
      <c r="FV752" s="1367"/>
      <c r="FW752" s="1367"/>
      <c r="FX752" s="1368"/>
      <c r="FY752" s="1366" t="str">
        <f t="shared" si="36"/>
        <v/>
      </c>
      <c r="FZ752" s="1367"/>
      <c r="GA752" s="1367"/>
      <c r="GB752" s="1367"/>
      <c r="GC752" s="1368"/>
    </row>
    <row r="753" spans="1:185" s="3" customFormat="1" ht="12.95" customHeight="1">
      <c r="A753"/>
      <c r="B753" s="1485" t="s">
        <v>125</v>
      </c>
      <c r="C753" s="1486"/>
      <c r="D753" s="1486"/>
      <c r="E753" s="1486"/>
      <c r="F753" s="1488"/>
      <c r="G753" s="1721">
        <f>SUM(G718:G752)</f>
        <v>96</v>
      </c>
      <c r="H753" s="1722"/>
      <c r="I753" s="1722"/>
      <c r="J753" s="1723"/>
      <c r="K753" s="903" t="s">
        <v>124</v>
      </c>
      <c r="L753" s="5"/>
      <c r="M753" s="5"/>
      <c r="N753" s="46"/>
      <c r="O753" s="1373">
        <f>SUMPRODUCT(G718:G752,O718:O752)</f>
        <v>28800</v>
      </c>
      <c r="P753" s="1374"/>
      <c r="Q753" s="1374"/>
      <c r="R753" s="1374"/>
      <c r="S753" s="1375"/>
      <c r="T753"/>
      <c r="U753"/>
      <c r="V753"/>
      <c r="W753"/>
      <c r="X753" s="905" t="s">
        <v>900</v>
      </c>
      <c r="Y753" s="904"/>
      <c r="Z753" s="904"/>
      <c r="AA753" s="904"/>
      <c r="AB753" s="906"/>
      <c r="AC753" s="1626">
        <f>BH753</f>
        <v>0.41875000000000001</v>
      </c>
      <c r="AD753" s="1627"/>
      <c r="AE753" s="1627"/>
      <c r="AF753" s="1627"/>
      <c r="AG753" s="1628"/>
      <c r="AH753" s="1626">
        <f>IFERROR(BU753,"")</f>
        <v>0.13729809104258445</v>
      </c>
      <c r="AI753" s="1627"/>
      <c r="AJ753" s="1628"/>
      <c r="AK753"/>
      <c r="AL753"/>
      <c r="AM753"/>
      <c r="AN753"/>
      <c r="AO753"/>
      <c r="AP753" s="206"/>
      <c r="AQ753" s="206"/>
      <c r="AR753" s="206"/>
      <c r="AS753" s="206"/>
      <c r="AT753"/>
      <c r="AU753"/>
      <c r="AV753"/>
      <c r="AW753"/>
      <c r="AX753"/>
      <c r="AY753"/>
      <c r="AZ753" s="34"/>
      <c r="BA753" s="34"/>
      <c r="BB753" s="34"/>
      <c r="BC753" s="34"/>
      <c r="BE753" s="291" t="s">
        <v>899</v>
      </c>
      <c r="BF753" s="300">
        <f>SUM(BF718:BF752)</f>
        <v>96</v>
      </c>
      <c r="BG753" s="301">
        <f>SUM(BG718:BG752)</f>
        <v>1</v>
      </c>
      <c r="BH753" s="301">
        <f>SUM(BH718:BH752)</f>
        <v>0.41875000000000001</v>
      </c>
      <c r="BI753"/>
      <c r="BJ753"/>
      <c r="BK753"/>
      <c r="BL753"/>
      <c r="BO753"/>
      <c r="BP753"/>
      <c r="BQ753"/>
      <c r="BR753"/>
      <c r="BS753" s="860">
        <f>SUM(BS718:BS752)</f>
        <v>96</v>
      </c>
      <c r="BT753" s="301">
        <f>SUM(BT718:BT752)</f>
        <v>1</v>
      </c>
      <c r="BU753" s="301">
        <f>SUM(BU718:BU752)</f>
        <v>0.13729809104258445</v>
      </c>
      <c r="CI753" s="1366">
        <f>SUM(CI718:CJ752)</f>
        <v>57</v>
      </c>
      <c r="CJ753" s="1368"/>
      <c r="CM753" s="1366">
        <f>SUM(CM718:CN752)</f>
        <v>39</v>
      </c>
      <c r="CN753" s="1368"/>
      <c r="CP753" s="1366">
        <f>SUM(CP718:CT752)</f>
        <v>96</v>
      </c>
      <c r="CQ753" s="1367"/>
      <c r="CR753" s="1367"/>
      <c r="CS753" s="1367"/>
      <c r="CT753" s="1368"/>
      <c r="CU753" s="1382">
        <f>SUM(CU718:CY752)</f>
        <v>0</v>
      </c>
      <c r="CV753" s="1382"/>
      <c r="CW753" s="1382"/>
      <c r="CX753" s="1382"/>
      <c r="CY753" s="1382"/>
      <c r="CZ753" s="1382">
        <f>SUM(CZ718:DD752)</f>
        <v>0</v>
      </c>
      <c r="DA753" s="1382"/>
      <c r="DB753" s="1382"/>
      <c r="DC753" s="1382"/>
      <c r="DD753" s="1382"/>
      <c r="DE753" s="1382">
        <f>SUM(DE718:DI752)</f>
        <v>0</v>
      </c>
      <c r="DF753" s="1382"/>
      <c r="DG753" s="1382"/>
      <c r="DH753" s="1382"/>
      <c r="DI753" s="1382"/>
      <c r="DJ753" s="1382">
        <f>SUM(DJ718:DN752)</f>
        <v>0</v>
      </c>
      <c r="DK753" s="1382"/>
      <c r="DL753" s="1382"/>
      <c r="DM753" s="1382"/>
      <c r="DN753" s="1382"/>
      <c r="DO753" s="1382">
        <f>SUM(DO718:DS752)</f>
        <v>0</v>
      </c>
      <c r="DP753" s="1382"/>
      <c r="DQ753" s="1382"/>
      <c r="DR753" s="1382"/>
      <c r="DS753" s="1382"/>
      <c r="DT753" s="355"/>
      <c r="DU753" s="1382">
        <f>SUM(DU718:DY752)</f>
        <v>39</v>
      </c>
      <c r="DV753" s="1382"/>
      <c r="DW753" s="1382"/>
      <c r="DX753" s="1382"/>
      <c r="DY753" s="1382"/>
      <c r="DZ753" s="1382">
        <f>SUM(DZ718:ED752)</f>
        <v>0</v>
      </c>
      <c r="EA753" s="1382"/>
      <c r="EB753" s="1382"/>
      <c r="EC753" s="1382"/>
      <c r="ED753" s="1382"/>
      <c r="EE753" s="1382">
        <f>SUM(EE718:EI752)</f>
        <v>0</v>
      </c>
      <c r="EF753" s="1382"/>
      <c r="EG753" s="1382"/>
      <c r="EH753" s="1382"/>
      <c r="EI753" s="1382"/>
      <c r="EJ753" s="1382">
        <f>SUM(EJ718:EN752)</f>
        <v>0</v>
      </c>
      <c r="EK753" s="1382"/>
      <c r="EL753" s="1382"/>
      <c r="EM753" s="1382"/>
      <c r="EN753" s="1382"/>
      <c r="EO753" s="1382">
        <f>SUM(EO718:ES752)</f>
        <v>0</v>
      </c>
      <c r="EP753" s="1382"/>
      <c r="EQ753" s="1382"/>
      <c r="ER753" s="1382"/>
      <c r="ES753" s="1382"/>
      <c r="ET753" s="1382">
        <f>SUM(ET718:EX752)</f>
        <v>0</v>
      </c>
      <c r="EU753" s="1382"/>
      <c r="EV753" s="1382"/>
      <c r="EW753" s="1382"/>
      <c r="EX753" s="1382"/>
      <c r="EY753"/>
      <c r="EZ753" s="1382">
        <f>SUM(EZ718:FD752)</f>
        <v>900</v>
      </c>
      <c r="FA753" s="1382"/>
      <c r="FB753" s="1382"/>
      <c r="FC753" s="1382"/>
      <c r="FD753" s="1382"/>
      <c r="FE753" s="1382">
        <f>SUM(FE718:FI752)</f>
        <v>0</v>
      </c>
      <c r="FF753" s="1382"/>
      <c r="FG753" s="1382"/>
      <c r="FH753" s="1382"/>
      <c r="FI753" s="1382"/>
      <c r="FJ753" s="1382">
        <f>SUM(FJ718:FN752)</f>
        <v>0</v>
      </c>
      <c r="FK753" s="1382"/>
      <c r="FL753" s="1382"/>
      <c r="FM753" s="1382"/>
      <c r="FN753" s="1382"/>
      <c r="FO753" s="1382">
        <f>SUM(FO718:FS752)</f>
        <v>0</v>
      </c>
      <c r="FP753" s="1382"/>
      <c r="FQ753" s="1382"/>
      <c r="FR753" s="1382"/>
      <c r="FS753" s="1382"/>
      <c r="FT753" s="1382">
        <f>SUM(FT718:FX752)</f>
        <v>0</v>
      </c>
      <c r="FU753" s="1382"/>
      <c r="FV753" s="1382"/>
      <c r="FW753" s="1382"/>
      <c r="FX753" s="1382"/>
      <c r="FY753" s="1382">
        <f>SUM(FY718:GC752)</f>
        <v>0</v>
      </c>
      <c r="FZ753" s="1382"/>
      <c r="GA753" s="1382"/>
      <c r="GB753" s="1382"/>
      <c r="GC753" s="1382"/>
    </row>
    <row r="754" spans="1:185" s="3" customFormat="1" ht="12.95" customHeight="1">
      <c r="A754"/>
      <c r="B754" s="1717" t="s">
        <v>1894</v>
      </c>
      <c r="C754" s="1717"/>
      <c r="D754" s="1717"/>
      <c r="E754" s="1717"/>
      <c r="F754" s="1717"/>
      <c r="G754" s="1717"/>
      <c r="H754" s="1717"/>
      <c r="I754" s="1717"/>
      <c r="J754" s="1717"/>
      <c r="K754" s="1717"/>
      <c r="L754" s="1717"/>
      <c r="M754" s="1717"/>
      <c r="N754" s="1717"/>
      <c r="O754" s="1717"/>
      <c r="P754" s="1717"/>
      <c r="Q754" s="1717"/>
      <c r="R754" s="1717"/>
      <c r="S754" s="1717"/>
      <c r="T754" s="1717"/>
      <c r="U754" s="1717"/>
      <c r="V754" s="1717"/>
      <c r="W754" s="1717"/>
      <c r="X754" s="1717"/>
      <c r="Y754" s="1717"/>
      <c r="Z754" s="1717"/>
      <c r="AA754" s="1717"/>
      <c r="AB754" s="1717"/>
      <c r="AC754" s="1717"/>
      <c r="AD754" s="1717"/>
      <c r="AE754" s="1717"/>
      <c r="AF754" s="1717"/>
      <c r="AG754" s="1717"/>
      <c r="AH754" s="1717"/>
      <c r="AI754"/>
      <c r="AJ754"/>
      <c r="AK754"/>
      <c r="AT754"/>
      <c r="AU754"/>
      <c r="AV754"/>
      <c r="AW754"/>
      <c r="AX754"/>
      <c r="AY754"/>
      <c r="CD754"/>
      <c r="DN754" s="56" t="s">
        <v>1861</v>
      </c>
      <c r="DO754" s="1366">
        <f>CP753+CU753+CZ753+DE753+DJ753+DO753</f>
        <v>96</v>
      </c>
      <c r="DP754" s="1367"/>
      <c r="DQ754" s="1367"/>
      <c r="DR754" s="1367"/>
      <c r="DS754" s="1368"/>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17"/>
      <c r="C755" s="1717"/>
      <c r="D755" s="1717"/>
      <c r="E755" s="1717"/>
      <c r="F755" s="1717"/>
      <c r="G755" s="1717"/>
      <c r="H755" s="1717"/>
      <c r="I755" s="1717"/>
      <c r="J755" s="1717"/>
      <c r="K755" s="1717"/>
      <c r="L755" s="1717"/>
      <c r="M755" s="1717"/>
      <c r="N755" s="1717"/>
      <c r="O755" s="1717"/>
      <c r="P755" s="1717"/>
      <c r="Q755" s="1717"/>
      <c r="R755" s="1717"/>
      <c r="S755" s="1717"/>
      <c r="T755" s="1717"/>
      <c r="U755" s="1717"/>
      <c r="V755" s="1717"/>
      <c r="W755" s="1717"/>
      <c r="X755" s="1717"/>
      <c r="Y755" s="1717"/>
      <c r="Z755" s="1717"/>
      <c r="AA755" s="1717"/>
      <c r="AB755" s="1717"/>
      <c r="AC755" s="1717"/>
      <c r="AD755" s="1717"/>
      <c r="AE755" s="1717"/>
      <c r="AF755" s="1717"/>
      <c r="AG755" s="1717"/>
      <c r="AH755" s="17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96</v>
      </c>
      <c r="CU755" s="3"/>
      <c r="CV755" s="3"/>
      <c r="CW755" s="3"/>
      <c r="CX755" s="3"/>
      <c r="CY755" s="862">
        <f>CU753*1</f>
        <v>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96</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382">
        <f>DU755</f>
        <v>96</v>
      </c>
      <c r="P756" s="1382"/>
      <c r="Q756" s="1382"/>
      <c r="R756" s="1382"/>
      <c r="S756" s="970"/>
      <c r="T756" s="970"/>
      <c r="U756" s="118" t="s">
        <v>1893</v>
      </c>
      <c r="V756" s="1033"/>
      <c r="W756" s="1033"/>
      <c r="X756" s="1033"/>
      <c r="Y756" s="1034"/>
      <c r="Z756" s="1034"/>
      <c r="AA756" s="1034"/>
      <c r="AB756" s="1034"/>
      <c r="AC756" s="1033"/>
      <c r="AD756" s="1033"/>
      <c r="AE756" s="1033"/>
      <c r="AF756" s="1033"/>
      <c r="AG756" s="1713">
        <v>0</v>
      </c>
      <c r="AH756" s="1713"/>
      <c r="AI756" s="1713"/>
      <c r="AJ756" s="171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4" t="s">
        <v>591</v>
      </c>
      <c r="AE759" s="1724"/>
      <c r="AF759" s="17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81" t="s">
        <v>2091</v>
      </c>
      <c r="D763" s="1281"/>
      <c r="E763" s="1281"/>
      <c r="F763" s="1281"/>
      <c r="G763" s="1281"/>
      <c r="H763" s="1281"/>
      <c r="I763" s="1281"/>
      <c r="J763" s="1281"/>
      <c r="K763" s="1281"/>
      <c r="L763" s="1281"/>
      <c r="M763" s="1281"/>
      <c r="N763" s="1281"/>
      <c r="O763" s="1281"/>
      <c r="P763" s="1281"/>
      <c r="Q763" s="1281"/>
      <c r="R763" s="1281"/>
      <c r="S763" s="1281"/>
      <c r="T763" s="1281"/>
      <c r="U763" s="1281"/>
      <c r="V763" s="1281"/>
      <c r="W763" s="1281"/>
      <c r="X763" s="1281"/>
      <c r="Y763" s="1281"/>
      <c r="Z763" s="1281"/>
      <c r="AA763" s="1281"/>
      <c r="AB763" s="1281"/>
      <c r="AC763" s="1281"/>
      <c r="AD763" s="1281"/>
      <c r="AE763" s="1281"/>
      <c r="AF763" s="1281"/>
      <c r="AG763" s="1281"/>
      <c r="AH763" s="1281"/>
      <c r="AI763" s="1281"/>
      <c r="AJ763" s="1281"/>
      <c r="AK763" s="1281"/>
      <c r="AL763" s="1281"/>
      <c r="AM763" s="1281"/>
      <c r="AN763" s="1281"/>
      <c r="AO763" s="1281"/>
      <c r="AP763" s="1281"/>
      <c r="AQ763" s="1281"/>
      <c r="AR763" s="128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81"/>
      <c r="D764" s="1281"/>
      <c r="E764" s="1281"/>
      <c r="F764" s="1281"/>
      <c r="G764" s="1281"/>
      <c r="H764" s="1281"/>
      <c r="I764" s="1281"/>
      <c r="J764" s="1281"/>
      <c r="K764" s="1281"/>
      <c r="L764" s="1281"/>
      <c r="M764" s="1281"/>
      <c r="N764" s="1281"/>
      <c r="O764" s="1281"/>
      <c r="P764" s="1281"/>
      <c r="Q764" s="1281"/>
      <c r="R764" s="1281"/>
      <c r="S764" s="1281"/>
      <c r="T764" s="1281"/>
      <c r="U764" s="1281"/>
      <c r="V764" s="1281"/>
      <c r="W764" s="1281"/>
      <c r="X764" s="1281"/>
      <c r="Y764" s="1281"/>
      <c r="Z764" s="1281"/>
      <c r="AA764" s="1281"/>
      <c r="AB764" s="1281"/>
      <c r="AC764" s="1281"/>
      <c r="AD764" s="1281"/>
      <c r="AE764" s="1281"/>
      <c r="AF764" s="1281"/>
      <c r="AG764" s="1281"/>
      <c r="AH764" s="1281"/>
      <c r="AI764" s="1281"/>
      <c r="AJ764" s="1281"/>
      <c r="AK764" s="1281"/>
      <c r="AL764" s="1281"/>
      <c r="AM764" s="1281"/>
      <c r="AN764" s="1281"/>
      <c r="AO764" s="1281"/>
      <c r="AP764" s="1281"/>
      <c r="AQ764" s="1281"/>
      <c r="AR764" s="128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81"/>
      <c r="D765" s="1281"/>
      <c r="E765" s="1281"/>
      <c r="F765" s="1281"/>
      <c r="G765" s="1281"/>
      <c r="H765" s="1281"/>
      <c r="I765" s="1281"/>
      <c r="J765" s="1281"/>
      <c r="K765" s="1281"/>
      <c r="L765" s="1281"/>
      <c r="M765" s="1281"/>
      <c r="N765" s="1281"/>
      <c r="O765" s="1281"/>
      <c r="P765" s="1281"/>
      <c r="Q765" s="1281"/>
      <c r="R765" s="1281"/>
      <c r="S765" s="1281"/>
      <c r="T765" s="1281"/>
      <c r="U765" s="1281"/>
      <c r="V765" s="1281"/>
      <c r="W765" s="1281"/>
      <c r="X765" s="1281"/>
      <c r="Y765" s="1281"/>
      <c r="Z765" s="1281"/>
      <c r="AA765" s="1281"/>
      <c r="AB765" s="1281"/>
      <c r="AC765" s="1281"/>
      <c r="AD765" s="1281"/>
      <c r="AE765" s="1281"/>
      <c r="AF765" s="1281"/>
      <c r="AG765" s="1281"/>
      <c r="AH765" s="1281"/>
      <c r="AI765" s="1281"/>
      <c r="AJ765" s="1281"/>
      <c r="AK765" s="1281"/>
      <c r="AL765" s="1281"/>
      <c r="AM765" s="1281"/>
      <c r="AN765" s="1281"/>
      <c r="AO765" s="1281"/>
      <c r="AP765" s="1281"/>
      <c r="AQ765" s="1281"/>
      <c r="AR765" s="128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81" t="s">
        <v>2092</v>
      </c>
      <c r="D766" s="1281"/>
      <c r="E766" s="1281"/>
      <c r="F766" s="1281"/>
      <c r="G766" s="1281"/>
      <c r="H766" s="1281"/>
      <c r="I766" s="1281"/>
      <c r="J766" s="1281"/>
      <c r="K766" s="1281"/>
      <c r="L766" s="1281"/>
      <c r="M766" s="1281"/>
      <c r="N766" s="1281"/>
      <c r="O766" s="1281"/>
      <c r="P766" s="1281"/>
      <c r="Q766" s="1281"/>
      <c r="R766" s="1281"/>
      <c r="S766" s="1281"/>
      <c r="T766" s="1281"/>
      <c r="U766" s="1281"/>
      <c r="V766" s="1281"/>
      <c r="W766" s="1281"/>
      <c r="X766" s="1281"/>
      <c r="Y766" s="1281"/>
      <c r="Z766" s="1281"/>
      <c r="AA766" s="1281"/>
      <c r="AB766" s="1281"/>
      <c r="AC766" s="1281"/>
      <c r="AD766" s="1281"/>
      <c r="AE766" s="1281"/>
      <c r="AF766" s="1281"/>
      <c r="AG766" s="1281"/>
      <c r="AH766" s="1281"/>
      <c r="AI766" s="1281"/>
      <c r="AJ766" s="1281"/>
      <c r="AK766" s="1281"/>
      <c r="AL766" s="1281"/>
      <c r="AM766" s="1281"/>
      <c r="AN766" s="1281"/>
      <c r="AO766" s="1281"/>
      <c r="AP766" s="1281"/>
      <c r="AQ766" s="1281"/>
      <c r="AR766" s="128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81"/>
      <c r="D767" s="1281"/>
      <c r="E767" s="1281"/>
      <c r="F767" s="1281"/>
      <c r="G767" s="1281"/>
      <c r="H767" s="1281"/>
      <c r="I767" s="1281"/>
      <c r="J767" s="1281"/>
      <c r="K767" s="1281"/>
      <c r="L767" s="1281"/>
      <c r="M767" s="1281"/>
      <c r="N767" s="1281"/>
      <c r="O767" s="1281"/>
      <c r="P767" s="1281"/>
      <c r="Q767" s="1281"/>
      <c r="R767" s="1281"/>
      <c r="S767" s="1281"/>
      <c r="T767" s="1281"/>
      <c r="U767" s="1281"/>
      <c r="V767" s="1281"/>
      <c r="W767" s="1281"/>
      <c r="X767" s="1281"/>
      <c r="Y767" s="1281"/>
      <c r="Z767" s="1281"/>
      <c r="AA767" s="1281"/>
      <c r="AB767" s="1281"/>
      <c r="AC767" s="1281"/>
      <c r="AD767" s="1281"/>
      <c r="AE767" s="1281"/>
      <c r="AF767" s="1281"/>
      <c r="AG767" s="1281"/>
      <c r="AH767" s="1281"/>
      <c r="AI767" s="1281"/>
      <c r="AJ767" s="1281"/>
      <c r="AK767" s="1281"/>
      <c r="AL767" s="1281"/>
      <c r="AM767" s="1281"/>
      <c r="AN767" s="1281"/>
      <c r="AO767" s="1281"/>
      <c r="AP767" s="1281"/>
      <c r="AQ767" s="1281"/>
      <c r="AR767" s="128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81"/>
      <c r="D768" s="1281"/>
      <c r="E768" s="1281"/>
      <c r="F768" s="1281"/>
      <c r="G768" s="1281"/>
      <c r="H768" s="1281"/>
      <c r="I768" s="1281"/>
      <c r="J768" s="1281"/>
      <c r="K768" s="1281"/>
      <c r="L768" s="1281"/>
      <c r="M768" s="1281"/>
      <c r="N768" s="1281"/>
      <c r="O768" s="1281"/>
      <c r="P768" s="1281"/>
      <c r="Q768" s="1281"/>
      <c r="R768" s="1281"/>
      <c r="S768" s="1281"/>
      <c r="T768" s="1281"/>
      <c r="U768" s="1281"/>
      <c r="V768" s="1281"/>
      <c r="W768" s="1281"/>
      <c r="X768" s="1281"/>
      <c r="Y768" s="1281"/>
      <c r="Z768" s="1281"/>
      <c r="AA768" s="1281"/>
      <c r="AB768" s="1281"/>
      <c r="AC768" s="1281"/>
      <c r="AD768" s="1281"/>
      <c r="AE768" s="1281"/>
      <c r="AF768" s="1281"/>
      <c r="AG768" s="1281"/>
      <c r="AH768" s="1281"/>
      <c r="AI768" s="1281"/>
      <c r="AJ768" s="1281"/>
      <c r="AK768" s="1281"/>
      <c r="AL768" s="1281"/>
      <c r="AM768" s="1281"/>
      <c r="AN768" s="1281"/>
      <c r="AO768" s="1281"/>
      <c r="AP768" s="1281"/>
      <c r="AQ768" s="1281"/>
      <c r="AR768" s="128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19" t="s">
        <v>388</v>
      </c>
      <c r="K769" s="1499"/>
      <c r="L769" s="1499"/>
      <c r="M769" s="1499"/>
      <c r="N769" s="1500"/>
      <c r="O769" s="1605" t="s">
        <v>284</v>
      </c>
      <c r="P769" s="1605"/>
      <c r="Q769" s="1605"/>
      <c r="R769" s="1605"/>
      <c r="S769" s="1605"/>
      <c r="T769" s="1606" t="s">
        <v>1679</v>
      </c>
      <c r="U769" s="1607"/>
      <c r="V769" s="1607"/>
      <c r="W769" s="1608"/>
      <c r="X769" s="1619" t="s">
        <v>447</v>
      </c>
      <c r="Y769" s="1499"/>
      <c r="Z769" s="1499"/>
      <c r="AA769" s="1499"/>
      <c r="AB769" s="1500"/>
      <c r="AC769" s="1619" t="s">
        <v>285</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1"/>
      <c r="K770" s="1502"/>
      <c r="L770" s="1502"/>
      <c r="M770" s="1502"/>
      <c r="N770" s="1503"/>
      <c r="O770" s="1605"/>
      <c r="P770" s="1605"/>
      <c r="Q770" s="1605"/>
      <c r="R770" s="1605"/>
      <c r="S770" s="1605"/>
      <c r="T770" s="1609"/>
      <c r="U770" s="1610"/>
      <c r="V770" s="1610"/>
      <c r="W770" s="1611"/>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1"/>
      <c r="K771" s="1502"/>
      <c r="L771" s="1502"/>
      <c r="M771" s="1502"/>
      <c r="N771" s="1503"/>
      <c r="O771" s="1605"/>
      <c r="P771" s="1605"/>
      <c r="Q771" s="1605"/>
      <c r="R771" s="1605"/>
      <c r="S771" s="1605"/>
      <c r="T771" s="1609"/>
      <c r="U771" s="1610"/>
      <c r="V771" s="1610"/>
      <c r="W771" s="1611"/>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4"/>
      <c r="K772" s="1505"/>
      <c r="L772" s="1505"/>
      <c r="M772" s="1505"/>
      <c r="N772" s="1506"/>
      <c r="O772" s="1605"/>
      <c r="P772" s="1605"/>
      <c r="Q772" s="1605"/>
      <c r="R772" s="1605"/>
      <c r="S772" s="1605"/>
      <c r="T772" s="1630"/>
      <c r="U772" s="1631"/>
      <c r="V772" s="1631"/>
      <c r="W772" s="1632"/>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70" t="s">
        <v>163</v>
      </c>
      <c r="K773" s="1371"/>
      <c r="L773" s="1371"/>
      <c r="M773" s="1371"/>
      <c r="N773" s="1372"/>
      <c r="O773" s="1545">
        <v>1</v>
      </c>
      <c r="P773" s="1545"/>
      <c r="Q773" s="1545"/>
      <c r="R773" s="1545"/>
      <c r="S773" s="1545"/>
      <c r="T773" s="1612">
        <v>639</v>
      </c>
      <c r="U773" s="1613"/>
      <c r="V773" s="1613"/>
      <c r="W773" s="1614"/>
      <c r="X773" s="1489">
        <v>0</v>
      </c>
      <c r="Y773" s="1490"/>
      <c r="Z773" s="1490"/>
      <c r="AA773" s="1490"/>
      <c r="AB773" s="1491"/>
      <c r="AC773" s="1373">
        <f>X773*O773</f>
        <v>0</v>
      </c>
      <c r="AD773" s="1374"/>
      <c r="AE773" s="1374"/>
      <c r="AF773" s="1374"/>
      <c r="AG773" s="1375"/>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47">
        <f>IF(J773="SRO/Studio",O773,0)</f>
        <v>0</v>
      </c>
      <c r="CQ773" s="1348"/>
      <c r="CR773" s="1348"/>
      <c r="CS773" s="1348"/>
      <c r="CT773" s="1349"/>
      <c r="CU773" s="1369">
        <f>IF(J773="1 Bedroom",O773,0)</f>
        <v>0</v>
      </c>
      <c r="CV773" s="1369"/>
      <c r="CW773" s="1369"/>
      <c r="CX773" s="1369"/>
      <c r="CY773" s="1369"/>
      <c r="CZ773" s="1369">
        <f>IF(J773="2 Bedrooms",O773,0)</f>
        <v>1</v>
      </c>
      <c r="DA773" s="1369"/>
      <c r="DB773" s="1369"/>
      <c r="DC773" s="1369"/>
      <c r="DD773" s="1369"/>
      <c r="DE773" s="1369">
        <f>IF(J773="3 Bedrooms",O773,0)</f>
        <v>0</v>
      </c>
      <c r="DF773" s="1369"/>
      <c r="DG773" s="1369"/>
      <c r="DH773" s="1369"/>
      <c r="DI773" s="1369"/>
      <c r="DJ773" s="1369">
        <f>IF(J773="4 Bedrooms",O773,0)</f>
        <v>0</v>
      </c>
      <c r="DK773" s="1369"/>
      <c r="DL773" s="1369"/>
      <c r="DM773" s="1369"/>
      <c r="DN773" s="1369"/>
      <c r="DO773" s="1369">
        <f>IF(J773="5 Bedrooms",O773,0)</f>
        <v>0</v>
      </c>
      <c r="DP773" s="1369"/>
      <c r="DQ773" s="1369"/>
      <c r="DR773" s="1369"/>
      <c r="DS773" s="1369"/>
      <c r="DT773" s="6"/>
      <c r="DU773" s="3"/>
      <c r="DV773" s="3"/>
    </row>
    <row r="774" spans="1:126" ht="12.95" customHeight="1">
      <c r="J774" s="1370"/>
      <c r="K774" s="1371"/>
      <c r="L774" s="1371"/>
      <c r="M774" s="1371"/>
      <c r="N774" s="1372"/>
      <c r="O774" s="1545"/>
      <c r="P774" s="1545"/>
      <c r="Q774" s="1545"/>
      <c r="R774" s="1545"/>
      <c r="S774" s="1545"/>
      <c r="T774" s="1612"/>
      <c r="U774" s="1613"/>
      <c r="V774" s="1613"/>
      <c r="W774" s="1614"/>
      <c r="X774" s="1489"/>
      <c r="Y774" s="1490"/>
      <c r="Z774" s="1490"/>
      <c r="AA774" s="1490"/>
      <c r="AB774" s="1491"/>
      <c r="AC774" s="1373">
        <f>X774*O774</f>
        <v>0</v>
      </c>
      <c r="AD774" s="1374"/>
      <c r="AE774" s="1374"/>
      <c r="AF774" s="1374"/>
      <c r="AG774" s="1375"/>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47">
        <f>IF(J774="SRO/Studio",O774,0)</f>
        <v>0</v>
      </c>
      <c r="CQ774" s="1348"/>
      <c r="CR774" s="1348"/>
      <c r="CS774" s="1348"/>
      <c r="CT774" s="1349"/>
      <c r="CU774" s="1369">
        <f>IF(J774="1 Bedroom",O774,0)</f>
        <v>0</v>
      </c>
      <c r="CV774" s="1369"/>
      <c r="CW774" s="1369"/>
      <c r="CX774" s="1369"/>
      <c r="CY774" s="1369"/>
      <c r="CZ774" s="1369">
        <f>IF(J774="2 Bedrooms",O774,0)</f>
        <v>0</v>
      </c>
      <c r="DA774" s="1369"/>
      <c r="DB774" s="1369"/>
      <c r="DC774" s="1369"/>
      <c r="DD774" s="1369"/>
      <c r="DE774" s="1369">
        <f>IF(J774="3 Bedrooms",O774,0)</f>
        <v>0</v>
      </c>
      <c r="DF774" s="1369"/>
      <c r="DG774" s="1369"/>
      <c r="DH774" s="1369"/>
      <c r="DI774" s="1369"/>
      <c r="DJ774" s="1369">
        <f>IF(J774="4 Bedrooms",O774,0)</f>
        <v>0</v>
      </c>
      <c r="DK774" s="1369"/>
      <c r="DL774" s="1369"/>
      <c r="DM774" s="1369"/>
      <c r="DN774" s="1369"/>
      <c r="DO774" s="1369">
        <f>IF(J774="5 Bedrooms",O774,0)</f>
        <v>0</v>
      </c>
      <c r="DP774" s="1369"/>
      <c r="DQ774" s="1369"/>
      <c r="DR774" s="1369"/>
      <c r="DS774" s="1369"/>
      <c r="DT774" s="6"/>
      <c r="DU774" s="3"/>
      <c r="DV774" s="3"/>
    </row>
    <row r="775" spans="1:126" ht="12.95" customHeight="1">
      <c r="J775" s="1370"/>
      <c r="K775" s="1371"/>
      <c r="L775" s="1371"/>
      <c r="M775" s="1371"/>
      <c r="N775" s="1372"/>
      <c r="O775" s="1545"/>
      <c r="P775" s="1545"/>
      <c r="Q775" s="1545"/>
      <c r="R775" s="1545"/>
      <c r="S775" s="1545"/>
      <c r="T775" s="1612"/>
      <c r="U775" s="1613"/>
      <c r="V775" s="1613"/>
      <c r="W775" s="1614"/>
      <c r="X775" s="1489"/>
      <c r="Y775" s="1490"/>
      <c r="Z775" s="1490"/>
      <c r="AA775" s="1490"/>
      <c r="AB775" s="1491"/>
      <c r="AC775" s="1373">
        <f>X775*O775</f>
        <v>0</v>
      </c>
      <c r="AD775" s="1374"/>
      <c r="AE775" s="1374"/>
      <c r="AF775" s="1374"/>
      <c r="AG775" s="1375"/>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47">
        <f>IF(J775="SRO/Studio",O775,0)</f>
        <v>0</v>
      </c>
      <c r="CQ775" s="1348"/>
      <c r="CR775" s="1348"/>
      <c r="CS775" s="1348"/>
      <c r="CT775" s="1349"/>
      <c r="CU775" s="1369">
        <f>IF(J775="1 Bedroom",O775,0)</f>
        <v>0</v>
      </c>
      <c r="CV775" s="1369"/>
      <c r="CW775" s="1369"/>
      <c r="CX775" s="1369"/>
      <c r="CY775" s="1369"/>
      <c r="CZ775" s="1369">
        <f>IF(J775="2 Bedrooms",O775,0)</f>
        <v>0</v>
      </c>
      <c r="DA775" s="1369"/>
      <c r="DB775" s="1369"/>
      <c r="DC775" s="1369"/>
      <c r="DD775" s="1369"/>
      <c r="DE775" s="1369">
        <f>IF(J775="3 Bedrooms",O775,0)</f>
        <v>0</v>
      </c>
      <c r="DF775" s="1369"/>
      <c r="DG775" s="1369"/>
      <c r="DH775" s="1369"/>
      <c r="DI775" s="1369"/>
      <c r="DJ775" s="1369">
        <f>IF(J775="4 Bedrooms",O775,0)</f>
        <v>0</v>
      </c>
      <c r="DK775" s="1369"/>
      <c r="DL775" s="1369"/>
      <c r="DM775" s="1369"/>
      <c r="DN775" s="1369"/>
      <c r="DO775" s="1369">
        <f>IF(J775="5 Bedrooms",O775,0)</f>
        <v>0</v>
      </c>
      <c r="DP775" s="1369"/>
      <c r="DQ775" s="1369"/>
      <c r="DR775" s="1369"/>
      <c r="DS775" s="1369"/>
      <c r="DT775" s="1013"/>
    </row>
    <row r="776" spans="1:126" ht="12.95" customHeight="1">
      <c r="J776" s="1370"/>
      <c r="K776" s="1371"/>
      <c r="L776" s="1371"/>
      <c r="M776" s="1371"/>
      <c r="N776" s="1372"/>
      <c r="O776" s="1545"/>
      <c r="P776" s="1545"/>
      <c r="Q776" s="1545"/>
      <c r="R776" s="1545"/>
      <c r="S776" s="1545"/>
      <c r="T776" s="1612"/>
      <c r="U776" s="1613"/>
      <c r="V776" s="1613"/>
      <c r="W776" s="1614"/>
      <c r="X776" s="1489"/>
      <c r="Y776" s="1490"/>
      <c r="Z776" s="1490"/>
      <c r="AA776" s="1490"/>
      <c r="AB776" s="1491"/>
      <c r="AC776" s="1373">
        <f>X776*O776</f>
        <v>0</v>
      </c>
      <c r="AD776" s="1374"/>
      <c r="AE776" s="1374"/>
      <c r="AF776" s="1374"/>
      <c r="AG776" s="1375"/>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47">
        <f>IF(J776="SRO/Studio",O776,0)</f>
        <v>0</v>
      </c>
      <c r="CQ776" s="1348"/>
      <c r="CR776" s="1348"/>
      <c r="CS776" s="1348"/>
      <c r="CT776" s="1349"/>
      <c r="CU776" s="1369">
        <f>IF(J776="1 Bedroom",O776,0)</f>
        <v>0</v>
      </c>
      <c r="CV776" s="1369"/>
      <c r="CW776" s="1369"/>
      <c r="CX776" s="1369"/>
      <c r="CY776" s="1369"/>
      <c r="CZ776" s="1369">
        <f>IF(J776="2 Bedrooms",O776,0)</f>
        <v>0</v>
      </c>
      <c r="DA776" s="1369"/>
      <c r="DB776" s="1369"/>
      <c r="DC776" s="1369"/>
      <c r="DD776" s="1369"/>
      <c r="DE776" s="1369">
        <f>IF(J776="3 Bedrooms",O776,0)</f>
        <v>0</v>
      </c>
      <c r="DF776" s="1369"/>
      <c r="DG776" s="1369"/>
      <c r="DH776" s="1369"/>
      <c r="DI776" s="1369"/>
      <c r="DJ776" s="1369">
        <f>IF(J776="4 Bedrooms",O776,0)</f>
        <v>0</v>
      </c>
      <c r="DK776" s="1369"/>
      <c r="DL776" s="1369"/>
      <c r="DM776" s="1369"/>
      <c r="DN776" s="1369"/>
      <c r="DO776" s="1369">
        <f>IF(J776="5 Bedrooms",O776,0)</f>
        <v>0</v>
      </c>
      <c r="DP776" s="1369"/>
      <c r="DQ776" s="1369"/>
      <c r="DR776" s="1369"/>
      <c r="DS776" s="1369"/>
    </row>
    <row r="777" spans="1:126" ht="12.95" customHeight="1">
      <c r="J777" s="1485" t="s">
        <v>125</v>
      </c>
      <c r="K777" s="1486"/>
      <c r="L777" s="1486"/>
      <c r="M777" s="1486"/>
      <c r="N777" s="1488"/>
      <c r="O777" s="1350">
        <f>SUM(O773:S776)</f>
        <v>1</v>
      </c>
      <c r="P777" s="1351"/>
      <c r="Q777" s="1351"/>
      <c r="R777" s="1351"/>
      <c r="S777" s="1352"/>
      <c r="X777" s="1485" t="s">
        <v>124</v>
      </c>
      <c r="Y777" s="1486"/>
      <c r="Z777" s="1486"/>
      <c r="AA777" s="1486"/>
      <c r="AB777" s="1488"/>
      <c r="AC777" s="1373">
        <f>SUM(AC773:AG776)</f>
        <v>0</v>
      </c>
      <c r="AD777" s="1374"/>
      <c r="AE777" s="1374"/>
      <c r="AF777" s="1374"/>
      <c r="AG777" s="1375"/>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50">
        <f>SUM(CP773:CT776)</f>
        <v>0</v>
      </c>
      <c r="CQ777" s="1351"/>
      <c r="CR777" s="1351"/>
      <c r="CS777" s="1351"/>
      <c r="CT777" s="1352"/>
      <c r="CU777" s="1363">
        <f>SUM(CU773:CY776)</f>
        <v>0</v>
      </c>
      <c r="CV777" s="1364"/>
      <c r="CW777" s="1364"/>
      <c r="CX777" s="1364"/>
      <c r="CY777" s="1365"/>
      <c r="CZ777" s="1363">
        <f>SUM(CZ773:DD776)</f>
        <v>1</v>
      </c>
      <c r="DA777" s="1364"/>
      <c r="DB777" s="1364"/>
      <c r="DC777" s="1364"/>
      <c r="DD777" s="1365"/>
      <c r="DE777" s="1363">
        <f>SUM(DE773:DI776)</f>
        <v>0</v>
      </c>
      <c r="DF777" s="1364"/>
      <c r="DG777" s="1364"/>
      <c r="DH777" s="1364"/>
      <c r="DI777" s="1365"/>
      <c r="DJ777" s="1363">
        <f>SUM(DJ773:DN776)</f>
        <v>0</v>
      </c>
      <c r="DK777" s="1364"/>
      <c r="DL777" s="1364"/>
      <c r="DM777" s="1364"/>
      <c r="DN777" s="1365"/>
      <c r="DO777" s="1363">
        <f>SUM(DO773:DS776)</f>
        <v>0</v>
      </c>
      <c r="DP777" s="1364"/>
      <c r="DQ777" s="1364"/>
      <c r="DR777" s="1364"/>
      <c r="DS777" s="1365"/>
      <c r="DU777" s="862">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2.95" customHeight="1">
      <c r="B779" s="56"/>
      <c r="C779" s="56"/>
      <c r="D779" s="56"/>
      <c r="E779" s="56"/>
      <c r="F779" s="56"/>
      <c r="G779" s="6"/>
      <c r="H779" s="6"/>
      <c r="I779" s="6"/>
      <c r="J779" s="1397" t="s">
        <v>669</v>
      </c>
      <c r="K779" s="1397"/>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19" t="s">
        <v>388</v>
      </c>
      <c r="K783" s="1499"/>
      <c r="L783" s="1499"/>
      <c r="M783" s="1499"/>
      <c r="N783" s="1500"/>
      <c r="O783" s="1605" t="s">
        <v>284</v>
      </c>
      <c r="P783" s="1605"/>
      <c r="Q783" s="1605"/>
      <c r="R783" s="1605"/>
      <c r="S783" s="1605"/>
      <c r="T783" s="1606" t="s">
        <v>1679</v>
      </c>
      <c r="U783" s="1607"/>
      <c r="V783" s="1607"/>
      <c r="W783" s="1608"/>
      <c r="X783" s="1619" t="s">
        <v>447</v>
      </c>
      <c r="Y783" s="1499"/>
      <c r="Z783" s="1499"/>
      <c r="AA783" s="1499"/>
      <c r="AB783" s="1500"/>
      <c r="AC783" s="1619" t="s">
        <v>285</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1"/>
      <c r="K784" s="1502"/>
      <c r="L784" s="1502"/>
      <c r="M784" s="1502"/>
      <c r="N784" s="1503"/>
      <c r="O784" s="1605"/>
      <c r="P784" s="1605"/>
      <c r="Q784" s="1605"/>
      <c r="R784" s="1605"/>
      <c r="S784" s="1605"/>
      <c r="T784" s="1609"/>
      <c r="U784" s="1610"/>
      <c r="V784" s="1610"/>
      <c r="W784" s="1611"/>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1"/>
      <c r="K785" s="1502"/>
      <c r="L785" s="1502"/>
      <c r="M785" s="1502"/>
      <c r="N785" s="1503"/>
      <c r="O785" s="1605"/>
      <c r="P785" s="1605"/>
      <c r="Q785" s="1605"/>
      <c r="R785" s="1605"/>
      <c r="S785" s="1605"/>
      <c r="T785" s="1609"/>
      <c r="U785" s="1610"/>
      <c r="V785" s="1610"/>
      <c r="W785" s="1611"/>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4"/>
      <c r="K786" s="1505"/>
      <c r="L786" s="1505"/>
      <c r="M786" s="1505"/>
      <c r="N786" s="1506"/>
      <c r="O786" s="1605"/>
      <c r="P786" s="1605"/>
      <c r="Q786" s="1605"/>
      <c r="R786" s="1605"/>
      <c r="S786" s="1605"/>
      <c r="T786" s="1630"/>
      <c r="U786" s="1631"/>
      <c r="V786" s="1631"/>
      <c r="W786" s="1632"/>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70"/>
      <c r="K787" s="1371"/>
      <c r="L787" s="1371"/>
      <c r="M787" s="1371"/>
      <c r="N787" s="1372"/>
      <c r="O787" s="1545"/>
      <c r="P787" s="1545"/>
      <c r="Q787" s="1545"/>
      <c r="R787" s="1545"/>
      <c r="S787" s="1545"/>
      <c r="T787" s="1612"/>
      <c r="U787" s="1613"/>
      <c r="V787" s="1613"/>
      <c r="W787" s="1614"/>
      <c r="X787" s="1489"/>
      <c r="Y787" s="1490"/>
      <c r="Z787" s="1490"/>
      <c r="AA787" s="1490"/>
      <c r="AB787" s="1491"/>
      <c r="AC787" s="1373">
        <f t="shared" ref="AC787:AC796" si="41">X787*O787</f>
        <v>0</v>
      </c>
      <c r="AD787" s="1374"/>
      <c r="AE787" s="1374"/>
      <c r="AF787" s="1374"/>
      <c r="AG787" s="137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47">
        <f t="shared" ref="CP787:CP796" si="42">IF(J787="SRO/Studio",O787,0)</f>
        <v>0</v>
      </c>
      <c r="CQ787" s="1348"/>
      <c r="CR787" s="1348"/>
      <c r="CS787" s="1348"/>
      <c r="CT787" s="1349"/>
      <c r="CU787" s="1347">
        <f t="shared" ref="CU787:CU796" si="43">IF(J787="1 Bedroom",O787,0)</f>
        <v>0</v>
      </c>
      <c r="CV787" s="1348"/>
      <c r="CW787" s="1348"/>
      <c r="CX787" s="1348"/>
      <c r="CY787" s="1349"/>
      <c r="CZ787" s="1347">
        <f t="shared" ref="CZ787:CZ796" si="44">IF(J787="2 Bedrooms",O787,0)</f>
        <v>0</v>
      </c>
      <c r="DA787" s="1348"/>
      <c r="DB787" s="1348"/>
      <c r="DC787" s="1348"/>
      <c r="DD787" s="1349"/>
      <c r="DE787" s="1347">
        <f t="shared" ref="DE787:DE796" si="45">IF(J787="3 Bedrooms",O787,0)</f>
        <v>0</v>
      </c>
      <c r="DF787" s="1348"/>
      <c r="DG787" s="1348"/>
      <c r="DH787" s="1348"/>
      <c r="DI787" s="1349"/>
      <c r="DJ787" s="1347">
        <f t="shared" ref="DJ787:DJ796" si="46">IF(J787="4 Bedrooms",O787,0)</f>
        <v>0</v>
      </c>
      <c r="DK787" s="1348"/>
      <c r="DL787" s="1348"/>
      <c r="DM787" s="1348"/>
      <c r="DN787" s="1349"/>
      <c r="DO787" s="1347">
        <f t="shared" ref="DO787:DO796" si="47">IF(J787="5 Bedrooms",O787,0)</f>
        <v>0</v>
      </c>
      <c r="DP787" s="1348"/>
      <c r="DQ787" s="1348"/>
      <c r="DR787" s="1348"/>
      <c r="DS787" s="1349"/>
      <c r="DT787" s="6"/>
      <c r="DU787" s="1347">
        <f t="shared" ref="DU787:DU796" si="48">IF(AND(CP787&gt;=1,AH787&gt;=0.1,AH787&lt;=1),O787,0)</f>
        <v>0</v>
      </c>
      <c r="DV787" s="1348"/>
      <c r="DW787" s="1348"/>
      <c r="DX787" s="1348"/>
      <c r="DY787" s="1349"/>
      <c r="DZ787" s="1347">
        <f t="shared" ref="DZ787:DZ796" si="49">IF(AND(CU787&gt;=1,AH787&gt;=0.1,AH787&lt;=1),O787,0)</f>
        <v>0</v>
      </c>
      <c r="EA787" s="1348"/>
      <c r="EB787" s="1348"/>
      <c r="EC787" s="1348"/>
      <c r="ED787" s="1349"/>
      <c r="EE787" s="1347">
        <f t="shared" ref="EE787:EE796" si="50">IF(AND(CZ787&gt;=1,AH787&gt;=0.1,AH787&lt;=1),O787,0)</f>
        <v>0</v>
      </c>
      <c r="EF787" s="1348"/>
      <c r="EG787" s="1348"/>
      <c r="EH787" s="1348"/>
      <c r="EI787" s="1349"/>
      <c r="EJ787" s="1347">
        <f t="shared" ref="EJ787:EJ796" si="51">IF(AND(DE787&gt;=1,AH787&gt;=0.1,AH787&lt;=1),O787,0)</f>
        <v>0</v>
      </c>
      <c r="EK787" s="1348"/>
      <c r="EL787" s="1348"/>
      <c r="EM787" s="1348"/>
      <c r="EN787" s="1349"/>
      <c r="EO787" s="1347">
        <f t="shared" ref="EO787:EO796" si="52">IF(AND(DJ787&gt;=1,AH787&gt;=0.1,AH787&lt;=1),O787,0)</f>
        <v>0</v>
      </c>
      <c r="EP787" s="1348"/>
      <c r="EQ787" s="1348"/>
      <c r="ER787" s="1348"/>
      <c r="ES787" s="1349"/>
      <c r="ET787" s="1347">
        <f t="shared" ref="ET787:ET796" si="53">IF(AND(DO787&gt;=1,AH787&gt;=0.1,AH787&lt;=1),O787,0)</f>
        <v>0</v>
      </c>
      <c r="EU787" s="1348"/>
      <c r="EV787" s="1348"/>
      <c r="EW787" s="1348"/>
      <c r="EX787" s="1349"/>
    </row>
    <row r="788" spans="1:154" s="14" customFormat="1" ht="12.95" customHeight="1">
      <c r="A788"/>
      <c r="B788"/>
      <c r="C788"/>
      <c r="D788"/>
      <c r="E788"/>
      <c r="F788"/>
      <c r="G788"/>
      <c r="H788"/>
      <c r="I788"/>
      <c r="J788" s="1370"/>
      <c r="K788" s="1371"/>
      <c r="L788" s="1371"/>
      <c r="M788" s="1371"/>
      <c r="N788" s="1372"/>
      <c r="O788" s="1545"/>
      <c r="P788" s="1545"/>
      <c r="Q788" s="1545"/>
      <c r="R788" s="1545"/>
      <c r="S788" s="1545"/>
      <c r="T788" s="1612"/>
      <c r="U788" s="1613"/>
      <c r="V788" s="1613"/>
      <c r="W788" s="1614"/>
      <c r="X788" s="1489"/>
      <c r="Y788" s="1490"/>
      <c r="Z788" s="1490"/>
      <c r="AA788" s="1490"/>
      <c r="AB788" s="1491"/>
      <c r="AC788" s="1373">
        <f t="shared" si="41"/>
        <v>0</v>
      </c>
      <c r="AD788" s="1374"/>
      <c r="AE788" s="1374"/>
      <c r="AF788" s="1374"/>
      <c r="AG788" s="137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47">
        <f t="shared" si="42"/>
        <v>0</v>
      </c>
      <c r="CQ788" s="1348"/>
      <c r="CR788" s="1348"/>
      <c r="CS788" s="1348"/>
      <c r="CT788" s="1349"/>
      <c r="CU788" s="1347">
        <f t="shared" si="43"/>
        <v>0</v>
      </c>
      <c r="CV788" s="1348"/>
      <c r="CW788" s="1348"/>
      <c r="CX788" s="1348"/>
      <c r="CY788" s="1349"/>
      <c r="CZ788" s="1347">
        <f t="shared" si="44"/>
        <v>0</v>
      </c>
      <c r="DA788" s="1348"/>
      <c r="DB788" s="1348"/>
      <c r="DC788" s="1348"/>
      <c r="DD788" s="1349"/>
      <c r="DE788" s="1347">
        <f t="shared" si="45"/>
        <v>0</v>
      </c>
      <c r="DF788" s="1348"/>
      <c r="DG788" s="1348"/>
      <c r="DH788" s="1348"/>
      <c r="DI788" s="1349"/>
      <c r="DJ788" s="1347">
        <f t="shared" si="46"/>
        <v>0</v>
      </c>
      <c r="DK788" s="1348"/>
      <c r="DL788" s="1348"/>
      <c r="DM788" s="1348"/>
      <c r="DN788" s="1349"/>
      <c r="DO788" s="1347">
        <f t="shared" si="47"/>
        <v>0</v>
      </c>
      <c r="DP788" s="1348"/>
      <c r="DQ788" s="1348"/>
      <c r="DR788" s="1348"/>
      <c r="DS788" s="1349"/>
      <c r="DT788" s="6"/>
      <c r="DU788" s="1347">
        <f t="shared" si="48"/>
        <v>0</v>
      </c>
      <c r="DV788" s="1348"/>
      <c r="DW788" s="1348"/>
      <c r="DX788" s="1348"/>
      <c r="DY788" s="1349"/>
      <c r="DZ788" s="1347">
        <f t="shared" si="49"/>
        <v>0</v>
      </c>
      <c r="EA788" s="1348"/>
      <c r="EB788" s="1348"/>
      <c r="EC788" s="1348"/>
      <c r="ED788" s="1349"/>
      <c r="EE788" s="1347">
        <f t="shared" si="50"/>
        <v>0</v>
      </c>
      <c r="EF788" s="1348"/>
      <c r="EG788" s="1348"/>
      <c r="EH788" s="1348"/>
      <c r="EI788" s="1349"/>
      <c r="EJ788" s="1347">
        <f t="shared" si="51"/>
        <v>0</v>
      </c>
      <c r="EK788" s="1348"/>
      <c r="EL788" s="1348"/>
      <c r="EM788" s="1348"/>
      <c r="EN788" s="1349"/>
      <c r="EO788" s="1347">
        <f t="shared" si="52"/>
        <v>0</v>
      </c>
      <c r="EP788" s="1348"/>
      <c r="EQ788" s="1348"/>
      <c r="ER788" s="1348"/>
      <c r="ES788" s="1349"/>
      <c r="ET788" s="1347">
        <f t="shared" si="53"/>
        <v>0</v>
      </c>
      <c r="EU788" s="1348"/>
      <c r="EV788" s="1348"/>
      <c r="EW788" s="1348"/>
      <c r="EX788" s="1349"/>
    </row>
    <row r="789" spans="1:154" s="14" customFormat="1" ht="12.95" customHeight="1">
      <c r="A789"/>
      <c r="B789"/>
      <c r="C789"/>
      <c r="D789"/>
      <c r="E789"/>
      <c r="F789"/>
      <c r="G789"/>
      <c r="H789"/>
      <c r="I789"/>
      <c r="J789" s="1370"/>
      <c r="K789" s="1371"/>
      <c r="L789" s="1371"/>
      <c r="M789" s="1371"/>
      <c r="N789" s="1372"/>
      <c r="O789" s="1545"/>
      <c r="P789" s="1545"/>
      <c r="Q789" s="1545"/>
      <c r="R789" s="1545"/>
      <c r="S789" s="1545"/>
      <c r="T789" s="1612"/>
      <c r="U789" s="1613"/>
      <c r="V789" s="1613"/>
      <c r="W789" s="1614"/>
      <c r="X789" s="1489"/>
      <c r="Y789" s="1490"/>
      <c r="Z789" s="1490"/>
      <c r="AA789" s="1490"/>
      <c r="AB789" s="1491"/>
      <c r="AC789" s="1373">
        <f t="shared" si="41"/>
        <v>0</v>
      </c>
      <c r="AD789" s="1374"/>
      <c r="AE789" s="1374"/>
      <c r="AF789" s="1374"/>
      <c r="AG789" s="137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47">
        <f t="shared" si="42"/>
        <v>0</v>
      </c>
      <c r="CQ789" s="1348"/>
      <c r="CR789" s="1348"/>
      <c r="CS789" s="1348"/>
      <c r="CT789" s="1349"/>
      <c r="CU789" s="1347">
        <f t="shared" si="43"/>
        <v>0</v>
      </c>
      <c r="CV789" s="1348"/>
      <c r="CW789" s="1348"/>
      <c r="CX789" s="1348"/>
      <c r="CY789" s="1349"/>
      <c r="CZ789" s="1347">
        <f t="shared" si="44"/>
        <v>0</v>
      </c>
      <c r="DA789" s="1348"/>
      <c r="DB789" s="1348"/>
      <c r="DC789" s="1348"/>
      <c r="DD789" s="1349"/>
      <c r="DE789" s="1347">
        <f t="shared" si="45"/>
        <v>0</v>
      </c>
      <c r="DF789" s="1348"/>
      <c r="DG789" s="1348"/>
      <c r="DH789" s="1348"/>
      <c r="DI789" s="1349"/>
      <c r="DJ789" s="1347">
        <f t="shared" si="46"/>
        <v>0</v>
      </c>
      <c r="DK789" s="1348"/>
      <c r="DL789" s="1348"/>
      <c r="DM789" s="1348"/>
      <c r="DN789" s="1349"/>
      <c r="DO789" s="1347">
        <f t="shared" si="47"/>
        <v>0</v>
      </c>
      <c r="DP789" s="1348"/>
      <c r="DQ789" s="1348"/>
      <c r="DR789" s="1348"/>
      <c r="DS789" s="1349"/>
      <c r="DT789" s="6"/>
      <c r="DU789" s="1347">
        <f t="shared" si="48"/>
        <v>0</v>
      </c>
      <c r="DV789" s="1348"/>
      <c r="DW789" s="1348"/>
      <c r="DX789" s="1348"/>
      <c r="DY789" s="1349"/>
      <c r="DZ789" s="1347">
        <f t="shared" si="49"/>
        <v>0</v>
      </c>
      <c r="EA789" s="1348"/>
      <c r="EB789" s="1348"/>
      <c r="EC789" s="1348"/>
      <c r="ED789" s="1349"/>
      <c r="EE789" s="1347">
        <f t="shared" si="50"/>
        <v>0</v>
      </c>
      <c r="EF789" s="1348"/>
      <c r="EG789" s="1348"/>
      <c r="EH789" s="1348"/>
      <c r="EI789" s="1349"/>
      <c r="EJ789" s="1347">
        <f t="shared" si="51"/>
        <v>0</v>
      </c>
      <c r="EK789" s="1348"/>
      <c r="EL789" s="1348"/>
      <c r="EM789" s="1348"/>
      <c r="EN789" s="1349"/>
      <c r="EO789" s="1347">
        <f t="shared" si="52"/>
        <v>0</v>
      </c>
      <c r="EP789" s="1348"/>
      <c r="EQ789" s="1348"/>
      <c r="ER789" s="1348"/>
      <c r="ES789" s="1349"/>
      <c r="ET789" s="1347">
        <f t="shared" si="53"/>
        <v>0</v>
      </c>
      <c r="EU789" s="1348"/>
      <c r="EV789" s="1348"/>
      <c r="EW789" s="1348"/>
      <c r="EX789" s="1349"/>
    </row>
    <row r="790" spans="1:154" s="14" customFormat="1" ht="12.95" customHeight="1">
      <c r="A790"/>
      <c r="B790"/>
      <c r="C790"/>
      <c r="D790"/>
      <c r="E790"/>
      <c r="F790"/>
      <c r="G790"/>
      <c r="H790"/>
      <c r="I790"/>
      <c r="J790" s="1370"/>
      <c r="K790" s="1371"/>
      <c r="L790" s="1371"/>
      <c r="M790" s="1371"/>
      <c r="N790" s="1372"/>
      <c r="O790" s="1545"/>
      <c r="P790" s="1545"/>
      <c r="Q790" s="1545"/>
      <c r="R790" s="1545"/>
      <c r="S790" s="1545"/>
      <c r="T790" s="1612"/>
      <c r="U790" s="1613"/>
      <c r="V790" s="1613"/>
      <c r="W790" s="1614"/>
      <c r="X790" s="1489"/>
      <c r="Y790" s="1490"/>
      <c r="Z790" s="1490"/>
      <c r="AA790" s="1490"/>
      <c r="AB790" s="1491"/>
      <c r="AC790" s="1373">
        <f t="shared" si="41"/>
        <v>0</v>
      </c>
      <c r="AD790" s="1374"/>
      <c r="AE790" s="1374"/>
      <c r="AF790" s="1374"/>
      <c r="AG790" s="137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47">
        <f t="shared" si="42"/>
        <v>0</v>
      </c>
      <c r="CQ790" s="1348"/>
      <c r="CR790" s="1348"/>
      <c r="CS790" s="1348"/>
      <c r="CT790" s="1349"/>
      <c r="CU790" s="1347">
        <f t="shared" si="43"/>
        <v>0</v>
      </c>
      <c r="CV790" s="1348"/>
      <c r="CW790" s="1348"/>
      <c r="CX790" s="1348"/>
      <c r="CY790" s="1349"/>
      <c r="CZ790" s="1347">
        <f t="shared" si="44"/>
        <v>0</v>
      </c>
      <c r="DA790" s="1348"/>
      <c r="DB790" s="1348"/>
      <c r="DC790" s="1348"/>
      <c r="DD790" s="1349"/>
      <c r="DE790" s="1347">
        <f t="shared" si="45"/>
        <v>0</v>
      </c>
      <c r="DF790" s="1348"/>
      <c r="DG790" s="1348"/>
      <c r="DH790" s="1348"/>
      <c r="DI790" s="1349"/>
      <c r="DJ790" s="1347">
        <f t="shared" si="46"/>
        <v>0</v>
      </c>
      <c r="DK790" s="1348"/>
      <c r="DL790" s="1348"/>
      <c r="DM790" s="1348"/>
      <c r="DN790" s="1349"/>
      <c r="DO790" s="1347">
        <f t="shared" si="47"/>
        <v>0</v>
      </c>
      <c r="DP790" s="1348"/>
      <c r="DQ790" s="1348"/>
      <c r="DR790" s="1348"/>
      <c r="DS790" s="1349"/>
      <c r="DT790" s="6"/>
      <c r="DU790" s="1347">
        <f t="shared" si="48"/>
        <v>0</v>
      </c>
      <c r="DV790" s="1348"/>
      <c r="DW790" s="1348"/>
      <c r="DX790" s="1348"/>
      <c r="DY790" s="1349"/>
      <c r="DZ790" s="1347">
        <f t="shared" si="49"/>
        <v>0</v>
      </c>
      <c r="EA790" s="1348"/>
      <c r="EB790" s="1348"/>
      <c r="EC790" s="1348"/>
      <c r="ED790" s="1349"/>
      <c r="EE790" s="1347">
        <f t="shared" si="50"/>
        <v>0</v>
      </c>
      <c r="EF790" s="1348"/>
      <c r="EG790" s="1348"/>
      <c r="EH790" s="1348"/>
      <c r="EI790" s="1349"/>
      <c r="EJ790" s="1347">
        <f t="shared" si="51"/>
        <v>0</v>
      </c>
      <c r="EK790" s="1348"/>
      <c r="EL790" s="1348"/>
      <c r="EM790" s="1348"/>
      <c r="EN790" s="1349"/>
      <c r="EO790" s="1347">
        <f t="shared" si="52"/>
        <v>0</v>
      </c>
      <c r="EP790" s="1348"/>
      <c r="EQ790" s="1348"/>
      <c r="ER790" s="1348"/>
      <c r="ES790" s="1349"/>
      <c r="ET790" s="1347">
        <f t="shared" si="53"/>
        <v>0</v>
      </c>
      <c r="EU790" s="1348"/>
      <c r="EV790" s="1348"/>
      <c r="EW790" s="1348"/>
      <c r="EX790" s="1349"/>
    </row>
    <row r="791" spans="1:154" s="14" customFormat="1" ht="12.95" customHeight="1">
      <c r="A791"/>
      <c r="B791"/>
      <c r="C791"/>
      <c r="D791"/>
      <c r="E791"/>
      <c r="F791"/>
      <c r="G791"/>
      <c r="H791"/>
      <c r="I791"/>
      <c r="J791" s="1370"/>
      <c r="K791" s="1371"/>
      <c r="L791" s="1371"/>
      <c r="M791" s="1371"/>
      <c r="N791" s="1372"/>
      <c r="O791" s="1545"/>
      <c r="P791" s="1545"/>
      <c r="Q791" s="1545"/>
      <c r="R791" s="1545"/>
      <c r="S791" s="1545"/>
      <c r="T791" s="1612"/>
      <c r="U791" s="1613"/>
      <c r="V791" s="1613"/>
      <c r="W791" s="1614"/>
      <c r="X791" s="1489"/>
      <c r="Y791" s="1490"/>
      <c r="Z791" s="1490"/>
      <c r="AA791" s="1490"/>
      <c r="AB791" s="1491"/>
      <c r="AC791" s="1373">
        <f t="shared" si="41"/>
        <v>0</v>
      </c>
      <c r="AD791" s="1374"/>
      <c r="AE791" s="1374"/>
      <c r="AF791" s="1374"/>
      <c r="AG791" s="137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47">
        <f t="shared" si="42"/>
        <v>0</v>
      </c>
      <c r="CQ791" s="1348"/>
      <c r="CR791" s="1348"/>
      <c r="CS791" s="1348"/>
      <c r="CT791" s="1349"/>
      <c r="CU791" s="1347">
        <f t="shared" si="43"/>
        <v>0</v>
      </c>
      <c r="CV791" s="1348"/>
      <c r="CW791" s="1348"/>
      <c r="CX791" s="1348"/>
      <c r="CY791" s="1349"/>
      <c r="CZ791" s="1347">
        <f t="shared" si="44"/>
        <v>0</v>
      </c>
      <c r="DA791" s="1348"/>
      <c r="DB791" s="1348"/>
      <c r="DC791" s="1348"/>
      <c r="DD791" s="1349"/>
      <c r="DE791" s="1347">
        <f t="shared" si="45"/>
        <v>0</v>
      </c>
      <c r="DF791" s="1348"/>
      <c r="DG791" s="1348"/>
      <c r="DH791" s="1348"/>
      <c r="DI791" s="1349"/>
      <c r="DJ791" s="1347">
        <f t="shared" si="46"/>
        <v>0</v>
      </c>
      <c r="DK791" s="1348"/>
      <c r="DL791" s="1348"/>
      <c r="DM791" s="1348"/>
      <c r="DN791" s="1349"/>
      <c r="DO791" s="1347">
        <f t="shared" si="47"/>
        <v>0</v>
      </c>
      <c r="DP791" s="1348"/>
      <c r="DQ791" s="1348"/>
      <c r="DR791" s="1348"/>
      <c r="DS791" s="1349"/>
      <c r="DT791" s="6"/>
      <c r="DU791" s="1347">
        <f t="shared" si="48"/>
        <v>0</v>
      </c>
      <c r="DV791" s="1348"/>
      <c r="DW791" s="1348"/>
      <c r="DX791" s="1348"/>
      <c r="DY791" s="1349"/>
      <c r="DZ791" s="1347">
        <f t="shared" si="49"/>
        <v>0</v>
      </c>
      <c r="EA791" s="1348"/>
      <c r="EB791" s="1348"/>
      <c r="EC791" s="1348"/>
      <c r="ED791" s="1349"/>
      <c r="EE791" s="1347">
        <f t="shared" si="50"/>
        <v>0</v>
      </c>
      <c r="EF791" s="1348"/>
      <c r="EG791" s="1348"/>
      <c r="EH791" s="1348"/>
      <c r="EI791" s="1349"/>
      <c r="EJ791" s="1347">
        <f t="shared" si="51"/>
        <v>0</v>
      </c>
      <c r="EK791" s="1348"/>
      <c r="EL791" s="1348"/>
      <c r="EM791" s="1348"/>
      <c r="EN791" s="1349"/>
      <c r="EO791" s="1347">
        <f t="shared" si="52"/>
        <v>0</v>
      </c>
      <c r="EP791" s="1348"/>
      <c r="EQ791" s="1348"/>
      <c r="ER791" s="1348"/>
      <c r="ES791" s="1349"/>
      <c r="ET791" s="1347">
        <f t="shared" si="53"/>
        <v>0</v>
      </c>
      <c r="EU791" s="1348"/>
      <c r="EV791" s="1348"/>
      <c r="EW791" s="1348"/>
      <c r="EX791" s="1349"/>
    </row>
    <row r="792" spans="1:154" s="14" customFormat="1" ht="12.95" customHeight="1">
      <c r="A792"/>
      <c r="B792"/>
      <c r="C792"/>
      <c r="D792"/>
      <c r="E792"/>
      <c r="F792"/>
      <c r="G792"/>
      <c r="H792"/>
      <c r="I792"/>
      <c r="J792" s="1370"/>
      <c r="K792" s="1371"/>
      <c r="L792" s="1371"/>
      <c r="M792" s="1371"/>
      <c r="N792" s="1372"/>
      <c r="O792" s="1545"/>
      <c r="P792" s="1545"/>
      <c r="Q792" s="1545"/>
      <c r="R792" s="1545"/>
      <c r="S792" s="1545"/>
      <c r="T792" s="1612"/>
      <c r="U792" s="1613"/>
      <c r="V792" s="1613"/>
      <c r="W792" s="1614"/>
      <c r="X792" s="1489"/>
      <c r="Y792" s="1490"/>
      <c r="Z792" s="1490"/>
      <c r="AA792" s="1490"/>
      <c r="AB792" s="1491"/>
      <c r="AC792" s="1373">
        <f t="shared" si="41"/>
        <v>0</v>
      </c>
      <c r="AD792" s="1374"/>
      <c r="AE792" s="1374"/>
      <c r="AF792" s="1374"/>
      <c r="AG792" s="137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47">
        <f t="shared" si="42"/>
        <v>0</v>
      </c>
      <c r="CQ792" s="1348"/>
      <c r="CR792" s="1348"/>
      <c r="CS792" s="1348"/>
      <c r="CT792" s="1349"/>
      <c r="CU792" s="1347">
        <f t="shared" si="43"/>
        <v>0</v>
      </c>
      <c r="CV792" s="1348"/>
      <c r="CW792" s="1348"/>
      <c r="CX792" s="1348"/>
      <c r="CY792" s="1349"/>
      <c r="CZ792" s="1347">
        <f t="shared" si="44"/>
        <v>0</v>
      </c>
      <c r="DA792" s="1348"/>
      <c r="DB792" s="1348"/>
      <c r="DC792" s="1348"/>
      <c r="DD792" s="1349"/>
      <c r="DE792" s="1347">
        <f t="shared" si="45"/>
        <v>0</v>
      </c>
      <c r="DF792" s="1348"/>
      <c r="DG792" s="1348"/>
      <c r="DH792" s="1348"/>
      <c r="DI792" s="1349"/>
      <c r="DJ792" s="1347">
        <f t="shared" si="46"/>
        <v>0</v>
      </c>
      <c r="DK792" s="1348"/>
      <c r="DL792" s="1348"/>
      <c r="DM792" s="1348"/>
      <c r="DN792" s="1349"/>
      <c r="DO792" s="1347">
        <f t="shared" si="47"/>
        <v>0</v>
      </c>
      <c r="DP792" s="1348"/>
      <c r="DQ792" s="1348"/>
      <c r="DR792" s="1348"/>
      <c r="DS792" s="1349"/>
      <c r="DT792" s="6"/>
      <c r="DU792" s="1347">
        <f t="shared" si="48"/>
        <v>0</v>
      </c>
      <c r="DV792" s="1348"/>
      <c r="DW792" s="1348"/>
      <c r="DX792" s="1348"/>
      <c r="DY792" s="1349"/>
      <c r="DZ792" s="1347">
        <f t="shared" si="49"/>
        <v>0</v>
      </c>
      <c r="EA792" s="1348"/>
      <c r="EB792" s="1348"/>
      <c r="EC792" s="1348"/>
      <c r="ED792" s="1349"/>
      <c r="EE792" s="1347">
        <f t="shared" si="50"/>
        <v>0</v>
      </c>
      <c r="EF792" s="1348"/>
      <c r="EG792" s="1348"/>
      <c r="EH792" s="1348"/>
      <c r="EI792" s="1349"/>
      <c r="EJ792" s="1347">
        <f t="shared" si="51"/>
        <v>0</v>
      </c>
      <c r="EK792" s="1348"/>
      <c r="EL792" s="1348"/>
      <c r="EM792" s="1348"/>
      <c r="EN792" s="1349"/>
      <c r="EO792" s="1347">
        <f t="shared" si="52"/>
        <v>0</v>
      </c>
      <c r="EP792" s="1348"/>
      <c r="EQ792" s="1348"/>
      <c r="ER792" s="1348"/>
      <c r="ES792" s="1349"/>
      <c r="ET792" s="1347">
        <f t="shared" si="53"/>
        <v>0</v>
      </c>
      <c r="EU792" s="1348"/>
      <c r="EV792" s="1348"/>
      <c r="EW792" s="1348"/>
      <c r="EX792" s="1349"/>
    </row>
    <row r="793" spans="1:154" s="14" customFormat="1" ht="12.95" customHeight="1">
      <c r="A793"/>
      <c r="B793"/>
      <c r="C793"/>
      <c r="D793"/>
      <c r="E793"/>
      <c r="F793"/>
      <c r="G793"/>
      <c r="H793"/>
      <c r="I793"/>
      <c r="J793" s="1370"/>
      <c r="K793" s="1371"/>
      <c r="L793" s="1371"/>
      <c r="M793" s="1371"/>
      <c r="N793" s="1372"/>
      <c r="O793" s="1545"/>
      <c r="P793" s="1545"/>
      <c r="Q793" s="1545"/>
      <c r="R793" s="1545"/>
      <c r="S793" s="1545"/>
      <c r="T793" s="1612"/>
      <c r="U793" s="1613"/>
      <c r="V793" s="1613"/>
      <c r="W793" s="1614"/>
      <c r="X793" s="1489"/>
      <c r="Y793" s="1490"/>
      <c r="Z793" s="1490"/>
      <c r="AA793" s="1490"/>
      <c r="AB793" s="1491"/>
      <c r="AC793" s="1373">
        <f t="shared" si="41"/>
        <v>0</v>
      </c>
      <c r="AD793" s="1374"/>
      <c r="AE793" s="1374"/>
      <c r="AF793" s="1374"/>
      <c r="AG793" s="137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47">
        <f t="shared" si="42"/>
        <v>0</v>
      </c>
      <c r="CQ793" s="1348"/>
      <c r="CR793" s="1348"/>
      <c r="CS793" s="1348"/>
      <c r="CT793" s="1349"/>
      <c r="CU793" s="1347">
        <f t="shared" si="43"/>
        <v>0</v>
      </c>
      <c r="CV793" s="1348"/>
      <c r="CW793" s="1348"/>
      <c r="CX793" s="1348"/>
      <c r="CY793" s="1349"/>
      <c r="CZ793" s="1347">
        <f t="shared" si="44"/>
        <v>0</v>
      </c>
      <c r="DA793" s="1348"/>
      <c r="DB793" s="1348"/>
      <c r="DC793" s="1348"/>
      <c r="DD793" s="1349"/>
      <c r="DE793" s="1347">
        <f t="shared" si="45"/>
        <v>0</v>
      </c>
      <c r="DF793" s="1348"/>
      <c r="DG793" s="1348"/>
      <c r="DH793" s="1348"/>
      <c r="DI793" s="1349"/>
      <c r="DJ793" s="1347">
        <f t="shared" si="46"/>
        <v>0</v>
      </c>
      <c r="DK793" s="1348"/>
      <c r="DL793" s="1348"/>
      <c r="DM793" s="1348"/>
      <c r="DN793" s="1349"/>
      <c r="DO793" s="1347">
        <f t="shared" si="47"/>
        <v>0</v>
      </c>
      <c r="DP793" s="1348"/>
      <c r="DQ793" s="1348"/>
      <c r="DR793" s="1348"/>
      <c r="DS793" s="1349"/>
      <c r="DT793" s="6"/>
      <c r="DU793" s="1347">
        <f t="shared" si="48"/>
        <v>0</v>
      </c>
      <c r="DV793" s="1348"/>
      <c r="DW793" s="1348"/>
      <c r="DX793" s="1348"/>
      <c r="DY793" s="1349"/>
      <c r="DZ793" s="1347">
        <f t="shared" si="49"/>
        <v>0</v>
      </c>
      <c r="EA793" s="1348"/>
      <c r="EB793" s="1348"/>
      <c r="EC793" s="1348"/>
      <c r="ED793" s="1349"/>
      <c r="EE793" s="1347">
        <f t="shared" si="50"/>
        <v>0</v>
      </c>
      <c r="EF793" s="1348"/>
      <c r="EG793" s="1348"/>
      <c r="EH793" s="1348"/>
      <c r="EI793" s="1349"/>
      <c r="EJ793" s="1347">
        <f t="shared" si="51"/>
        <v>0</v>
      </c>
      <c r="EK793" s="1348"/>
      <c r="EL793" s="1348"/>
      <c r="EM793" s="1348"/>
      <c r="EN793" s="1349"/>
      <c r="EO793" s="1347">
        <f t="shared" si="52"/>
        <v>0</v>
      </c>
      <c r="EP793" s="1348"/>
      <c r="EQ793" s="1348"/>
      <c r="ER793" s="1348"/>
      <c r="ES793" s="1349"/>
      <c r="ET793" s="1347">
        <f t="shared" si="53"/>
        <v>0</v>
      </c>
      <c r="EU793" s="1348"/>
      <c r="EV793" s="1348"/>
      <c r="EW793" s="1348"/>
      <c r="EX793" s="1349"/>
    </row>
    <row r="794" spans="1:154" s="14" customFormat="1" ht="12.95" customHeight="1">
      <c r="A794"/>
      <c r="B794"/>
      <c r="C794"/>
      <c r="D794"/>
      <c r="E794"/>
      <c r="F794"/>
      <c r="G794"/>
      <c r="H794"/>
      <c r="I794"/>
      <c r="J794" s="1370"/>
      <c r="K794" s="1371"/>
      <c r="L794" s="1371"/>
      <c r="M794" s="1371"/>
      <c r="N794" s="1372"/>
      <c r="O794" s="1545"/>
      <c r="P794" s="1545"/>
      <c r="Q794" s="1545"/>
      <c r="R794" s="1545"/>
      <c r="S794" s="1545"/>
      <c r="T794" s="1612"/>
      <c r="U794" s="1613"/>
      <c r="V794" s="1613"/>
      <c r="W794" s="1614"/>
      <c r="X794" s="1489"/>
      <c r="Y794" s="1490"/>
      <c r="Z794" s="1490"/>
      <c r="AA794" s="1490"/>
      <c r="AB794" s="1491"/>
      <c r="AC794" s="1373">
        <f t="shared" si="41"/>
        <v>0</v>
      </c>
      <c r="AD794" s="1374"/>
      <c r="AE794" s="1374"/>
      <c r="AF794" s="1374"/>
      <c r="AG794" s="137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47">
        <f t="shared" si="42"/>
        <v>0</v>
      </c>
      <c r="CQ794" s="1348"/>
      <c r="CR794" s="1348"/>
      <c r="CS794" s="1348"/>
      <c r="CT794" s="1349"/>
      <c r="CU794" s="1347">
        <f t="shared" si="43"/>
        <v>0</v>
      </c>
      <c r="CV794" s="1348"/>
      <c r="CW794" s="1348"/>
      <c r="CX794" s="1348"/>
      <c r="CY794" s="1349"/>
      <c r="CZ794" s="1347">
        <f t="shared" si="44"/>
        <v>0</v>
      </c>
      <c r="DA794" s="1348"/>
      <c r="DB794" s="1348"/>
      <c r="DC794" s="1348"/>
      <c r="DD794" s="1349"/>
      <c r="DE794" s="1347">
        <f t="shared" si="45"/>
        <v>0</v>
      </c>
      <c r="DF794" s="1348"/>
      <c r="DG794" s="1348"/>
      <c r="DH794" s="1348"/>
      <c r="DI794" s="1349"/>
      <c r="DJ794" s="1347">
        <f t="shared" si="46"/>
        <v>0</v>
      </c>
      <c r="DK794" s="1348"/>
      <c r="DL794" s="1348"/>
      <c r="DM794" s="1348"/>
      <c r="DN794" s="1349"/>
      <c r="DO794" s="1347">
        <f t="shared" si="47"/>
        <v>0</v>
      </c>
      <c r="DP794" s="1348"/>
      <c r="DQ794" s="1348"/>
      <c r="DR794" s="1348"/>
      <c r="DS794" s="1349"/>
      <c r="DT794" s="6"/>
      <c r="DU794" s="1347">
        <f t="shared" si="48"/>
        <v>0</v>
      </c>
      <c r="DV794" s="1348"/>
      <c r="DW794" s="1348"/>
      <c r="DX794" s="1348"/>
      <c r="DY794" s="1349"/>
      <c r="DZ794" s="1347">
        <f t="shared" si="49"/>
        <v>0</v>
      </c>
      <c r="EA794" s="1348"/>
      <c r="EB794" s="1348"/>
      <c r="EC794" s="1348"/>
      <c r="ED794" s="1349"/>
      <c r="EE794" s="1347">
        <f t="shared" si="50"/>
        <v>0</v>
      </c>
      <c r="EF794" s="1348"/>
      <c r="EG794" s="1348"/>
      <c r="EH794" s="1348"/>
      <c r="EI794" s="1349"/>
      <c r="EJ794" s="1347">
        <f t="shared" si="51"/>
        <v>0</v>
      </c>
      <c r="EK794" s="1348"/>
      <c r="EL794" s="1348"/>
      <c r="EM794" s="1348"/>
      <c r="EN794" s="1349"/>
      <c r="EO794" s="1347">
        <f t="shared" si="52"/>
        <v>0</v>
      </c>
      <c r="EP794" s="1348"/>
      <c r="EQ794" s="1348"/>
      <c r="ER794" s="1348"/>
      <c r="ES794" s="1349"/>
      <c r="ET794" s="1347">
        <f t="shared" si="53"/>
        <v>0</v>
      </c>
      <c r="EU794" s="1348"/>
      <c r="EV794" s="1348"/>
      <c r="EW794" s="1348"/>
      <c r="EX794" s="1349"/>
    </row>
    <row r="795" spans="1:154" s="14" customFormat="1" ht="12.95" customHeight="1">
      <c r="A795"/>
      <c r="B795"/>
      <c r="C795"/>
      <c r="D795"/>
      <c r="E795"/>
      <c r="F795"/>
      <c r="G795"/>
      <c r="H795"/>
      <c r="I795"/>
      <c r="J795" s="1370"/>
      <c r="K795" s="1371"/>
      <c r="L795" s="1371"/>
      <c r="M795" s="1371"/>
      <c r="N795" s="1372"/>
      <c r="O795" s="1545"/>
      <c r="P795" s="1545"/>
      <c r="Q795" s="1545"/>
      <c r="R795" s="1545"/>
      <c r="S795" s="1545"/>
      <c r="T795" s="1612"/>
      <c r="U795" s="1613"/>
      <c r="V795" s="1613"/>
      <c r="W795" s="1614"/>
      <c r="X795" s="1489"/>
      <c r="Y795" s="1490"/>
      <c r="Z795" s="1490"/>
      <c r="AA795" s="1490"/>
      <c r="AB795" s="1491"/>
      <c r="AC795" s="1373">
        <f t="shared" si="41"/>
        <v>0</v>
      </c>
      <c r="AD795" s="1374"/>
      <c r="AE795" s="1374"/>
      <c r="AF795" s="1374"/>
      <c r="AG795" s="137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7">
        <f t="shared" si="42"/>
        <v>0</v>
      </c>
      <c r="CQ795" s="1348"/>
      <c r="CR795" s="1348"/>
      <c r="CS795" s="1348"/>
      <c r="CT795" s="1349"/>
      <c r="CU795" s="1347">
        <f t="shared" si="43"/>
        <v>0</v>
      </c>
      <c r="CV795" s="1348"/>
      <c r="CW795" s="1348"/>
      <c r="CX795" s="1348"/>
      <c r="CY795" s="1349"/>
      <c r="CZ795" s="1347">
        <f t="shared" si="44"/>
        <v>0</v>
      </c>
      <c r="DA795" s="1348"/>
      <c r="DB795" s="1348"/>
      <c r="DC795" s="1348"/>
      <c r="DD795" s="1349"/>
      <c r="DE795" s="1347">
        <f t="shared" si="45"/>
        <v>0</v>
      </c>
      <c r="DF795" s="1348"/>
      <c r="DG795" s="1348"/>
      <c r="DH795" s="1348"/>
      <c r="DI795" s="1349"/>
      <c r="DJ795" s="1347">
        <f t="shared" si="46"/>
        <v>0</v>
      </c>
      <c r="DK795" s="1348"/>
      <c r="DL795" s="1348"/>
      <c r="DM795" s="1348"/>
      <c r="DN795" s="1349"/>
      <c r="DO795" s="1347">
        <f t="shared" si="47"/>
        <v>0</v>
      </c>
      <c r="DP795" s="1348"/>
      <c r="DQ795" s="1348"/>
      <c r="DR795" s="1348"/>
      <c r="DS795" s="1349"/>
      <c r="DT795" s="6"/>
      <c r="DU795" s="1347">
        <f t="shared" si="48"/>
        <v>0</v>
      </c>
      <c r="DV795" s="1348"/>
      <c r="DW795" s="1348"/>
      <c r="DX795" s="1348"/>
      <c r="DY795" s="1349"/>
      <c r="DZ795" s="1347">
        <f t="shared" si="49"/>
        <v>0</v>
      </c>
      <c r="EA795" s="1348"/>
      <c r="EB795" s="1348"/>
      <c r="EC795" s="1348"/>
      <c r="ED795" s="1349"/>
      <c r="EE795" s="1347">
        <f t="shared" si="50"/>
        <v>0</v>
      </c>
      <c r="EF795" s="1348"/>
      <c r="EG795" s="1348"/>
      <c r="EH795" s="1348"/>
      <c r="EI795" s="1349"/>
      <c r="EJ795" s="1347">
        <f t="shared" si="51"/>
        <v>0</v>
      </c>
      <c r="EK795" s="1348"/>
      <c r="EL795" s="1348"/>
      <c r="EM795" s="1348"/>
      <c r="EN795" s="1349"/>
      <c r="EO795" s="1347">
        <f t="shared" si="52"/>
        <v>0</v>
      </c>
      <c r="EP795" s="1348"/>
      <c r="EQ795" s="1348"/>
      <c r="ER795" s="1348"/>
      <c r="ES795" s="1349"/>
      <c r="ET795" s="1347">
        <f t="shared" si="53"/>
        <v>0</v>
      </c>
      <c r="EU795" s="1348"/>
      <c r="EV795" s="1348"/>
      <c r="EW795" s="1348"/>
      <c r="EX795" s="1349"/>
    </row>
    <row r="796" spans="1:154" s="4" customFormat="1" ht="12.95" customHeight="1">
      <c r="A796"/>
      <c r="B796"/>
      <c r="C796"/>
      <c r="D796"/>
      <c r="E796"/>
      <c r="F796"/>
      <c r="G796"/>
      <c r="H796"/>
      <c r="I796"/>
      <c r="J796" s="1370"/>
      <c r="K796" s="1371"/>
      <c r="L796" s="1371"/>
      <c r="M796" s="1371"/>
      <c r="N796" s="1372"/>
      <c r="O796" s="1545"/>
      <c r="P796" s="1545"/>
      <c r="Q796" s="1545"/>
      <c r="R796" s="1545"/>
      <c r="S796" s="1545"/>
      <c r="T796" s="1612"/>
      <c r="U796" s="1613"/>
      <c r="V796" s="1613"/>
      <c r="W796" s="1614"/>
      <c r="X796" s="1489"/>
      <c r="Y796" s="1490"/>
      <c r="Z796" s="1490"/>
      <c r="AA796" s="1490"/>
      <c r="AB796" s="1491"/>
      <c r="AC796" s="1373">
        <f t="shared" si="41"/>
        <v>0</v>
      </c>
      <c r="AD796" s="1374"/>
      <c r="AE796" s="1374"/>
      <c r="AF796" s="1374"/>
      <c r="AG796" s="1375"/>
      <c r="AH796"/>
      <c r="AI796"/>
      <c r="AJ796"/>
      <c r="AK796"/>
      <c r="AL796"/>
      <c r="AM796"/>
      <c r="AN796"/>
      <c r="AO796"/>
      <c r="AP796"/>
      <c r="AQ796"/>
      <c r="AR796"/>
      <c r="AS796"/>
      <c r="AT796"/>
      <c r="AU796"/>
      <c r="AV796"/>
      <c r="AW796"/>
      <c r="AX796"/>
      <c r="AY796"/>
      <c r="AZ796" s="3"/>
      <c r="CP796" s="1347">
        <f t="shared" si="42"/>
        <v>0</v>
      </c>
      <c r="CQ796" s="1348"/>
      <c r="CR796" s="1348"/>
      <c r="CS796" s="1348"/>
      <c r="CT796" s="1349"/>
      <c r="CU796" s="1347">
        <f t="shared" si="43"/>
        <v>0</v>
      </c>
      <c r="CV796" s="1348"/>
      <c r="CW796" s="1348"/>
      <c r="CX796" s="1348"/>
      <c r="CY796" s="1349"/>
      <c r="CZ796" s="1347">
        <f t="shared" si="44"/>
        <v>0</v>
      </c>
      <c r="DA796" s="1348"/>
      <c r="DB796" s="1348"/>
      <c r="DC796" s="1348"/>
      <c r="DD796" s="1349"/>
      <c r="DE796" s="1347">
        <f t="shared" si="45"/>
        <v>0</v>
      </c>
      <c r="DF796" s="1348"/>
      <c r="DG796" s="1348"/>
      <c r="DH796" s="1348"/>
      <c r="DI796" s="1349"/>
      <c r="DJ796" s="1347">
        <f t="shared" si="46"/>
        <v>0</v>
      </c>
      <c r="DK796" s="1348"/>
      <c r="DL796" s="1348"/>
      <c r="DM796" s="1348"/>
      <c r="DN796" s="1349"/>
      <c r="DO796" s="1347">
        <f t="shared" si="47"/>
        <v>0</v>
      </c>
      <c r="DP796" s="1348"/>
      <c r="DQ796" s="1348"/>
      <c r="DR796" s="1348"/>
      <c r="DS796" s="1349"/>
      <c r="DT796" s="6"/>
      <c r="DU796" s="1347">
        <f t="shared" si="48"/>
        <v>0</v>
      </c>
      <c r="DV796" s="1348"/>
      <c r="DW796" s="1348"/>
      <c r="DX796" s="1348"/>
      <c r="DY796" s="1349"/>
      <c r="DZ796" s="1347">
        <f t="shared" si="49"/>
        <v>0</v>
      </c>
      <c r="EA796" s="1348"/>
      <c r="EB796" s="1348"/>
      <c r="EC796" s="1348"/>
      <c r="ED796" s="1349"/>
      <c r="EE796" s="1347">
        <f t="shared" si="50"/>
        <v>0</v>
      </c>
      <c r="EF796" s="1348"/>
      <c r="EG796" s="1348"/>
      <c r="EH796" s="1348"/>
      <c r="EI796" s="1349"/>
      <c r="EJ796" s="1347">
        <f t="shared" si="51"/>
        <v>0</v>
      </c>
      <c r="EK796" s="1348"/>
      <c r="EL796" s="1348"/>
      <c r="EM796" s="1348"/>
      <c r="EN796" s="1349"/>
      <c r="EO796" s="1347">
        <f t="shared" si="52"/>
        <v>0</v>
      </c>
      <c r="EP796" s="1348"/>
      <c r="EQ796" s="1348"/>
      <c r="ER796" s="1348"/>
      <c r="ES796" s="1349"/>
      <c r="ET796" s="1347">
        <f t="shared" si="53"/>
        <v>0</v>
      </c>
      <c r="EU796" s="1348"/>
      <c r="EV796" s="1348"/>
      <c r="EW796" s="1348"/>
      <c r="EX796" s="1349"/>
    </row>
    <row r="797" spans="1:154" s="4" customFormat="1" ht="12.95" customHeight="1">
      <c r="A797"/>
      <c r="B797"/>
      <c r="C797"/>
      <c r="D797"/>
      <c r="E797"/>
      <c r="F797"/>
      <c r="G797"/>
      <c r="H797"/>
      <c r="I797"/>
      <c r="J797" s="1485" t="s">
        <v>125</v>
      </c>
      <c r="K797" s="1486"/>
      <c r="L797" s="1486"/>
      <c r="M797" s="1486"/>
      <c r="N797" s="1488"/>
      <c r="O797" s="1636">
        <f>SUM(O787:S796)</f>
        <v>0</v>
      </c>
      <c r="P797" s="1636"/>
      <c r="Q797" s="1636"/>
      <c r="R797" s="1636"/>
      <c r="S797" s="1636"/>
      <c r="T797"/>
      <c r="U797"/>
      <c r="V797"/>
      <c r="W797"/>
      <c r="X797" s="903" t="s">
        <v>124</v>
      </c>
      <c r="Y797" s="11"/>
      <c r="Z797" s="11"/>
      <c r="AA797" s="11"/>
      <c r="AB797" s="910"/>
      <c r="AC797" s="1373">
        <f>SUM(AC787:AG796)</f>
        <v>0</v>
      </c>
      <c r="AD797" s="1374"/>
      <c r="AE797" s="1374"/>
      <c r="AF797" s="1374"/>
      <c r="AG797" s="1375"/>
      <c r="AH797"/>
      <c r="AI797"/>
      <c r="AJ797"/>
      <c r="AK797"/>
      <c r="AL797"/>
      <c r="AM797"/>
      <c r="AN797"/>
      <c r="AO797"/>
      <c r="AP797"/>
      <c r="AQ797"/>
      <c r="AR797"/>
      <c r="AS797"/>
      <c r="AT797"/>
      <c r="AU797"/>
      <c r="AV797"/>
      <c r="AW797"/>
      <c r="AX797"/>
      <c r="AY797"/>
      <c r="AZ797" s="3"/>
      <c r="BA797"/>
      <c r="CP797" s="1350">
        <f>SUM(CP787:CT796)</f>
        <v>0</v>
      </c>
      <c r="CQ797" s="1351"/>
      <c r="CR797" s="1351"/>
      <c r="CS797" s="1351"/>
      <c r="CT797" s="1352"/>
      <c r="CU797" s="1363">
        <f>SUM(CU787:CY796)</f>
        <v>0</v>
      </c>
      <c r="CV797" s="1364"/>
      <c r="CW797" s="1364"/>
      <c r="CX797" s="1364"/>
      <c r="CY797" s="1365"/>
      <c r="CZ797" s="1363">
        <f>SUM(CZ787:DD796)</f>
        <v>0</v>
      </c>
      <c r="DA797" s="1364"/>
      <c r="DB797" s="1364"/>
      <c r="DC797" s="1364"/>
      <c r="DD797" s="1365"/>
      <c r="DE797" s="1363">
        <f>SUM(DE787:DI796)</f>
        <v>0</v>
      </c>
      <c r="DF797" s="1364"/>
      <c r="DG797" s="1364"/>
      <c r="DH797" s="1364"/>
      <c r="DI797" s="1365"/>
      <c r="DJ797" s="1363">
        <f>SUM(DJ787:DN796)</f>
        <v>0</v>
      </c>
      <c r="DK797" s="1364"/>
      <c r="DL797" s="1364"/>
      <c r="DM797" s="1364"/>
      <c r="DN797" s="1365"/>
      <c r="DO797" s="1363">
        <f>SUM(DO787:DS796)</f>
        <v>0</v>
      </c>
      <c r="DP797" s="1364"/>
      <c r="DQ797" s="1364"/>
      <c r="DR797" s="1364"/>
      <c r="DS797" s="1365"/>
      <c r="DT797" s="1013"/>
      <c r="DU797" s="1350">
        <f>SUM(DU787:DY796)</f>
        <v>0</v>
      </c>
      <c r="DV797" s="1351"/>
      <c r="DW797" s="1351"/>
      <c r="DX797" s="1351"/>
      <c r="DY797" s="1352"/>
      <c r="DZ797" s="1350">
        <f>SUM(DZ787:ED796)</f>
        <v>0</v>
      </c>
      <c r="EA797" s="1351"/>
      <c r="EB797" s="1351"/>
      <c r="EC797" s="1351"/>
      <c r="ED797" s="1352"/>
      <c r="EE797" s="1350">
        <f>SUM(EE787:EI796)</f>
        <v>0</v>
      </c>
      <c r="EF797" s="1351"/>
      <c r="EG797" s="1351"/>
      <c r="EH797" s="1351"/>
      <c r="EI797" s="1352"/>
      <c r="EJ797" s="1350">
        <f>SUM(EJ787:EN796)</f>
        <v>0</v>
      </c>
      <c r="EK797" s="1351"/>
      <c r="EL797" s="1351"/>
      <c r="EM797" s="1351"/>
      <c r="EN797" s="1352"/>
      <c r="EO797" s="1350">
        <f>SUM(EO787:ES796)</f>
        <v>0</v>
      </c>
      <c r="EP797" s="1351"/>
      <c r="EQ797" s="1351"/>
      <c r="ER797" s="1351"/>
      <c r="ES797" s="1352"/>
      <c r="ET797" s="1350">
        <f>SUM(ET787:EX796)</f>
        <v>0</v>
      </c>
      <c r="EU797" s="1351"/>
      <c r="EV797" s="1351"/>
      <c r="EW797" s="1351"/>
      <c r="EX797" s="1352"/>
    </row>
    <row r="798" spans="1:154" s="4" customFormat="1" ht="12.95" customHeight="1">
      <c r="A798"/>
      <c r="B798"/>
      <c r="C798" s="1400" t="str">
        <f>IF(O797&lt;&gt;AG438,"! Total market rate units in the Unit Mix Table above does not match the number of  market rate units on row #"&amp;TEXT(ROW(D438),"#"),"")</f>
        <v/>
      </c>
      <c r="D798" s="1400"/>
      <c r="E798" s="1400"/>
      <c r="F798" s="1400"/>
      <c r="G798" s="1400"/>
      <c r="H798" s="1400"/>
      <c r="I798" s="1400"/>
      <c r="J798" s="1400"/>
      <c r="K798" s="1400"/>
      <c r="L798" s="1400"/>
      <c r="M798" s="1400"/>
      <c r="N798" s="1400"/>
      <c r="O798" s="1400"/>
      <c r="P798" s="1400"/>
      <c r="Q798" s="1400"/>
      <c r="R798" s="1400"/>
      <c r="S798" s="1400"/>
      <c r="T798" s="1400"/>
      <c r="U798" s="1400"/>
      <c r="V798" s="1400"/>
      <c r="W798" s="1400"/>
      <c r="X798" s="1400"/>
      <c r="Y798" s="1400"/>
      <c r="Z798" s="1400"/>
      <c r="AA798" s="1400"/>
      <c r="AB798" s="1400"/>
      <c r="AC798" s="1400"/>
      <c r="AD798" s="1400"/>
      <c r="AE798" s="1400"/>
      <c r="AF798" s="1400"/>
      <c r="AG798" s="1400"/>
      <c r="AH798" s="1400"/>
      <c r="AI798" s="1400"/>
      <c r="AJ798" s="1400"/>
      <c r="AK798" s="1400"/>
      <c r="AL798" s="1400"/>
      <c r="AM798" s="1400"/>
      <c r="AN798" s="1400"/>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400"/>
      <c r="D799" s="1400"/>
      <c r="E799" s="1400"/>
      <c r="F799" s="1400"/>
      <c r="G799" s="1400"/>
      <c r="H799" s="1400"/>
      <c r="I799" s="1400"/>
      <c r="J799" s="1400"/>
      <c r="K799" s="1400"/>
      <c r="L799" s="1400"/>
      <c r="M799" s="1400"/>
      <c r="N799" s="1400"/>
      <c r="O799" s="1400"/>
      <c r="P799" s="1400"/>
      <c r="Q799" s="1400"/>
      <c r="R799" s="1400"/>
      <c r="S799" s="1400"/>
      <c r="T799" s="1400"/>
      <c r="U799" s="1400"/>
      <c r="V799" s="1400"/>
      <c r="W799" s="1400"/>
      <c r="X799" s="1400"/>
      <c r="Y799" s="1400"/>
      <c r="Z799" s="1400"/>
      <c r="AA799" s="1400"/>
      <c r="AB799" s="1400"/>
      <c r="AC799" s="1400"/>
      <c r="AD799" s="1400"/>
      <c r="AE799" s="1400"/>
      <c r="AF799" s="1400"/>
      <c r="AG799" s="1400"/>
      <c r="AH799" s="1400"/>
      <c r="AI799" s="1400"/>
      <c r="AJ799" s="1400"/>
      <c r="AK799" s="1400"/>
      <c r="AL799" s="1400"/>
      <c r="AM799" s="1400"/>
      <c r="AN799" s="140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60">
        <f>SUM(DU797:EX797)</f>
        <v>0</v>
      </c>
      <c r="EU799" s="1361"/>
      <c r="EV799" s="1361"/>
      <c r="EW799" s="1361"/>
      <c r="EX799" s="136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61">
        <f>O753+AC777+AC797</f>
        <v>28800</v>
      </c>
      <c r="Z800" s="1661"/>
      <c r="AA800" s="1661"/>
      <c r="AB800" s="1661"/>
      <c r="AC800" s="166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61">
        <f>(O753+AC777+AC797)*12</f>
        <v>345600</v>
      </c>
      <c r="Z801" s="1661"/>
      <c r="AA801" s="1661"/>
      <c r="AB801" s="1661"/>
      <c r="AC801" s="166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63">
        <f>CP753+CP777+CP797</f>
        <v>96</v>
      </c>
      <c r="CQ802" s="1364"/>
      <c r="CR802" s="1364"/>
      <c r="CS802" s="1364"/>
      <c r="CT802" s="1365"/>
      <c r="CU802" s="1363">
        <f>CU753+CU777+CU797</f>
        <v>0</v>
      </c>
      <c r="CV802" s="1364"/>
      <c r="CW802" s="1364"/>
      <c r="CX802" s="1364"/>
      <c r="CY802" s="1365"/>
      <c r="CZ802" s="1363">
        <f>CZ753+CZ777+CZ797</f>
        <v>1</v>
      </c>
      <c r="DA802" s="1364"/>
      <c r="DB802" s="1364"/>
      <c r="DC802" s="1364"/>
      <c r="DD802" s="1365"/>
      <c r="DE802" s="1363">
        <f>DE753+DE777+DE797</f>
        <v>0</v>
      </c>
      <c r="DF802" s="1364"/>
      <c r="DG802" s="1364"/>
      <c r="DH802" s="1364"/>
      <c r="DI802" s="1365"/>
      <c r="DJ802" s="1363">
        <f>DJ753+DJ777+DJ797</f>
        <v>0</v>
      </c>
      <c r="DK802" s="1364"/>
      <c r="DL802" s="1364"/>
      <c r="DM802" s="1364"/>
      <c r="DN802" s="1365"/>
      <c r="DO802" s="1366">
        <f>DO797+DO777+DO753</f>
        <v>0</v>
      </c>
      <c r="DP802" s="1367"/>
      <c r="DQ802" s="1367"/>
      <c r="DR802" s="1367"/>
      <c r="DS802" s="1368"/>
      <c r="DT802" s="3"/>
      <c r="DU802" s="862">
        <f>DU755+DU800</f>
        <v>96</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802">
        <v>96</v>
      </c>
      <c r="AA806" s="1638"/>
      <c r="AB806" s="1638"/>
      <c r="AC806" s="1638"/>
      <c r="AD806" s="1638"/>
      <c r="AE806" s="163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37">
        <v>20</v>
      </c>
      <c r="AA807" s="1638"/>
      <c r="AB807" s="1638"/>
      <c r="AC807" s="1638"/>
      <c r="AD807" s="1638"/>
      <c r="AE807" s="163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4">
        <v>54027</v>
      </c>
      <c r="AA808" s="1474"/>
      <c r="AB808" s="1474"/>
      <c r="AC808" s="1474"/>
      <c r="AD808" s="1474"/>
      <c r="AE808" s="16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24">
        <f>'Subsidy Contract Calculation'!J40</f>
        <v>940536</v>
      </c>
      <c r="AA809" s="1425"/>
      <c r="AB809" s="1425"/>
      <c r="AC809" s="1425"/>
      <c r="AD809" s="1425"/>
      <c r="AE809" s="14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27">
        <v>6984</v>
      </c>
      <c r="AA813" s="1353"/>
      <c r="AB813" s="1353"/>
      <c r="AC813" s="1353"/>
      <c r="AD813" s="1353"/>
      <c r="AE813" s="135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27"/>
      <c r="AA814" s="1353"/>
      <c r="AB814" s="1353"/>
      <c r="AC814" s="1353"/>
      <c r="AD814" s="1353"/>
      <c r="AE814" s="135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27"/>
      <c r="AA815" s="1353"/>
      <c r="AB815" s="1353"/>
      <c r="AC815" s="1353"/>
      <c r="AD815" s="1353"/>
      <c r="AE815" s="135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333</v>
      </c>
      <c r="Q816" s="1644"/>
      <c r="R816" s="1644"/>
      <c r="S816" s="1644"/>
      <c r="T816" s="1644"/>
      <c r="U816" s="1644"/>
      <c r="V816" s="1644"/>
      <c r="W816" s="1644"/>
      <c r="X816" s="1644"/>
      <c r="Y816" s="1645"/>
      <c r="Z816" s="1427"/>
      <c r="AA816" s="1353"/>
      <c r="AB816" s="1353"/>
      <c r="AC816" s="1353"/>
      <c r="AD816" s="1353"/>
      <c r="AE816" s="135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24">
        <f>SUM(Z813:AE816)</f>
        <v>6984</v>
      </c>
      <c r="AA817" s="1425"/>
      <c r="AB817" s="1425"/>
      <c r="AC817" s="1425"/>
      <c r="AD817" s="1425"/>
      <c r="AE817" s="142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24">
        <f>Z817+Y801+Z809</f>
        <v>1293120</v>
      </c>
      <c r="AA818" s="1425"/>
      <c r="AB818" s="1425"/>
      <c r="AC818" s="1425"/>
      <c r="AD818" s="1425"/>
      <c r="AE818" s="142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20" t="s">
        <v>126</v>
      </c>
      <c r="N823" s="1620"/>
      <c r="O823" s="1620"/>
      <c r="P823" s="1621"/>
      <c r="Q823" s="1633" t="s">
        <v>289</v>
      </c>
      <c r="R823" s="1633"/>
      <c r="S823" s="1633"/>
      <c r="T823" s="1633"/>
      <c r="U823" s="1633" t="s">
        <v>290</v>
      </c>
      <c r="V823" s="1633"/>
      <c r="W823" s="1633"/>
      <c r="X823" s="1633"/>
      <c r="Y823" s="1633" t="s">
        <v>291</v>
      </c>
      <c r="Z823" s="1633"/>
      <c r="AA823" s="1633"/>
      <c r="AB823" s="1633"/>
      <c r="AC823" s="1633" t="s">
        <v>360</v>
      </c>
      <c r="AD823" s="1633"/>
      <c r="AE823" s="1633"/>
      <c r="AF823" s="1633"/>
      <c r="AG823" s="1625" t="s">
        <v>334</v>
      </c>
      <c r="AH823" s="1625"/>
      <c r="AI823" s="1625"/>
      <c r="AJ823" s="162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22"/>
      <c r="N824" s="1622"/>
      <c r="O824" s="1622"/>
      <c r="P824" s="1623"/>
      <c r="Q824" s="1633"/>
      <c r="R824" s="1633"/>
      <c r="S824" s="1633"/>
      <c r="T824" s="1633"/>
      <c r="U824" s="1633"/>
      <c r="V824" s="1633"/>
      <c r="W824" s="1633"/>
      <c r="X824" s="1633"/>
      <c r="Y824" s="1633"/>
      <c r="Z824" s="1633"/>
      <c r="AA824" s="1633"/>
      <c r="AB824" s="1633"/>
      <c r="AC824" s="1633"/>
      <c r="AD824" s="1633"/>
      <c r="AE824" s="1633"/>
      <c r="AF824" s="1633"/>
      <c r="AG824" s="1625"/>
      <c r="AH824" s="1625"/>
      <c r="AI824" s="1625"/>
      <c r="AJ824" s="162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24" t="s">
        <v>40</v>
      </c>
      <c r="D825" s="1492"/>
      <c r="E825" s="1492"/>
      <c r="F825" s="1492"/>
      <c r="G825" s="1492"/>
      <c r="H825" s="1492"/>
      <c r="I825" s="48"/>
      <c r="J825" s="48"/>
      <c r="K825" s="48"/>
      <c r="L825" s="49"/>
      <c r="M825" s="1604">
        <v>34</v>
      </c>
      <c r="N825" s="1604"/>
      <c r="O825" s="1604"/>
      <c r="P825" s="1604"/>
      <c r="Q825" s="1604"/>
      <c r="R825" s="1604"/>
      <c r="S825" s="1604"/>
      <c r="T825" s="1604"/>
      <c r="U825" s="1604"/>
      <c r="V825" s="1604"/>
      <c r="W825" s="1604"/>
      <c r="X825" s="1604"/>
      <c r="Y825" s="1604"/>
      <c r="Z825" s="1604"/>
      <c r="AA825" s="1604"/>
      <c r="AB825" s="1604"/>
      <c r="AC825" s="1428"/>
      <c r="AD825" s="1429"/>
      <c r="AE825" s="1429"/>
      <c r="AF825" s="1430"/>
      <c r="AG825" s="1428"/>
      <c r="AH825" s="1429"/>
      <c r="AI825" s="1429"/>
      <c r="AJ825" s="143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437" t="s">
        <v>41</v>
      </c>
      <c r="D826" s="1386"/>
      <c r="E826" s="1386"/>
      <c r="F826" s="1386"/>
      <c r="G826" s="1386"/>
      <c r="H826" s="1386"/>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28"/>
      <c r="AD826" s="1429"/>
      <c r="AE826" s="1429"/>
      <c r="AF826" s="1430"/>
      <c r="AG826" s="1428"/>
      <c r="AH826" s="1429"/>
      <c r="AI826" s="1429"/>
      <c r="AJ826" s="143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437" t="s">
        <v>42</v>
      </c>
      <c r="D827" s="1386"/>
      <c r="E827" s="1386"/>
      <c r="F827" s="1386"/>
      <c r="G827" s="1386"/>
      <c r="H827" s="1386"/>
      <c r="I827" s="60"/>
      <c r="J827" s="60"/>
      <c r="K827" s="60"/>
      <c r="L827" s="61"/>
      <c r="M827" s="1604">
        <v>8</v>
      </c>
      <c r="N827" s="1604"/>
      <c r="O827" s="1604"/>
      <c r="P827" s="1604"/>
      <c r="Q827" s="1604"/>
      <c r="R827" s="1604"/>
      <c r="S827" s="1604"/>
      <c r="T827" s="1604"/>
      <c r="U827" s="1604"/>
      <c r="V827" s="1604"/>
      <c r="W827" s="1604"/>
      <c r="X827" s="1604"/>
      <c r="Y827" s="1604"/>
      <c r="Z827" s="1604"/>
      <c r="AA827" s="1604"/>
      <c r="AB827" s="1604"/>
      <c r="AC827" s="1428"/>
      <c r="AD827" s="1429"/>
      <c r="AE827" s="1429"/>
      <c r="AF827" s="1430"/>
      <c r="AG827" s="1428"/>
      <c r="AH827" s="1429"/>
      <c r="AI827" s="1429"/>
      <c r="AJ827" s="143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437" t="s">
        <v>762</v>
      </c>
      <c r="D828" s="1386"/>
      <c r="E828" s="1386"/>
      <c r="F828" s="1386"/>
      <c r="G828" s="1386"/>
      <c r="H828" s="1386"/>
      <c r="I828" s="60"/>
      <c r="J828" s="60"/>
      <c r="K828" s="60"/>
      <c r="L828" s="61"/>
      <c r="M828" s="1604">
        <v>32</v>
      </c>
      <c r="N828" s="1604"/>
      <c r="O828" s="1604"/>
      <c r="P828" s="1604"/>
      <c r="Q828" s="1604"/>
      <c r="R828" s="1604"/>
      <c r="S828" s="1604"/>
      <c r="T828" s="1604"/>
      <c r="U828" s="1604"/>
      <c r="V828" s="1604"/>
      <c r="W828" s="1604"/>
      <c r="X828" s="1604"/>
      <c r="Y828" s="1604"/>
      <c r="Z828" s="1604"/>
      <c r="AA828" s="1604"/>
      <c r="AB828" s="1604"/>
      <c r="AC828" s="1428"/>
      <c r="AD828" s="1429"/>
      <c r="AE828" s="1429"/>
      <c r="AF828" s="1430"/>
      <c r="AG828" s="1428"/>
      <c r="AH828" s="1429"/>
      <c r="AI828" s="1429"/>
      <c r="AJ828" s="143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437" t="s">
        <v>459</v>
      </c>
      <c r="D829" s="1386"/>
      <c r="E829" s="1386"/>
      <c r="F829" s="1386"/>
      <c r="G829" s="1386"/>
      <c r="H829" s="1386"/>
      <c r="I829" s="60"/>
      <c r="J829" s="60"/>
      <c r="K829" s="60"/>
      <c r="L829" s="61"/>
      <c r="M829" s="1604">
        <v>0</v>
      </c>
      <c r="N829" s="1604"/>
      <c r="O829" s="1604"/>
      <c r="P829" s="1604"/>
      <c r="Q829" s="1604"/>
      <c r="R829" s="1604"/>
      <c r="S829" s="1604"/>
      <c r="T829" s="1604"/>
      <c r="U829" s="1604"/>
      <c r="V829" s="1604"/>
      <c r="W829" s="1604"/>
      <c r="X829" s="1604"/>
      <c r="Y829" s="1604"/>
      <c r="Z829" s="1604"/>
      <c r="AA829" s="1604"/>
      <c r="AB829" s="1604"/>
      <c r="AC829" s="1428"/>
      <c r="AD829" s="1429"/>
      <c r="AE829" s="1429"/>
      <c r="AF829" s="1430"/>
      <c r="AG829" s="1428"/>
      <c r="AH829" s="1429"/>
      <c r="AI829" s="1429"/>
      <c r="AJ829" s="143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783</v>
      </c>
      <c r="D830" s="1386"/>
      <c r="E830" s="1386"/>
      <c r="F830" s="1386"/>
      <c r="G830" s="1386"/>
      <c r="H830" s="1386"/>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28"/>
      <c r="AD830" s="1429"/>
      <c r="AE830" s="1429"/>
      <c r="AF830" s="1430"/>
      <c r="AG830" s="1428"/>
      <c r="AH830" s="1429"/>
      <c r="AI830" s="1429"/>
      <c r="AJ830" s="143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3" t="s">
        <v>249</v>
      </c>
      <c r="G831" s="1644"/>
      <c r="H831" s="1644"/>
      <c r="I831" s="1644"/>
      <c r="J831" s="1644"/>
      <c r="K831" s="1644"/>
      <c r="L831" s="1644"/>
      <c r="M831" s="1604">
        <v>0</v>
      </c>
      <c r="N831" s="1604"/>
      <c r="O831" s="1604"/>
      <c r="P831" s="1604"/>
      <c r="Q831" s="1604"/>
      <c r="R831" s="1604"/>
      <c r="S831" s="1604"/>
      <c r="T831" s="1604"/>
      <c r="U831" s="1604"/>
      <c r="V831" s="1604"/>
      <c r="W831" s="1604"/>
      <c r="X831" s="1604"/>
      <c r="Y831" s="1604"/>
      <c r="Z831" s="1604"/>
      <c r="AA831" s="1604"/>
      <c r="AB831" s="1604"/>
      <c r="AC831" s="1428"/>
      <c r="AD831" s="1429"/>
      <c r="AE831" s="1429"/>
      <c r="AF831" s="1430"/>
      <c r="AG831" s="1428"/>
      <c r="AH831" s="1429"/>
      <c r="AI831" s="1429"/>
      <c r="AJ831" s="143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85" t="s">
        <v>124</v>
      </c>
      <c r="D832" s="1486"/>
      <c r="E832" s="1486"/>
      <c r="F832" s="1486"/>
      <c r="G832" s="1486"/>
      <c r="H832" s="1486"/>
      <c r="I832" s="1486"/>
      <c r="J832" s="1486"/>
      <c r="K832" s="1486"/>
      <c r="L832" s="1488"/>
      <c r="M832" s="1688">
        <f>SUM(M825:P831)</f>
        <v>74</v>
      </c>
      <c r="N832" s="1688"/>
      <c r="O832" s="1688"/>
      <c r="P832" s="1688"/>
      <c r="Q832" s="1688">
        <f>SUM(Q825:T831)</f>
        <v>0</v>
      </c>
      <c r="R832" s="1688"/>
      <c r="S832" s="1688"/>
      <c r="T832" s="1688"/>
      <c r="U832" s="1688">
        <f>SUM(U825:X831)</f>
        <v>0</v>
      </c>
      <c r="V832" s="1688"/>
      <c r="W832" s="1688"/>
      <c r="X832" s="1688"/>
      <c r="Y832" s="1688">
        <f>SUM(Y825:AB831)</f>
        <v>0</v>
      </c>
      <c r="Z832" s="1688"/>
      <c r="AA832" s="1688"/>
      <c r="AB832" s="1688"/>
      <c r="AC832" s="1688">
        <f>SUM(AC825:AF831)</f>
        <v>0</v>
      </c>
      <c r="AD832" s="1688"/>
      <c r="AE832" s="1688"/>
      <c r="AF832" s="1688"/>
      <c r="AG832" s="1688">
        <f>SUM(AG825:AJ831)</f>
        <v>0</v>
      </c>
      <c r="AH832" s="1688"/>
      <c r="AI832" s="1688"/>
      <c r="AJ832" s="168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48" t="s">
        <v>2729</v>
      </c>
      <c r="D837" s="1649"/>
      <c r="E837" s="1649"/>
      <c r="F837" s="1649"/>
      <c r="G837" s="1649"/>
      <c r="H837" s="1649"/>
      <c r="I837" s="1649"/>
      <c r="J837" s="1649"/>
      <c r="K837" s="1649"/>
      <c r="L837" s="1649"/>
      <c r="M837" s="1649"/>
      <c r="N837" s="1649"/>
      <c r="O837" s="1649"/>
      <c r="P837" s="1649"/>
      <c r="Q837" s="1649"/>
      <c r="R837" s="1649"/>
      <c r="S837" s="1649"/>
      <c r="T837" s="1649"/>
      <c r="U837" s="1649"/>
      <c r="V837" s="1649"/>
      <c r="W837" s="1649"/>
      <c r="X837" s="1649"/>
      <c r="Y837" s="1649"/>
      <c r="Z837" s="1649"/>
      <c r="AA837" s="1649"/>
      <c r="AB837" s="1649"/>
      <c r="AC837" s="1649"/>
      <c r="AD837" s="1649"/>
      <c r="AE837" s="1649"/>
      <c r="AF837" s="1649"/>
      <c r="AG837" s="1649"/>
      <c r="AH837" s="1649"/>
      <c r="AI837" s="1649"/>
      <c r="AJ837" s="165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57">
        <v>2940</v>
      </c>
      <c r="X842" s="1657"/>
      <c r="Y842" s="1657"/>
      <c r="Z842" s="1657"/>
      <c r="AA842" s="1657"/>
      <c r="AB842" s="1657"/>
      <c r="AC842" s="165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57">
        <v>3000</v>
      </c>
      <c r="X843" s="1657"/>
      <c r="Y843" s="1657"/>
      <c r="Z843" s="1657"/>
      <c r="AA843" s="1657"/>
      <c r="AB843" s="1657"/>
      <c r="AC843" s="165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57">
        <v>73702</v>
      </c>
      <c r="X844" s="1657"/>
      <c r="Y844" s="1657"/>
      <c r="Z844" s="1657"/>
      <c r="AA844" s="1657"/>
      <c r="AB844" s="1657"/>
      <c r="AC844" s="165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57">
        <v>35000</v>
      </c>
      <c r="X845" s="1657"/>
      <c r="Y845" s="1657"/>
      <c r="Z845" s="1657"/>
      <c r="AA845" s="1657"/>
      <c r="AB845" s="1657"/>
      <c r="AC845" s="1657"/>
      <c r="AZ845" s="30"/>
      <c r="BA845" s="30"/>
      <c r="BB845" s="14"/>
      <c r="BC845" s="14"/>
      <c r="BD845" s="14"/>
      <c r="BE845" s="14"/>
      <c r="BF845" s="14"/>
      <c r="BG845" s="14"/>
      <c r="BH845" s="14"/>
      <c r="BI845" s="14"/>
      <c r="BJ845" s="14"/>
      <c r="BK845" s="14"/>
      <c r="BL845" s="14"/>
    </row>
    <row r="846" spans="1:64" ht="12.95" customHeight="1">
      <c r="J846" s="45" t="s">
        <v>169</v>
      </c>
      <c r="K846" s="5"/>
      <c r="L846" s="5"/>
      <c r="M846" s="1643" t="s">
        <v>2742</v>
      </c>
      <c r="N846" s="1644"/>
      <c r="O846" s="1644"/>
      <c r="P846" s="1644"/>
      <c r="Q846" s="1644"/>
      <c r="R846" s="1644"/>
      <c r="S846" s="1644"/>
      <c r="T846" s="1644"/>
      <c r="U846" s="1644"/>
      <c r="V846" s="1645"/>
      <c r="W846" s="1657">
        <v>44507</v>
      </c>
      <c r="X846" s="1657"/>
      <c r="Y846" s="1657"/>
      <c r="Z846" s="1657"/>
      <c r="AA846" s="1657"/>
      <c r="AB846" s="1657"/>
      <c r="AC846" s="165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24">
        <f>SUM(W842:AC846)</f>
        <v>159149</v>
      </c>
      <c r="X847" s="1425"/>
      <c r="Y847" s="1425"/>
      <c r="Z847" s="1425"/>
      <c r="AA847" s="1425"/>
      <c r="AB847" s="1425"/>
      <c r="AC847" s="142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67"/>
      <c r="BH848" s="1667"/>
      <c r="BI848" s="1667"/>
      <c r="BJ848" s="1667"/>
      <c r="BK848" s="1667"/>
      <c r="BL848" s="1667"/>
    </row>
    <row r="849" spans="3:55" ht="12.95" customHeight="1">
      <c r="C849" s="2" t="s">
        <v>343</v>
      </c>
      <c r="J849" s="1485" t="s">
        <v>344</v>
      </c>
      <c r="K849" s="1486"/>
      <c r="L849" s="1486"/>
      <c r="M849" s="1486"/>
      <c r="N849" s="1486"/>
      <c r="O849" s="1486"/>
      <c r="P849" s="1486"/>
      <c r="Q849" s="1486"/>
      <c r="R849" s="1486"/>
      <c r="S849" s="1486"/>
      <c r="T849" s="1486"/>
      <c r="U849" s="1486"/>
      <c r="V849" s="1488"/>
      <c r="W849" s="1427">
        <v>77988</v>
      </c>
      <c r="X849" s="1353"/>
      <c r="Y849" s="1353"/>
      <c r="Z849" s="1353"/>
      <c r="AA849" s="1353"/>
      <c r="AB849" s="1353"/>
      <c r="AC849" s="1354"/>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46"/>
      <c r="X851" s="1646"/>
      <c r="Y851" s="1646"/>
      <c r="Z851" s="1646"/>
      <c r="AA851" s="1646"/>
      <c r="AB851" s="1646"/>
      <c r="AC851" s="1646"/>
      <c r="AZ851" s="1629"/>
      <c r="BA851" s="1629"/>
      <c r="BB851" s="14"/>
      <c r="BC851" s="14"/>
    </row>
    <row r="852" spans="3:55" ht="12.95" customHeight="1">
      <c r="J852" s="45" t="s">
        <v>350</v>
      </c>
      <c r="K852" s="5"/>
      <c r="L852" s="5"/>
      <c r="M852" s="5"/>
      <c r="N852" s="5"/>
      <c r="O852" s="5"/>
      <c r="P852" s="5"/>
      <c r="Q852" s="5"/>
      <c r="R852" s="5"/>
      <c r="S852" s="5"/>
      <c r="T852" s="5"/>
      <c r="U852" s="5"/>
      <c r="V852" s="46"/>
      <c r="W852" s="1646"/>
      <c r="X852" s="1646"/>
      <c r="Y852" s="1646"/>
      <c r="Z852" s="1646"/>
      <c r="AA852" s="1646"/>
      <c r="AB852" s="1646"/>
      <c r="AC852" s="1646"/>
      <c r="AZ852" s="30"/>
      <c r="BA852" s="30"/>
      <c r="BB852" s="14"/>
      <c r="BC852" s="14"/>
    </row>
    <row r="853" spans="3:55" ht="12.95" customHeight="1">
      <c r="J853" s="45" t="s">
        <v>459</v>
      </c>
      <c r="K853" s="5"/>
      <c r="L853" s="5"/>
      <c r="M853" s="5"/>
      <c r="N853" s="5"/>
      <c r="O853" s="5"/>
      <c r="P853" s="5"/>
      <c r="Q853" s="5"/>
      <c r="R853" s="5"/>
      <c r="S853" s="5"/>
      <c r="T853" s="5"/>
      <c r="U853" s="5"/>
      <c r="V853" s="46"/>
      <c r="W853" s="1646">
        <f>124200+4978</f>
        <v>129178</v>
      </c>
      <c r="X853" s="1646"/>
      <c r="Y853" s="1646"/>
      <c r="Z853" s="1646"/>
      <c r="AA853" s="1646"/>
      <c r="AB853" s="1646"/>
      <c r="AC853" s="1646"/>
      <c r="AZ853" s="30"/>
      <c r="BA853" s="30"/>
      <c r="BB853" s="14"/>
      <c r="BC853" s="14"/>
    </row>
    <row r="854" spans="3:55" ht="12.95" customHeight="1">
      <c r="J854" s="62" t="s">
        <v>620</v>
      </c>
      <c r="K854" s="5"/>
      <c r="L854" s="5"/>
      <c r="M854" s="5"/>
      <c r="N854" s="5"/>
      <c r="O854" s="5"/>
      <c r="P854" s="5"/>
      <c r="Q854" s="5"/>
      <c r="R854" s="5"/>
      <c r="S854" s="5"/>
      <c r="T854" s="5"/>
      <c r="U854" s="5"/>
      <c r="V854" s="46"/>
      <c r="W854" s="1646">
        <v>120395</v>
      </c>
      <c r="X854" s="1646"/>
      <c r="Y854" s="1646"/>
      <c r="Z854" s="1646"/>
      <c r="AA854" s="1646"/>
      <c r="AB854" s="1646"/>
      <c r="AC854" s="1646"/>
      <c r="AZ854" s="34"/>
      <c r="BA854" s="34"/>
      <c r="BB854" s="34"/>
      <c r="BC854" s="34"/>
    </row>
    <row r="855" spans="3:55" ht="12.95" customHeight="1">
      <c r="J855" s="63"/>
      <c r="K855" s="48"/>
      <c r="L855" s="48"/>
      <c r="M855" s="48"/>
      <c r="N855" s="48"/>
      <c r="O855" s="48"/>
      <c r="P855" s="48"/>
      <c r="Q855" s="48"/>
      <c r="R855" s="48"/>
      <c r="S855" s="48"/>
      <c r="T855" s="48"/>
      <c r="U855" s="48"/>
      <c r="V855" s="54" t="s">
        <v>271</v>
      </c>
      <c r="W855" s="1647">
        <f>SUM(W851:AC854)</f>
        <v>249573</v>
      </c>
      <c r="X855" s="1647"/>
      <c r="Y855" s="1647"/>
      <c r="Z855" s="1647"/>
      <c r="AA855" s="1647"/>
      <c r="AB855" s="1647"/>
      <c r="AC855" s="1647"/>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40">
        <v>126675</v>
      </c>
      <c r="X857" s="1641"/>
      <c r="Y857" s="1641"/>
      <c r="Z857" s="1641"/>
      <c r="AA857" s="1641"/>
      <c r="AB857" s="1641"/>
      <c r="AC857" s="1642"/>
      <c r="AD857" s="529"/>
      <c r="AZ857" s="34"/>
      <c r="BA857" s="34"/>
      <c r="BB857" s="34"/>
      <c r="BC857" s="34"/>
    </row>
    <row r="858" spans="3:55" ht="12.95" customHeight="1">
      <c r="C858" s="2" t="s">
        <v>346</v>
      </c>
      <c r="J858" s="121" t="s">
        <v>1655</v>
      </c>
      <c r="K858" s="5"/>
      <c r="L858" s="5"/>
      <c r="M858" s="5"/>
      <c r="N858" s="5"/>
      <c r="O858" s="5"/>
      <c r="P858" s="5"/>
      <c r="Q858" s="5"/>
      <c r="R858" s="5"/>
      <c r="S858" s="5"/>
      <c r="T858" s="1655"/>
      <c r="U858" s="1493"/>
      <c r="V858" s="1656"/>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40">
        <v>54090</v>
      </c>
      <c r="X859" s="1641"/>
      <c r="Y859" s="1641"/>
      <c r="Z859" s="1641"/>
      <c r="AA859" s="1641"/>
      <c r="AB859" s="1641"/>
      <c r="AC859" s="1642"/>
      <c r="AD859" s="534"/>
      <c r="AZ859" s="34"/>
      <c r="BA859" s="34"/>
      <c r="BB859" s="34"/>
      <c r="BC859" s="34"/>
    </row>
    <row r="860" spans="3:55" ht="12.95" customHeight="1">
      <c r="C860" s="2"/>
      <c r="J860" s="121" t="s">
        <v>1656</v>
      </c>
      <c r="K860" s="5"/>
      <c r="L860" s="5"/>
      <c r="M860" s="5"/>
      <c r="N860" s="5"/>
      <c r="O860" s="5"/>
      <c r="P860" s="5"/>
      <c r="Q860" s="5"/>
      <c r="R860" s="5"/>
      <c r="S860" s="5"/>
      <c r="T860" s="1655"/>
      <c r="U860" s="1493"/>
      <c r="V860" s="1656"/>
      <c r="W860" s="875"/>
      <c r="X860" s="876"/>
      <c r="Y860" s="876"/>
      <c r="Z860" s="876"/>
      <c r="AA860" s="876"/>
      <c r="AB860" s="876"/>
      <c r="AC860" s="877"/>
      <c r="AD860" s="534"/>
      <c r="AZ860" s="34"/>
      <c r="BA860" s="34"/>
      <c r="BB860" s="34"/>
      <c r="BC860" s="34"/>
    </row>
    <row r="861" spans="3:55" ht="12.95" customHeight="1">
      <c r="J861" s="45" t="s">
        <v>169</v>
      </c>
      <c r="K861" s="5"/>
      <c r="L861" s="5"/>
      <c r="M861" s="1643" t="s">
        <v>2744</v>
      </c>
      <c r="N861" s="1644"/>
      <c r="O861" s="1644"/>
      <c r="P861" s="1644"/>
      <c r="Q861" s="1644"/>
      <c r="R861" s="1644"/>
      <c r="S861" s="1644"/>
      <c r="T861" s="1644"/>
      <c r="U861" s="1644"/>
      <c r="V861" s="1645"/>
      <c r="W861" s="1640">
        <v>97335</v>
      </c>
      <c r="X861" s="1641"/>
      <c r="Y861" s="1641"/>
      <c r="Z861" s="1641"/>
      <c r="AA861" s="1641"/>
      <c r="AB861" s="1641"/>
      <c r="AC861" s="1642"/>
      <c r="AD861" s="529"/>
      <c r="AU861" s="14"/>
      <c r="AZ861" s="34"/>
      <c r="BA861" s="34"/>
      <c r="BB861" s="34"/>
      <c r="BC861" s="34"/>
    </row>
    <row r="862" spans="3:55" ht="12.95" customHeight="1">
      <c r="J862" s="45"/>
      <c r="K862" s="5"/>
      <c r="L862" s="5"/>
      <c r="M862" s="5"/>
      <c r="N862" s="5"/>
      <c r="O862" s="5"/>
      <c r="P862" s="5"/>
      <c r="Q862" s="5"/>
      <c r="R862" s="5"/>
      <c r="S862" s="5"/>
      <c r="T862" s="5"/>
      <c r="U862" s="5"/>
      <c r="V862" s="54" t="s">
        <v>272</v>
      </c>
      <c r="W862" s="1658">
        <f>SUM(W857:AC861)</f>
        <v>278100</v>
      </c>
      <c r="X862" s="1659"/>
      <c r="Y862" s="1659"/>
      <c r="Z862" s="1659"/>
      <c r="AA862" s="1659"/>
      <c r="AB862" s="1659"/>
      <c r="AC862" s="1660"/>
      <c r="AD862" s="534"/>
      <c r="AU862" s="14"/>
      <c r="AZ862" s="34"/>
      <c r="BA862" s="34"/>
      <c r="BB862" s="34"/>
      <c r="BC862" s="34"/>
    </row>
    <row r="863" spans="3:55" ht="12.95" customHeight="1">
      <c r="J863" s="45"/>
      <c r="K863" s="5"/>
      <c r="L863" s="5"/>
      <c r="M863" s="5"/>
      <c r="N863" s="5"/>
      <c r="O863" s="5"/>
      <c r="P863" s="5"/>
      <c r="Q863" s="5"/>
      <c r="R863" s="5"/>
      <c r="S863" s="5"/>
      <c r="T863" s="5"/>
      <c r="U863" s="5"/>
      <c r="V863" s="54" t="s">
        <v>273</v>
      </c>
      <c r="W863" s="1640">
        <v>167857</v>
      </c>
      <c r="X863" s="1641"/>
      <c r="Y863" s="1641"/>
      <c r="Z863" s="1641"/>
      <c r="AA863" s="1641"/>
      <c r="AB863" s="1641"/>
      <c r="AC863" s="1642"/>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57">
        <v>79803</v>
      </c>
      <c r="X865" s="1657"/>
      <c r="Y865" s="1657"/>
      <c r="Z865" s="1657"/>
      <c r="AA865" s="1657"/>
      <c r="AB865" s="1657"/>
      <c r="AC865" s="1657"/>
      <c r="AU865" s="14"/>
      <c r="AZ865" s="34"/>
      <c r="BA865" s="34"/>
      <c r="BB865" s="34"/>
      <c r="BC865" s="34"/>
    </row>
    <row r="866" spans="3:55" ht="12.95" customHeight="1">
      <c r="J866" s="45" t="s">
        <v>522</v>
      </c>
      <c r="K866" s="5"/>
      <c r="L866" s="5"/>
      <c r="M866" s="5"/>
      <c r="N866" s="5"/>
      <c r="O866" s="5"/>
      <c r="P866" s="5"/>
      <c r="Q866" s="5"/>
      <c r="R866" s="5"/>
      <c r="S866" s="5"/>
      <c r="T866" s="5"/>
      <c r="U866" s="5"/>
      <c r="V866" s="46"/>
      <c r="W866" s="1657">
        <v>60240</v>
      </c>
      <c r="X866" s="1657"/>
      <c r="Y866" s="1657"/>
      <c r="Z866" s="1657"/>
      <c r="AA866" s="1657"/>
      <c r="AB866" s="1657"/>
      <c r="AC866" s="1657"/>
      <c r="AU866" s="4"/>
      <c r="AZ866" s="34"/>
      <c r="BA866" s="34"/>
      <c r="BB866" s="34"/>
      <c r="BC866" s="34"/>
    </row>
    <row r="867" spans="3:55" ht="12.95" customHeight="1">
      <c r="J867" s="45" t="s">
        <v>521</v>
      </c>
      <c r="K867" s="5"/>
      <c r="L867" s="5"/>
      <c r="M867" s="5"/>
      <c r="N867" s="5"/>
      <c r="O867" s="5"/>
      <c r="P867" s="5"/>
      <c r="Q867" s="5"/>
      <c r="R867" s="5"/>
      <c r="S867" s="5"/>
      <c r="T867" s="5"/>
      <c r="U867" s="5"/>
      <c r="V867" s="46"/>
      <c r="W867" s="1657"/>
      <c r="X867" s="1657"/>
      <c r="Y867" s="1657"/>
      <c r="Z867" s="1657"/>
      <c r="AA867" s="1657"/>
      <c r="AB867" s="1657"/>
      <c r="AC867" s="1657"/>
      <c r="AU867" s="4"/>
      <c r="AZ867" s="34"/>
      <c r="BA867" s="34"/>
      <c r="BB867" s="34"/>
      <c r="BC867" s="34"/>
    </row>
    <row r="868" spans="3:55" ht="12.95" customHeight="1">
      <c r="J868" s="45" t="s">
        <v>520</v>
      </c>
      <c r="K868" s="5"/>
      <c r="L868" s="5"/>
      <c r="M868" s="5"/>
      <c r="N868" s="5"/>
      <c r="O868" s="5"/>
      <c r="P868" s="5"/>
      <c r="Q868" s="5"/>
      <c r="R868" s="5"/>
      <c r="S868" s="5"/>
      <c r="T868" s="5"/>
      <c r="U868" s="5"/>
      <c r="V868" s="46"/>
      <c r="W868" s="1657"/>
      <c r="X868" s="1657"/>
      <c r="Y868" s="1657"/>
      <c r="Z868" s="1657"/>
      <c r="AA868" s="1657"/>
      <c r="AB868" s="1657"/>
      <c r="AC868" s="1657"/>
      <c r="AU868" s="4"/>
      <c r="AZ868" s="34"/>
      <c r="BA868" s="34"/>
      <c r="BB868" s="34"/>
      <c r="BC868" s="34"/>
    </row>
    <row r="869" spans="3:55" ht="12.95" customHeight="1">
      <c r="J869" s="45" t="s">
        <v>519</v>
      </c>
      <c r="K869" s="5"/>
      <c r="L869" s="5"/>
      <c r="M869" s="5"/>
      <c r="N869" s="5"/>
      <c r="O869" s="5"/>
      <c r="P869" s="5"/>
      <c r="Q869" s="5"/>
      <c r="R869" s="5"/>
      <c r="S869" s="5"/>
      <c r="T869" s="5"/>
      <c r="U869" s="5"/>
      <c r="V869" s="46"/>
      <c r="W869" s="1657"/>
      <c r="X869" s="1657"/>
      <c r="Y869" s="1657"/>
      <c r="Z869" s="1657"/>
      <c r="AA869" s="1657"/>
      <c r="AB869" s="1657"/>
      <c r="AC869" s="1657"/>
      <c r="AU869" s="4"/>
      <c r="AZ869" s="34"/>
      <c r="BA869" s="34"/>
      <c r="BB869" s="34"/>
      <c r="BC869" s="34"/>
    </row>
    <row r="870" spans="3:55" ht="12.95" customHeight="1">
      <c r="J870" s="45" t="s">
        <v>518</v>
      </c>
      <c r="K870" s="5"/>
      <c r="L870" s="5"/>
      <c r="M870" s="5"/>
      <c r="N870" s="5"/>
      <c r="O870" s="5"/>
      <c r="P870" s="5"/>
      <c r="Q870" s="5"/>
      <c r="R870" s="5"/>
      <c r="S870" s="5"/>
      <c r="T870" s="5"/>
      <c r="U870" s="5"/>
      <c r="V870" s="46"/>
      <c r="W870" s="1657">
        <v>13550</v>
      </c>
      <c r="X870" s="1657"/>
      <c r="Y870" s="1657"/>
      <c r="Z870" s="1657"/>
      <c r="AA870" s="1657"/>
      <c r="AB870" s="1657"/>
      <c r="AC870" s="1657"/>
      <c r="AU870" s="4"/>
      <c r="AZ870" s="34"/>
      <c r="BA870" s="34"/>
      <c r="BB870" s="34"/>
      <c r="BC870" s="34"/>
    </row>
    <row r="871" spans="3:55" ht="12.95" customHeight="1">
      <c r="J871" s="45" t="s">
        <v>169</v>
      </c>
      <c r="K871" s="5"/>
      <c r="L871" s="5"/>
      <c r="M871" s="1643" t="s">
        <v>333</v>
      </c>
      <c r="N871" s="1644"/>
      <c r="O871" s="1644"/>
      <c r="P871" s="1644"/>
      <c r="Q871" s="1644"/>
      <c r="R871" s="1644"/>
      <c r="S871" s="1644"/>
      <c r="T871" s="1644"/>
      <c r="U871" s="1644"/>
      <c r="V871" s="1645"/>
      <c r="W871" s="1657"/>
      <c r="X871" s="1657"/>
      <c r="Y871" s="1657"/>
      <c r="Z871" s="1657"/>
      <c r="AA871" s="1657"/>
      <c r="AB871" s="1657"/>
      <c r="AC871" s="1657"/>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61">
        <f>SUM(W865:AC871)</f>
        <v>153593</v>
      </c>
      <c r="X872" s="1661"/>
      <c r="Y872" s="1661"/>
      <c r="Z872" s="1661"/>
      <c r="AA872" s="1661"/>
      <c r="AB872" s="1661"/>
      <c r="AC872" s="166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3" t="s">
        <v>2743</v>
      </c>
      <c r="N874" s="1644"/>
      <c r="O874" s="1644"/>
      <c r="P874" s="1644"/>
      <c r="Q874" s="1644"/>
      <c r="R874" s="1644"/>
      <c r="S874" s="1644"/>
      <c r="T874" s="1644"/>
      <c r="U874" s="1644"/>
      <c r="V874" s="1645"/>
      <c r="W874" s="1427">
        <v>1800</v>
      </c>
      <c r="X874" s="1353"/>
      <c r="Y874" s="1353"/>
      <c r="Z874" s="1353"/>
      <c r="AA874" s="1353"/>
      <c r="AB874" s="1353"/>
      <c r="AC874" s="1354"/>
      <c r="AD874" s="534"/>
      <c r="AV874" s="14"/>
      <c r="AW874" s="14"/>
      <c r="AX874" s="14"/>
      <c r="AY874" s="14"/>
      <c r="AZ874" s="34"/>
      <c r="BA874" s="34"/>
      <c r="BB874" s="34"/>
      <c r="BC874" s="34"/>
    </row>
    <row r="875" spans="3:55" ht="12.95" customHeight="1">
      <c r="C875" s="2" t="s">
        <v>1244</v>
      </c>
      <c r="J875" s="45" t="s">
        <v>169</v>
      </c>
      <c r="K875" s="5"/>
      <c r="L875" s="5"/>
      <c r="M875" s="1643" t="s">
        <v>2745</v>
      </c>
      <c r="N875" s="1644"/>
      <c r="O875" s="1644"/>
      <c r="P875" s="1644"/>
      <c r="Q875" s="1644"/>
      <c r="R875" s="1644"/>
      <c r="S875" s="1644"/>
      <c r="T875" s="1644"/>
      <c r="U875" s="1644"/>
      <c r="V875" s="1645"/>
      <c r="W875" s="1427">
        <v>7899</v>
      </c>
      <c r="X875" s="1353"/>
      <c r="Y875" s="1353"/>
      <c r="Z875" s="1353"/>
      <c r="AA875" s="1353"/>
      <c r="AB875" s="1353"/>
      <c r="AC875" s="1354"/>
      <c r="AD875" s="534"/>
      <c r="AV875" s="14"/>
      <c r="AW875" s="14"/>
      <c r="AX875" s="14"/>
      <c r="AY875" s="14"/>
      <c r="AZ875" s="34"/>
      <c r="BA875" s="34"/>
      <c r="BB875" s="34"/>
      <c r="BC875" s="34"/>
    </row>
    <row r="876" spans="3:55" ht="12.95" customHeight="1">
      <c r="J876" s="45" t="s">
        <v>169</v>
      </c>
      <c r="K876" s="5"/>
      <c r="L876" s="5"/>
      <c r="M876" s="1643" t="s">
        <v>333</v>
      </c>
      <c r="N876" s="1644"/>
      <c r="O876" s="1644"/>
      <c r="P876" s="1644"/>
      <c r="Q876" s="1644"/>
      <c r="R876" s="1644"/>
      <c r="S876" s="1644"/>
      <c r="T876" s="1644"/>
      <c r="U876" s="1644"/>
      <c r="V876" s="1645"/>
      <c r="W876" s="1427"/>
      <c r="X876" s="1353"/>
      <c r="Y876" s="1353"/>
      <c r="Z876" s="1353"/>
      <c r="AA876" s="1353"/>
      <c r="AB876" s="1353"/>
      <c r="AC876" s="1354"/>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3" t="s">
        <v>333</v>
      </c>
      <c r="N877" s="1644"/>
      <c r="O877" s="1644"/>
      <c r="P877" s="1644"/>
      <c r="Q877" s="1644"/>
      <c r="R877" s="1644"/>
      <c r="S877" s="1644"/>
      <c r="T877" s="1644"/>
      <c r="U877" s="1644"/>
      <c r="V877" s="1645"/>
      <c r="W877" s="1427"/>
      <c r="X877" s="1353"/>
      <c r="Y877" s="1353"/>
      <c r="Z877" s="1353"/>
      <c r="AA877" s="1353"/>
      <c r="AB877" s="1353"/>
      <c r="AC877" s="1354"/>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3" t="s">
        <v>333</v>
      </c>
      <c r="N878" s="1644"/>
      <c r="O878" s="1644"/>
      <c r="P878" s="1644"/>
      <c r="Q878" s="1644"/>
      <c r="R878" s="1644"/>
      <c r="S878" s="1644"/>
      <c r="T878" s="1644"/>
      <c r="U878" s="1644"/>
      <c r="V878" s="1645"/>
      <c r="W878" s="1427"/>
      <c r="X878" s="1353"/>
      <c r="Y878" s="1353"/>
      <c r="Z878" s="1353"/>
      <c r="AA878" s="1353"/>
      <c r="AB878" s="1353"/>
      <c r="AC878" s="1354"/>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24">
        <f>SUM(W874:AC878)</f>
        <v>9699</v>
      </c>
      <c r="X879" s="1425"/>
      <c r="Y879" s="1425"/>
      <c r="Z879" s="1425"/>
      <c r="AA879" s="1425"/>
      <c r="AB879" s="1425"/>
      <c r="AC879" s="1426"/>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25">
        <f>W847+W855+W862+W863+W872+W879+W849</f>
        <v>1095959</v>
      </c>
      <c r="AD883" s="1425"/>
      <c r="AE883" s="1425"/>
      <c r="AF883" s="1425"/>
      <c r="AG883" s="1425"/>
      <c r="AH883" s="142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62">
        <f>O797+O777+G753</f>
        <v>97</v>
      </c>
      <c r="AD884" s="1662"/>
      <c r="AE884" s="1662"/>
      <c r="AF884" s="1662"/>
      <c r="AG884" s="1662"/>
      <c r="AH884" s="1663"/>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61">
        <f>IF(ISERROR((ROUNDDOWN(AC883/AC884,0))),0,(ROUNDDOWN(AC883/AC884,0)))</f>
        <v>11298</v>
      </c>
      <c r="AD885" s="1661"/>
      <c r="AE885" s="1661"/>
      <c r="AF885" s="1661"/>
      <c r="AG885" s="1661"/>
      <c r="AH885" s="166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4">
        <f>(AC883/12)*3</f>
        <v>273989.75</v>
      </c>
      <c r="AD886" s="1665"/>
      <c r="AE886" s="1665"/>
      <c r="AF886" s="1665"/>
      <c r="AG886" s="1665"/>
      <c r="AH886" s="166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54"/>
      <c r="AD887" s="1657"/>
      <c r="AE887" s="1657"/>
      <c r="AF887" s="1657"/>
      <c r="AG887" s="1657"/>
      <c r="AH887" s="165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53">
        <v>55000</v>
      </c>
      <c r="AD888" s="1353"/>
      <c r="AE888" s="1353"/>
      <c r="AF888" s="1353"/>
      <c r="AG888" s="1353"/>
      <c r="AH888" s="1354"/>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3">
        <v>48000</v>
      </c>
      <c r="AD889" s="1353"/>
      <c r="AE889" s="1353"/>
      <c r="AF889" s="1353"/>
      <c r="AG889" s="1353"/>
      <c r="AH889" s="1354"/>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28">
        <v>1378</v>
      </c>
      <c r="AD890" s="1429"/>
      <c r="AE890" s="1429"/>
      <c r="AF890" s="1429"/>
      <c r="AG890" s="1429"/>
      <c r="AH890" s="143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3">
        <v>24126</v>
      </c>
      <c r="AD891" s="1353"/>
      <c r="AE891" s="1353"/>
      <c r="AF891" s="1353"/>
      <c r="AG891" s="1353"/>
      <c r="AH891" s="1354"/>
      <c r="AZ891" s="34"/>
      <c r="BA891" s="34"/>
      <c r="BB891" s="34"/>
      <c r="BC891" s="34"/>
    </row>
    <row r="892" spans="3:55" ht="12.95" hidden="1" customHeight="1">
      <c r="C892" s="1485" t="s">
        <v>2236</v>
      </c>
      <c r="D892" s="1486"/>
      <c r="E892" s="1486"/>
      <c r="F892" s="1486"/>
      <c r="G892" s="1486"/>
      <c r="H892" s="1486"/>
      <c r="I892" s="1486"/>
      <c r="J892" s="1486"/>
      <c r="K892" s="1486"/>
      <c r="L892" s="1486"/>
      <c r="M892" s="1486"/>
      <c r="N892" s="1486"/>
      <c r="O892" s="1486"/>
      <c r="P892" s="1486"/>
      <c r="Q892" s="1486"/>
      <c r="R892" s="1486"/>
      <c r="S892" s="1486"/>
      <c r="T892" s="1486"/>
      <c r="U892" s="1486"/>
      <c r="V892" s="1486"/>
      <c r="W892" s="1486"/>
      <c r="X892" s="1486"/>
      <c r="Y892" s="1486"/>
      <c r="Z892" s="1486"/>
      <c r="AA892" s="1486"/>
      <c r="AB892" s="1488"/>
      <c r="AC892" s="1353"/>
      <c r="AD892" s="1353"/>
      <c r="AE892" s="1353"/>
      <c r="AF892" s="1353"/>
      <c r="AG892" s="1353"/>
      <c r="AH892" s="1354"/>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53"/>
      <c r="AD893" s="1353"/>
      <c r="AE893" s="1353"/>
      <c r="AF893" s="1353"/>
      <c r="AG893" s="1353"/>
      <c r="AH893" s="1354"/>
      <c r="AZ893" s="34"/>
      <c r="BA893" s="34"/>
      <c r="BB893" s="34"/>
      <c r="BC893" s="34"/>
    </row>
    <row r="894" spans="3:55" ht="12.95" customHeight="1">
      <c r="C894" s="1695" t="s">
        <v>2753</v>
      </c>
      <c r="D894" s="1696"/>
      <c r="E894" s="1696"/>
      <c r="F894" s="1696"/>
      <c r="G894" s="1696"/>
      <c r="H894" s="1696"/>
      <c r="I894" s="1696"/>
      <c r="J894" s="1696"/>
      <c r="K894" s="1696"/>
      <c r="L894" s="1696"/>
      <c r="M894" s="1696"/>
      <c r="N894" s="1696"/>
      <c r="O894" s="1696"/>
      <c r="P894" s="1696"/>
      <c r="Q894" s="1696"/>
      <c r="R894" s="1696"/>
      <c r="S894" s="1696"/>
      <c r="T894" s="1696"/>
      <c r="U894" s="1696"/>
      <c r="V894" s="1696"/>
      <c r="W894" s="1696"/>
      <c r="X894" s="1696"/>
      <c r="Y894" s="1696"/>
      <c r="Z894" s="1696"/>
      <c r="AA894" s="1696"/>
      <c r="AB894" s="1697"/>
      <c r="AC894" s="1657">
        <v>4000</v>
      </c>
      <c r="AD894" s="1657"/>
      <c r="AE894" s="1657"/>
      <c r="AF894" s="1657"/>
      <c r="AG894" s="1657"/>
      <c r="AH894" s="1657"/>
      <c r="AZ894" s="34"/>
      <c r="BA894" s="34"/>
      <c r="BB894" s="34"/>
      <c r="BC894" s="34"/>
    </row>
    <row r="895" spans="3:55" ht="12.95" customHeight="1">
      <c r="C895" s="1695" t="s">
        <v>956</v>
      </c>
      <c r="D895" s="1696"/>
      <c r="E895" s="1696"/>
      <c r="F895" s="1696"/>
      <c r="G895" s="1696"/>
      <c r="H895" s="1696"/>
      <c r="I895" s="1696"/>
      <c r="J895" s="1696"/>
      <c r="K895" s="1696"/>
      <c r="L895" s="1696"/>
      <c r="M895" s="1696"/>
      <c r="N895" s="1696"/>
      <c r="O895" s="1696"/>
      <c r="P895" s="1696"/>
      <c r="Q895" s="1696"/>
      <c r="R895" s="1696"/>
      <c r="S895" s="1696"/>
      <c r="T895" s="1696"/>
      <c r="U895" s="1696"/>
      <c r="V895" s="1696"/>
      <c r="W895" s="1696"/>
      <c r="X895" s="1696"/>
      <c r="Y895" s="1696"/>
      <c r="Z895" s="1696"/>
      <c r="AA895" s="1696"/>
      <c r="AB895" s="1697"/>
      <c r="AC895" s="1657"/>
      <c r="AD895" s="1657"/>
      <c r="AE895" s="1657"/>
      <c r="AF895" s="1657"/>
      <c r="AG895" s="1657"/>
      <c r="AH895" s="1657"/>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27"/>
      <c r="AA899" s="1353"/>
      <c r="AB899" s="1353"/>
      <c r="AC899" s="1353"/>
      <c r="AD899" s="1353"/>
      <c r="AE899" s="1354"/>
      <c r="AF899" s="534"/>
      <c r="AZ899" s="34"/>
      <c r="BB899" s="30"/>
      <c r="BC899" s="817"/>
      <c r="BD899" s="1666"/>
      <c r="BE899" s="1666"/>
      <c r="BF899" s="14"/>
    </row>
    <row r="900" spans="1:58" ht="12.95" customHeight="1">
      <c r="H900" s="121" t="s">
        <v>238</v>
      </c>
      <c r="I900" s="5"/>
      <c r="J900" s="5"/>
      <c r="K900" s="5"/>
      <c r="L900" s="5"/>
      <c r="M900" s="5"/>
      <c r="N900" s="5"/>
      <c r="O900" s="5"/>
      <c r="P900" s="5"/>
      <c r="Q900" s="5"/>
      <c r="R900" s="5"/>
      <c r="S900" s="5"/>
      <c r="T900" s="5"/>
      <c r="U900" s="5"/>
      <c r="V900" s="5"/>
      <c r="W900" s="5"/>
      <c r="X900" s="5"/>
      <c r="Y900" s="5"/>
      <c r="Z900" s="1427"/>
      <c r="AA900" s="1353"/>
      <c r="AB900" s="1353"/>
      <c r="AC900" s="1353"/>
      <c r="AD900" s="1353"/>
      <c r="AE900" s="1354"/>
      <c r="AZ900" s="34"/>
      <c r="BB900" s="30"/>
      <c r="BC900" s="817"/>
      <c r="BD900" s="1666"/>
      <c r="BE900" s="1666"/>
      <c r="BF900" s="14"/>
    </row>
    <row r="901" spans="1:58" ht="12.95" customHeight="1">
      <c r="H901" s="121" t="s">
        <v>239</v>
      </c>
      <c r="I901" s="5"/>
      <c r="J901" s="5"/>
      <c r="K901" s="5"/>
      <c r="L901" s="5"/>
      <c r="M901" s="5"/>
      <c r="N901" s="5"/>
      <c r="O901" s="5"/>
      <c r="P901" s="5"/>
      <c r="Q901" s="5"/>
      <c r="R901" s="5"/>
      <c r="S901" s="5"/>
      <c r="T901" s="5"/>
      <c r="U901" s="5"/>
      <c r="V901" s="5"/>
      <c r="W901" s="5"/>
      <c r="X901" s="5"/>
      <c r="Y901" s="5"/>
      <c r="Z901" s="1427"/>
      <c r="AA901" s="1353"/>
      <c r="AB901" s="1353"/>
      <c r="AC901" s="1353"/>
      <c r="AD901" s="1353"/>
      <c r="AE901" s="1354"/>
      <c r="AZ901" s="34"/>
      <c r="BB901" s="30"/>
      <c r="BC901" s="817"/>
      <c r="BD901" s="1667"/>
      <c r="BE901" s="166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24">
        <f>Z899-(Z900+Z901)</f>
        <v>0</v>
      </c>
      <c r="AA902" s="1425"/>
      <c r="AB902" s="1425"/>
      <c r="AC902" s="1425"/>
      <c r="AD902" s="1425"/>
      <c r="AE902" s="1426"/>
      <c r="AZ902" s="34"/>
      <c r="BB902" s="30"/>
      <c r="BC902" s="817"/>
      <c r="BD902" s="1667"/>
      <c r="BE902" s="1667"/>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67"/>
      <c r="BE903" s="166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66"/>
      <c r="BE904" s="166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9"/>
      <c r="BE905" s="1669"/>
      <c r="BF905" s="1669"/>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8"/>
      <c r="BE906" s="1668"/>
      <c r="BF906" s="1668"/>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67"/>
      <c r="BE907" s="166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66"/>
      <c r="BE908" s="1667"/>
      <c r="BF908" s="14"/>
    </row>
    <row r="909" spans="1:58" ht="12.95" customHeight="1">
      <c r="AZ909" s="34"/>
      <c r="BB909" s="30"/>
      <c r="BC909" s="817"/>
    </row>
    <row r="910" spans="1:58" ht="12.95" customHeight="1">
      <c r="A910" s="1556" t="s">
        <v>96</v>
      </c>
      <c r="B910" s="1556"/>
      <c r="C910" s="1556"/>
      <c r="D910" s="1556"/>
      <c r="E910" s="1556"/>
      <c r="F910" s="1556"/>
      <c r="G910" s="1556"/>
      <c r="H910" s="1556"/>
      <c r="I910" s="1556"/>
      <c r="J910" s="1556"/>
      <c r="K910" s="1556"/>
      <c r="L910" s="1556"/>
      <c r="M910" s="1556"/>
      <c r="N910" s="1556"/>
      <c r="O910" s="1556"/>
      <c r="P910" s="1556"/>
      <c r="Q910" s="1556"/>
      <c r="R910" s="1556"/>
      <c r="S910" s="1556"/>
      <c r="T910" s="1556"/>
      <c r="U910" s="1556"/>
      <c r="V910" s="1556"/>
      <c r="W910" s="1556"/>
      <c r="X910" s="1556"/>
      <c r="Y910" s="1556"/>
      <c r="Z910" s="1556"/>
      <c r="AA910" s="1556"/>
      <c r="AB910" s="1556"/>
      <c r="AC910" s="1556"/>
      <c r="AD910" s="1556"/>
      <c r="AE910" s="1556"/>
      <c r="AF910" s="1556"/>
      <c r="AG910" s="1556"/>
      <c r="AH910" s="1556"/>
      <c r="AI910" s="1556"/>
      <c r="AJ910" s="1556"/>
      <c r="AK910" s="1556"/>
      <c r="AL910" s="1556"/>
      <c r="AM910" s="1556"/>
      <c r="AN910" s="1556"/>
      <c r="AO910" s="1556"/>
      <c r="AP910" s="1556"/>
      <c r="AQ910" s="1556"/>
      <c r="AR910" s="1556"/>
      <c r="AS910" s="1556"/>
      <c r="AT910" s="1556"/>
      <c r="AZ910" s="34"/>
      <c r="BA910" s="34"/>
      <c r="BB910" s="30"/>
      <c r="BC910" s="30"/>
      <c r="BD910" s="1666"/>
      <c r="BE910" s="1667"/>
      <c r="BF910" s="912"/>
    </row>
    <row r="911" spans="1:58" ht="12.95" customHeight="1">
      <c r="A911" s="1556"/>
      <c r="B911" s="1556"/>
      <c r="C911" s="1556"/>
      <c r="D911" s="1556"/>
      <c r="E911" s="1556"/>
      <c r="F911" s="1556"/>
      <c r="G911" s="1556"/>
      <c r="H911" s="1556"/>
      <c r="I911" s="1556"/>
      <c r="J911" s="1556"/>
      <c r="K911" s="1556"/>
      <c r="L911" s="1556"/>
      <c r="M911" s="1556"/>
      <c r="N911" s="1556"/>
      <c r="O911" s="1556"/>
      <c r="P911" s="1556"/>
      <c r="Q911" s="1556"/>
      <c r="R911" s="1556"/>
      <c r="S911" s="1556"/>
      <c r="T911" s="1556"/>
      <c r="U911" s="1556"/>
      <c r="V911" s="1556"/>
      <c r="W911" s="1556"/>
      <c r="X911" s="1556"/>
      <c r="Y911" s="1556"/>
      <c r="Z911" s="1556"/>
      <c r="AA911" s="1556"/>
      <c r="AB911" s="1556"/>
      <c r="AC911" s="1556"/>
      <c r="AD911" s="1556"/>
      <c r="AE911" s="1556"/>
      <c r="AF911" s="1556"/>
      <c r="AG911" s="1556"/>
      <c r="AH911" s="1556"/>
      <c r="AI911" s="1556"/>
      <c r="AJ911" s="1556"/>
      <c r="AK911" s="1556"/>
      <c r="AL911" s="1556"/>
      <c r="AM911" s="1556"/>
      <c r="AN911" s="1556"/>
      <c r="AO911" s="1556"/>
      <c r="AP911" s="1556"/>
      <c r="AQ911" s="1556"/>
      <c r="AR911" s="1556"/>
      <c r="AS911" s="1556"/>
      <c r="AT911" s="155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792</v>
      </c>
      <c r="G915" s="1711"/>
      <c r="H915" s="1711"/>
      <c r="I915" s="1711"/>
      <c r="J915" s="1711"/>
      <c r="K915" s="1711"/>
      <c r="L915" s="1711"/>
      <c r="M915" s="1711"/>
      <c r="N915" s="1711"/>
      <c r="O915" s="1711"/>
      <c r="P915" s="1711"/>
      <c r="Q915" s="1711"/>
      <c r="R915" s="1711"/>
      <c r="S915" s="1711"/>
      <c r="T915" s="1712"/>
      <c r="U915" s="1737" t="s">
        <v>31</v>
      </c>
      <c r="V915" s="1620"/>
      <c r="W915" s="1620"/>
      <c r="X915" s="1620"/>
      <c r="Y915" s="1620"/>
      <c r="Z915" s="1620"/>
      <c r="AA915" s="43"/>
      <c r="AB915" s="105"/>
      <c r="AC915" s="105"/>
      <c r="AD915" s="105"/>
      <c r="AE915" s="105"/>
      <c r="AF915" s="106"/>
      <c r="AZ915" s="34"/>
      <c r="BA915" s="34"/>
      <c r="BB915" s="34"/>
      <c r="BC915" s="34"/>
    </row>
    <row r="916" spans="1:58" ht="12.95" customHeight="1">
      <c r="B916" s="2"/>
      <c r="F916" s="1738" t="s">
        <v>818</v>
      </c>
      <c r="G916" s="1739"/>
      <c r="H916" s="1739"/>
      <c r="I916" s="1739"/>
      <c r="J916" s="1739"/>
      <c r="K916" s="1739"/>
      <c r="L916" s="1739"/>
      <c r="M916" s="1739"/>
      <c r="N916" s="1739"/>
      <c r="O916" s="1739"/>
      <c r="P916" s="1739"/>
      <c r="Q916" s="1739"/>
      <c r="R916" s="1739"/>
      <c r="S916" s="1739"/>
      <c r="T916" s="1762"/>
      <c r="U916" s="1738"/>
      <c r="V916" s="1739"/>
      <c r="W916" s="1739"/>
      <c r="X916" s="1739"/>
      <c r="Y916" s="1739"/>
      <c r="Z916" s="1739"/>
      <c r="AA916" s="44"/>
      <c r="AB916" s="4"/>
      <c r="AC916" s="4"/>
      <c r="AD916" s="4"/>
      <c r="AE916" s="4"/>
      <c r="AF916" s="107"/>
      <c r="AZ916" s="34"/>
      <c r="BA916" s="34"/>
      <c r="BB916" s="34"/>
      <c r="BC916" s="34"/>
    </row>
    <row r="917" spans="1:58" ht="12.95" customHeight="1">
      <c r="B917" s="2"/>
      <c r="F917" s="1740"/>
      <c r="G917" s="1622"/>
      <c r="H917" s="1622"/>
      <c r="I917" s="1622"/>
      <c r="J917" s="1622"/>
      <c r="K917" s="1622"/>
      <c r="L917" s="1622"/>
      <c r="M917" s="1622"/>
      <c r="N917" s="1622"/>
      <c r="O917" s="1622"/>
      <c r="P917" s="1622"/>
      <c r="Q917" s="1622"/>
      <c r="R917" s="1622"/>
      <c r="S917" s="1622"/>
      <c r="T917" s="1623"/>
      <c r="U917" s="1740"/>
      <c r="V917" s="1622"/>
      <c r="W917" s="1622"/>
      <c r="X917" s="1622"/>
      <c r="Y917" s="1622"/>
      <c r="Z917" s="1622"/>
      <c r="AA917" s="108"/>
      <c r="AB917" s="1455" t="s">
        <v>390</v>
      </c>
      <c r="AC917" s="1455"/>
      <c r="AD917" s="1455"/>
      <c r="AE917" s="1455"/>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54" t="s">
        <v>545</v>
      </c>
      <c r="V918" s="1418"/>
      <c r="W918" s="1418"/>
      <c r="X918" s="1418"/>
      <c r="Y918" s="1418"/>
      <c r="Z918" s="1419"/>
      <c r="AA918" s="1673">
        <f>AM554</f>
        <v>43010702</v>
      </c>
      <c r="AB918" s="1473"/>
      <c r="AC918" s="1473"/>
      <c r="AD918" s="1473"/>
      <c r="AE918" s="1473"/>
      <c r="AF918" s="1674"/>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54" t="s">
        <v>591</v>
      </c>
      <c r="V919" s="1418"/>
      <c r="W919" s="1418"/>
      <c r="X919" s="1418"/>
      <c r="Y919" s="1418"/>
      <c r="Z919" s="1419"/>
      <c r="AA919" s="1673"/>
      <c r="AB919" s="1473"/>
      <c r="AC919" s="1473"/>
      <c r="AD919" s="1473"/>
      <c r="AE919" s="1473"/>
      <c r="AF919" s="1674"/>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54" t="s">
        <v>591</v>
      </c>
      <c r="V920" s="1418"/>
      <c r="W920" s="1418"/>
      <c r="X920" s="1418"/>
      <c r="Y920" s="1418"/>
      <c r="Z920" s="1419"/>
      <c r="AA920" s="1673"/>
      <c r="AB920" s="1473"/>
      <c r="AC920" s="1473"/>
      <c r="AD920" s="1473"/>
      <c r="AE920" s="1473"/>
      <c r="AF920" s="1674"/>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54" t="s">
        <v>545</v>
      </c>
      <c r="V921" s="1418"/>
      <c r="W921" s="1418"/>
      <c r="X921" s="1418"/>
      <c r="Y921" s="1418"/>
      <c r="Z921" s="1419"/>
      <c r="AA921" s="1673">
        <f>AO628</f>
        <v>1000000</v>
      </c>
      <c r="AB921" s="1473"/>
      <c r="AC921" s="1473"/>
      <c r="AD921" s="1473"/>
      <c r="AE921" s="1473"/>
      <c r="AF921" s="1674"/>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54" t="s">
        <v>591</v>
      </c>
      <c r="V922" s="1418"/>
      <c r="W922" s="1418"/>
      <c r="X922" s="1418"/>
      <c r="Y922" s="1418"/>
      <c r="Z922" s="1419"/>
      <c r="AA922" s="1673"/>
      <c r="AB922" s="1473"/>
      <c r="AC922" s="1473"/>
      <c r="AD922" s="1473"/>
      <c r="AE922" s="1473"/>
      <c r="AF922" s="1674"/>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54" t="s">
        <v>591</v>
      </c>
      <c r="V923" s="1418"/>
      <c r="W923" s="1418"/>
      <c r="X923" s="1418"/>
      <c r="Y923" s="1418"/>
      <c r="Z923" s="1419"/>
      <c r="AA923" s="1673"/>
      <c r="AB923" s="1473"/>
      <c r="AC923" s="1473"/>
      <c r="AD923" s="1473"/>
      <c r="AE923" s="1473"/>
      <c r="AF923" s="1674"/>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54" t="s">
        <v>591</v>
      </c>
      <c r="V924" s="1418"/>
      <c r="W924" s="1418"/>
      <c r="X924" s="1418"/>
      <c r="Y924" s="1418"/>
      <c r="Z924" s="1419"/>
      <c r="AA924" s="1673"/>
      <c r="AB924" s="1473"/>
      <c r="AC924" s="1473"/>
      <c r="AD924" s="1473"/>
      <c r="AE924" s="1473"/>
      <c r="AF924" s="1674"/>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54" t="s">
        <v>591</v>
      </c>
      <c r="V925" s="1418"/>
      <c r="W925" s="1418"/>
      <c r="X925" s="1418"/>
      <c r="Y925" s="1418"/>
      <c r="Z925" s="1419"/>
      <c r="AA925" s="1673"/>
      <c r="AB925" s="1473"/>
      <c r="AC925" s="1473"/>
      <c r="AD925" s="1473"/>
      <c r="AE925" s="1473"/>
      <c r="AF925" s="1674"/>
      <c r="AZ925" s="34"/>
      <c r="BA925" s="34"/>
      <c r="BB925" s="34"/>
      <c r="BC925" s="34"/>
    </row>
    <row r="926" spans="1:58" ht="12.95" customHeight="1">
      <c r="F926" s="1651" t="s">
        <v>2194</v>
      </c>
      <c r="G926" s="1652"/>
      <c r="H926" s="1652"/>
      <c r="I926" s="1652"/>
      <c r="J926" s="1652"/>
      <c r="K926" s="1652"/>
      <c r="L926" s="1652"/>
      <c r="M926" s="1652"/>
      <c r="N926" s="1652"/>
      <c r="O926" s="1652"/>
      <c r="P926" s="1652"/>
      <c r="Q926" s="1652"/>
      <c r="R926" s="1652"/>
      <c r="S926" s="1652"/>
      <c r="T926" s="1653"/>
      <c r="U926" s="1654" t="s">
        <v>591</v>
      </c>
      <c r="V926" s="1418"/>
      <c r="W926" s="1418"/>
      <c r="X926" s="1418"/>
      <c r="Y926" s="1418"/>
      <c r="Z926" s="1419"/>
      <c r="AA926" s="1673"/>
      <c r="AB926" s="1473"/>
      <c r="AC926" s="1473"/>
      <c r="AD926" s="1473"/>
      <c r="AE926" s="1473"/>
      <c r="AF926" s="1674"/>
      <c r="AZ926" s="34"/>
      <c r="BA926" s="34"/>
      <c r="BB926" s="34"/>
      <c r="BC926" s="34"/>
    </row>
    <row r="927" spans="1:58" ht="12.95" customHeight="1">
      <c r="F927" s="1651" t="s">
        <v>679</v>
      </c>
      <c r="G927" s="1652"/>
      <c r="H927" s="1652"/>
      <c r="I927" s="1652"/>
      <c r="J927" s="1652"/>
      <c r="K927" s="1652"/>
      <c r="L927" s="1652"/>
      <c r="M927" s="1652"/>
      <c r="N927" s="1652"/>
      <c r="O927" s="1652"/>
      <c r="P927" s="1652"/>
      <c r="Q927" s="1652"/>
      <c r="R927" s="1652"/>
      <c r="S927" s="1652"/>
      <c r="T927" s="1653"/>
      <c r="U927" s="1654" t="s">
        <v>591</v>
      </c>
      <c r="V927" s="1418"/>
      <c r="W927" s="1418"/>
      <c r="X927" s="1418"/>
      <c r="Y927" s="1418"/>
      <c r="Z927" s="1419"/>
      <c r="AA927" s="1673"/>
      <c r="AB927" s="1473"/>
      <c r="AC927" s="1473"/>
      <c r="AD927" s="1473"/>
      <c r="AE927" s="1473"/>
      <c r="AF927" s="1674"/>
      <c r="AU927" s="2"/>
      <c r="AZ927" s="34"/>
      <c r="BA927" s="34"/>
      <c r="BB927" s="34"/>
      <c r="BC927" s="34"/>
    </row>
    <row r="928" spans="1:58" ht="12.95" customHeight="1">
      <c r="F928" s="1651" t="s">
        <v>2195</v>
      </c>
      <c r="G928" s="1652"/>
      <c r="H928" s="1652"/>
      <c r="I928" s="1652"/>
      <c r="J928" s="1652"/>
      <c r="K928" s="1652"/>
      <c r="L928" s="1652"/>
      <c r="M928" s="1652"/>
      <c r="N928" s="1652"/>
      <c r="O928" s="1652"/>
      <c r="P928" s="1652"/>
      <c r="Q928" s="1652"/>
      <c r="R928" s="1652"/>
      <c r="S928" s="1652"/>
      <c r="T928" s="1653"/>
      <c r="U928" s="1654" t="s">
        <v>591</v>
      </c>
      <c r="V928" s="1418"/>
      <c r="W928" s="1418"/>
      <c r="X928" s="1418"/>
      <c r="Y928" s="1418"/>
      <c r="Z928" s="1419"/>
      <c r="AA928" s="1673"/>
      <c r="AB928" s="1473"/>
      <c r="AC928" s="1473"/>
      <c r="AD928" s="1473"/>
      <c r="AE928" s="1473"/>
      <c r="AF928" s="1674"/>
      <c r="AU928" s="2"/>
      <c r="AZ928" s="34"/>
      <c r="BA928" s="34"/>
      <c r="BB928" s="34"/>
      <c r="BC928" s="34"/>
    </row>
    <row r="929" spans="6:55" ht="12.95" customHeight="1">
      <c r="F929" s="1651" t="s">
        <v>2196</v>
      </c>
      <c r="G929" s="1652"/>
      <c r="H929" s="1652"/>
      <c r="I929" s="1652"/>
      <c r="J929" s="1652"/>
      <c r="K929" s="1652"/>
      <c r="L929" s="1652"/>
      <c r="M929" s="1652"/>
      <c r="N929" s="1652"/>
      <c r="O929" s="1652"/>
      <c r="P929" s="1652"/>
      <c r="Q929" s="1652"/>
      <c r="R929" s="1652"/>
      <c r="S929" s="1652"/>
      <c r="T929" s="1653"/>
      <c r="U929" s="1654" t="s">
        <v>591</v>
      </c>
      <c r="V929" s="1418"/>
      <c r="W929" s="1418"/>
      <c r="X929" s="1418"/>
      <c r="Y929" s="1418"/>
      <c r="Z929" s="1419"/>
      <c r="AA929" s="1673"/>
      <c r="AB929" s="1473"/>
      <c r="AC929" s="1473"/>
      <c r="AD929" s="1473"/>
      <c r="AE929" s="1473"/>
      <c r="AF929" s="1674"/>
      <c r="AU929" s="2"/>
      <c r="AZ929" s="34"/>
      <c r="BA929" s="34"/>
      <c r="BB929" s="34"/>
      <c r="BC929" s="34"/>
    </row>
    <row r="930" spans="6:55" ht="12.95" customHeight="1">
      <c r="F930" s="1651" t="s">
        <v>2197</v>
      </c>
      <c r="G930" s="1652"/>
      <c r="H930" s="1652"/>
      <c r="I930" s="1652"/>
      <c r="J930" s="1652"/>
      <c r="K930" s="1652"/>
      <c r="L930" s="1652"/>
      <c r="M930" s="1652"/>
      <c r="N930" s="1652"/>
      <c r="O930" s="1652"/>
      <c r="P930" s="1652"/>
      <c r="Q930" s="1652"/>
      <c r="R930" s="1652"/>
      <c r="S930" s="1652"/>
      <c r="T930" s="1653"/>
      <c r="U930" s="1654" t="s">
        <v>591</v>
      </c>
      <c r="V930" s="1418"/>
      <c r="W930" s="1418"/>
      <c r="X930" s="1418"/>
      <c r="Y930" s="1418"/>
      <c r="Z930" s="1419"/>
      <c r="AA930" s="1673"/>
      <c r="AB930" s="1473"/>
      <c r="AC930" s="1473"/>
      <c r="AD930" s="1473"/>
      <c r="AE930" s="1473"/>
      <c r="AF930" s="1674"/>
      <c r="AU930" s="2"/>
      <c r="AZ930" s="34"/>
      <c r="BA930" s="34"/>
      <c r="BB930" s="34"/>
      <c r="BC930" s="34"/>
    </row>
    <row r="931" spans="6:55" ht="12.95" customHeight="1">
      <c r="F931" s="1651" t="s">
        <v>2198</v>
      </c>
      <c r="G931" s="1652"/>
      <c r="H931" s="1652"/>
      <c r="I931" s="1652"/>
      <c r="J931" s="1652"/>
      <c r="K931" s="1652"/>
      <c r="L931" s="1652"/>
      <c r="M931" s="1652"/>
      <c r="N931" s="1652"/>
      <c r="O931" s="1652"/>
      <c r="P931" s="1652"/>
      <c r="Q931" s="1652"/>
      <c r="R931" s="1652"/>
      <c r="S931" s="1652"/>
      <c r="T931" s="1653"/>
      <c r="U931" s="1654" t="s">
        <v>591</v>
      </c>
      <c r="V931" s="1418"/>
      <c r="W931" s="1418"/>
      <c r="X931" s="1418"/>
      <c r="Y931" s="1418"/>
      <c r="Z931" s="1419"/>
      <c r="AA931" s="1673"/>
      <c r="AB931" s="1473"/>
      <c r="AC931" s="1473"/>
      <c r="AD931" s="1473"/>
      <c r="AE931" s="1473"/>
      <c r="AF931" s="1674"/>
      <c r="AU931" s="2"/>
      <c r="AZ931" s="34"/>
      <c r="BA931" s="34"/>
      <c r="BB931" s="34"/>
      <c r="BC931" s="34"/>
    </row>
    <row r="932" spans="6:55" ht="12.95" customHeight="1">
      <c r="F932" s="1651" t="s">
        <v>2199</v>
      </c>
      <c r="G932" s="1652"/>
      <c r="H932" s="1652"/>
      <c r="I932" s="1652"/>
      <c r="J932" s="1652"/>
      <c r="K932" s="1652"/>
      <c r="L932" s="1652"/>
      <c r="M932" s="1652"/>
      <c r="N932" s="1652"/>
      <c r="O932" s="1652"/>
      <c r="P932" s="1652"/>
      <c r="Q932" s="1652"/>
      <c r="R932" s="1652"/>
      <c r="S932" s="1652"/>
      <c r="T932" s="1653"/>
      <c r="U932" s="1654" t="s">
        <v>591</v>
      </c>
      <c r="V932" s="1418"/>
      <c r="W932" s="1418"/>
      <c r="X932" s="1418"/>
      <c r="Y932" s="1418"/>
      <c r="Z932" s="1419"/>
      <c r="AA932" s="1673"/>
      <c r="AB932" s="1473"/>
      <c r="AC932" s="1473"/>
      <c r="AD932" s="1473"/>
      <c r="AE932" s="1473"/>
      <c r="AF932" s="1674"/>
      <c r="AZ932" s="30"/>
      <c r="BA932" s="30"/>
    </row>
    <row r="933" spans="6:55" ht="12.95" customHeight="1">
      <c r="F933" s="178" t="s">
        <v>676</v>
      </c>
      <c r="G933" s="5"/>
      <c r="H933" s="5"/>
      <c r="I933" s="5"/>
      <c r="J933" s="5"/>
      <c r="K933" s="5"/>
      <c r="L933" s="5"/>
      <c r="M933" s="5"/>
      <c r="N933" s="5"/>
      <c r="O933" s="5"/>
      <c r="P933" s="5"/>
      <c r="Q933" s="5"/>
      <c r="R933" s="5"/>
      <c r="S933" s="5"/>
      <c r="T933" s="46"/>
      <c r="U933" s="1654" t="s">
        <v>591</v>
      </c>
      <c r="V933" s="1418"/>
      <c r="W933" s="1418"/>
      <c r="X933" s="1418"/>
      <c r="Y933" s="1418"/>
      <c r="Z933" s="1419"/>
      <c r="AA933" s="1673"/>
      <c r="AB933" s="1473"/>
      <c r="AC933" s="1473"/>
      <c r="AD933" s="1473"/>
      <c r="AE933" s="1473"/>
      <c r="AF933" s="1674"/>
    </row>
    <row r="934" spans="6:55" ht="12.95" customHeight="1">
      <c r="F934" s="121" t="s">
        <v>1277</v>
      </c>
      <c r="G934" s="5"/>
      <c r="H934" s="5"/>
      <c r="I934" s="5"/>
      <c r="J934" s="5"/>
      <c r="K934" s="5"/>
      <c r="L934" s="5"/>
      <c r="M934" s="5"/>
      <c r="N934" s="5"/>
      <c r="O934" s="5"/>
      <c r="P934" s="5"/>
      <c r="Q934" s="5"/>
      <c r="R934" s="5"/>
      <c r="S934" s="5"/>
      <c r="T934" s="46"/>
      <c r="U934" s="1654" t="s">
        <v>591</v>
      </c>
      <c r="V934" s="1418"/>
      <c r="W934" s="1418"/>
      <c r="X934" s="1418"/>
      <c r="Y934" s="1418"/>
      <c r="Z934" s="1419"/>
      <c r="AA934" s="1673"/>
      <c r="AB934" s="1473"/>
      <c r="AC934" s="1473"/>
      <c r="AD934" s="1473"/>
      <c r="AE934" s="1473"/>
      <c r="AF934" s="1674"/>
      <c r="AZ934" s="30"/>
      <c r="BA934" s="14"/>
    </row>
    <row r="935" spans="6:55" ht="12.95" customHeight="1">
      <c r="F935" s="66" t="s">
        <v>802</v>
      </c>
      <c r="G935" s="5"/>
      <c r="H935" s="5"/>
      <c r="I935" s="5"/>
      <c r="J935" s="5"/>
      <c r="K935" s="5"/>
      <c r="L935" s="5"/>
      <c r="M935" s="5"/>
      <c r="N935" s="5"/>
      <c r="O935" s="5"/>
      <c r="P935" s="5"/>
      <c r="Q935" s="5"/>
      <c r="R935" s="5"/>
      <c r="S935" s="5"/>
      <c r="T935" s="46"/>
      <c r="U935" s="1654" t="s">
        <v>591</v>
      </c>
      <c r="V935" s="1418"/>
      <c r="W935" s="1418"/>
      <c r="X935" s="1418"/>
      <c r="Y935" s="1418"/>
      <c r="Z935" s="1419"/>
      <c r="AA935" s="1673"/>
      <c r="AB935" s="1473"/>
      <c r="AC935" s="1473"/>
      <c r="AD935" s="1473"/>
      <c r="AE935" s="1473"/>
      <c r="AF935" s="1674"/>
      <c r="AZ935" s="30"/>
      <c r="BA935" s="14"/>
    </row>
    <row r="936" spans="6:55" ht="12.95" customHeight="1">
      <c r="F936" s="1670" t="s">
        <v>2203</v>
      </c>
      <c r="G936" s="1671"/>
      <c r="H936" s="1671"/>
      <c r="I936" s="1671"/>
      <c r="J936" s="1671"/>
      <c r="K936" s="1671"/>
      <c r="L936" s="1671"/>
      <c r="M936" s="1671"/>
      <c r="N936" s="1671"/>
      <c r="O936" s="1671"/>
      <c r="P936" s="1671"/>
      <c r="Q936" s="1671"/>
      <c r="R936" s="1671"/>
      <c r="S936" s="1671"/>
      <c r="T936" s="1672"/>
      <c r="U936" s="1654" t="s">
        <v>591</v>
      </c>
      <c r="V936" s="1418"/>
      <c r="W936" s="1418"/>
      <c r="X936" s="1418"/>
      <c r="Y936" s="1418"/>
      <c r="Z936" s="1419"/>
      <c r="AA936" s="1673"/>
      <c r="AB936" s="1473"/>
      <c r="AC936" s="1473"/>
      <c r="AD936" s="1473"/>
      <c r="AE936" s="1473"/>
      <c r="AF936" s="1674"/>
      <c r="AZ936" s="30"/>
      <c r="BA936" s="14"/>
    </row>
    <row r="937" spans="6:55" ht="12.95" customHeight="1">
      <c r="F937" s="1670" t="s">
        <v>2204</v>
      </c>
      <c r="G937" s="1671"/>
      <c r="H937" s="1671"/>
      <c r="I937" s="1671"/>
      <c r="J937" s="1671"/>
      <c r="K937" s="1671"/>
      <c r="L937" s="1671"/>
      <c r="M937" s="1671"/>
      <c r="N937" s="1671"/>
      <c r="O937" s="1671"/>
      <c r="P937" s="1671"/>
      <c r="Q937" s="1671"/>
      <c r="R937" s="1671"/>
      <c r="S937" s="1671"/>
      <c r="T937" s="1672"/>
      <c r="U937" s="1654" t="s">
        <v>591</v>
      </c>
      <c r="V937" s="1418"/>
      <c r="W937" s="1418"/>
      <c r="X937" s="1418"/>
      <c r="Y937" s="1418"/>
      <c r="Z937" s="1419"/>
      <c r="AA937" s="1673"/>
      <c r="AB937" s="1473"/>
      <c r="AC937" s="1473"/>
      <c r="AD937" s="1473"/>
      <c r="AE937" s="1473"/>
      <c r="AF937" s="1674"/>
      <c r="AZ937" s="30"/>
      <c r="BA937" s="30"/>
    </row>
    <row r="938" spans="6:55" ht="12.95" customHeight="1">
      <c r="F938" s="1651" t="s">
        <v>2200</v>
      </c>
      <c r="G938" s="1652"/>
      <c r="H938" s="1652"/>
      <c r="I938" s="1652"/>
      <c r="J938" s="1652"/>
      <c r="K938" s="1652"/>
      <c r="L938" s="1652"/>
      <c r="M938" s="1652"/>
      <c r="N938" s="1652"/>
      <c r="O938" s="1652"/>
      <c r="P938" s="1652"/>
      <c r="Q938" s="1652"/>
      <c r="R938" s="1652"/>
      <c r="S938" s="1652"/>
      <c r="T938" s="1653"/>
      <c r="U938" s="1654" t="s">
        <v>591</v>
      </c>
      <c r="V938" s="1418"/>
      <c r="W938" s="1418"/>
      <c r="X938" s="1418"/>
      <c r="Y938" s="1418"/>
      <c r="Z938" s="1419"/>
      <c r="AA938" s="1673"/>
      <c r="AB938" s="1473"/>
      <c r="AC938" s="1473"/>
      <c r="AD938" s="1473"/>
      <c r="AE938" s="1473"/>
      <c r="AF938" s="1674"/>
      <c r="AZ938" s="30"/>
      <c r="BA938" s="30"/>
    </row>
    <row r="939" spans="6:55" ht="12.95" customHeight="1">
      <c r="F939" s="1651" t="s">
        <v>2201</v>
      </c>
      <c r="G939" s="1652"/>
      <c r="H939" s="1652"/>
      <c r="I939" s="1652"/>
      <c r="J939" s="1652"/>
      <c r="K939" s="1652"/>
      <c r="L939" s="1652"/>
      <c r="M939" s="1652"/>
      <c r="N939" s="1652"/>
      <c r="O939" s="1652"/>
      <c r="P939" s="1652"/>
      <c r="Q939" s="1652"/>
      <c r="R939" s="1652"/>
      <c r="S939" s="1652"/>
      <c r="T939" s="1653"/>
      <c r="U939" s="1654" t="s">
        <v>591</v>
      </c>
      <c r="V939" s="1418"/>
      <c r="W939" s="1418"/>
      <c r="X939" s="1418"/>
      <c r="Y939" s="1418"/>
      <c r="Z939" s="1419"/>
      <c r="AA939" s="1673"/>
      <c r="AB939" s="1473"/>
      <c r="AC939" s="1473"/>
      <c r="AD939" s="1473"/>
      <c r="AE939" s="1473"/>
      <c r="AF939" s="1674"/>
      <c r="AZ939" s="30"/>
      <c r="BA939" s="30"/>
    </row>
    <row r="940" spans="6:55" ht="12.95" customHeight="1">
      <c r="F940" s="1651" t="s">
        <v>2202</v>
      </c>
      <c r="G940" s="1652"/>
      <c r="H940" s="1652"/>
      <c r="I940" s="1652"/>
      <c r="J940" s="1652"/>
      <c r="K940" s="1652"/>
      <c r="L940" s="1652"/>
      <c r="M940" s="1652"/>
      <c r="N940" s="1652"/>
      <c r="O940" s="1652"/>
      <c r="P940" s="1652"/>
      <c r="Q940" s="1652"/>
      <c r="R940" s="1652"/>
      <c r="S940" s="1652"/>
      <c r="T940" s="1653"/>
      <c r="U940" s="1654" t="s">
        <v>591</v>
      </c>
      <c r="V940" s="1418"/>
      <c r="W940" s="1418"/>
      <c r="X940" s="1418"/>
      <c r="Y940" s="1418"/>
      <c r="Z940" s="1419"/>
      <c r="AA940" s="1673"/>
      <c r="AB940" s="1473"/>
      <c r="AC940" s="1473"/>
      <c r="AD940" s="1473"/>
      <c r="AE940" s="1473"/>
      <c r="AF940" s="1674"/>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54" t="s">
        <v>591</v>
      </c>
      <c r="V941" s="1418"/>
      <c r="W941" s="1418"/>
      <c r="X941" s="1418"/>
      <c r="Y941" s="1418"/>
      <c r="Z941" s="1419"/>
      <c r="AA941" s="1673"/>
      <c r="AB941" s="1473"/>
      <c r="AC941" s="1473"/>
      <c r="AD941" s="1473"/>
      <c r="AE941" s="1473"/>
      <c r="AF941" s="1674"/>
      <c r="AZ941" s="34"/>
      <c r="BA941" s="34"/>
      <c r="BB941" s="14"/>
      <c r="BC941" s="14"/>
    </row>
    <row r="942" spans="6:55" ht="12.95" customHeight="1">
      <c r="F942" s="1670" t="s">
        <v>2205</v>
      </c>
      <c r="G942" s="1671"/>
      <c r="H942" s="1671"/>
      <c r="I942" s="1671"/>
      <c r="J942" s="1671"/>
      <c r="K942" s="1671"/>
      <c r="L942" s="1671"/>
      <c r="M942" s="1671"/>
      <c r="N942" s="1671"/>
      <c r="O942" s="1671"/>
      <c r="P942" s="1671"/>
      <c r="Q942" s="1671"/>
      <c r="R942" s="1671"/>
      <c r="S942" s="1671"/>
      <c r="T942" s="1672"/>
      <c r="U942" s="1654" t="s">
        <v>545</v>
      </c>
      <c r="V942" s="1418"/>
      <c r="W942" s="1418"/>
      <c r="X942" s="1418"/>
      <c r="Y942" s="1418"/>
      <c r="Z942" s="1419"/>
      <c r="AA942" s="1673">
        <f>AO630</f>
        <v>1250000</v>
      </c>
      <c r="AB942" s="1473"/>
      <c r="AC942" s="1473"/>
      <c r="AD942" s="1473"/>
      <c r="AE942" s="1473"/>
      <c r="AF942" s="1674"/>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54" t="s">
        <v>591</v>
      </c>
      <c r="V943" s="1418"/>
      <c r="W943" s="1418"/>
      <c r="X943" s="1418"/>
      <c r="Y943" s="1418"/>
      <c r="Z943" s="1419"/>
      <c r="AA943" s="1673"/>
      <c r="AB943" s="1473"/>
      <c r="AC943" s="1473"/>
      <c r="AD943" s="1473"/>
      <c r="AE943" s="1473"/>
      <c r="AF943" s="1674"/>
      <c r="AZ943" s="34"/>
      <c r="BA943" s="34"/>
      <c r="BB943" s="34"/>
      <c r="BC943" s="34"/>
    </row>
    <row r="944" spans="6:55" ht="12.95" customHeight="1">
      <c r="F944" s="1670" t="s">
        <v>2206</v>
      </c>
      <c r="G944" s="1671"/>
      <c r="H944" s="1671"/>
      <c r="I944" s="1671"/>
      <c r="J944" s="1671"/>
      <c r="K944" s="1671"/>
      <c r="L944" s="1671"/>
      <c r="M944" s="1671"/>
      <c r="N944" s="1671"/>
      <c r="O944" s="1671"/>
      <c r="P944" s="1671"/>
      <c r="Q944" s="1671"/>
      <c r="R944" s="1671"/>
      <c r="S944" s="1671"/>
      <c r="T944" s="1672"/>
      <c r="U944" s="1654" t="s">
        <v>591</v>
      </c>
      <c r="V944" s="1418"/>
      <c r="W944" s="1418"/>
      <c r="X944" s="1418"/>
      <c r="Y944" s="1418"/>
      <c r="Z944" s="1419"/>
      <c r="AA944" s="1673"/>
      <c r="AB944" s="1473"/>
      <c r="AC944" s="1473"/>
      <c r="AD944" s="1473"/>
      <c r="AE944" s="1473"/>
      <c r="AF944" s="1674"/>
      <c r="AZ944" s="34"/>
      <c r="BA944" s="34"/>
      <c r="BB944" s="34"/>
      <c r="BC944" s="34"/>
    </row>
    <row r="945" spans="1:55" ht="12.95" customHeight="1">
      <c r="F945" s="45" t="s">
        <v>806</v>
      </c>
      <c r="G945" s="5"/>
      <c r="H945" s="5"/>
      <c r="I945" s="5"/>
      <c r="J945" s="5"/>
      <c r="K945" s="5"/>
      <c r="L945" s="5"/>
      <c r="M945" s="5"/>
      <c r="N945" s="5"/>
      <c r="O945" s="5"/>
      <c r="P945" s="1654" t="s">
        <v>669</v>
      </c>
      <c r="Q945" s="1418"/>
      <c r="R945" s="1418"/>
      <c r="S945" s="1418"/>
      <c r="T945" s="1419"/>
      <c r="U945" s="1654" t="s">
        <v>591</v>
      </c>
      <c r="V945" s="1418"/>
      <c r="W945" s="1418"/>
      <c r="X945" s="1418"/>
      <c r="Y945" s="1418"/>
      <c r="Z945" s="1419"/>
      <c r="AA945" s="1673"/>
      <c r="AB945" s="1473"/>
      <c r="AC945" s="1473"/>
      <c r="AD945" s="1473"/>
      <c r="AE945" s="1473"/>
      <c r="AF945" s="1674"/>
      <c r="AZ945" s="34"/>
      <c r="BA945" s="34"/>
      <c r="BB945" s="34"/>
      <c r="BC945" s="34"/>
    </row>
    <row r="946" spans="1:55" ht="12.95" customHeight="1">
      <c r="F946" s="1651" t="s">
        <v>2193</v>
      </c>
      <c r="G946" s="1652"/>
      <c r="H946" s="1653"/>
      <c r="I946" s="1643" t="s">
        <v>333</v>
      </c>
      <c r="J946" s="1644"/>
      <c r="K946" s="1644"/>
      <c r="L946" s="1644"/>
      <c r="M946" s="1644"/>
      <c r="N946" s="1644"/>
      <c r="O946" s="1644"/>
      <c r="P946" s="1644"/>
      <c r="Q946" s="1644"/>
      <c r="R946" s="1644"/>
      <c r="S946" s="1644"/>
      <c r="T946" s="1645"/>
      <c r="U946" s="1654" t="s">
        <v>591</v>
      </c>
      <c r="V946" s="1418"/>
      <c r="W946" s="1418"/>
      <c r="X946" s="1418"/>
      <c r="Y946" s="1418"/>
      <c r="Z946" s="1419"/>
      <c r="AA946" s="1673"/>
      <c r="AB946" s="1473"/>
      <c r="AC946" s="1473"/>
      <c r="AD946" s="1473"/>
      <c r="AE946" s="1473"/>
      <c r="AF946" s="1674"/>
      <c r="AZ946" s="34"/>
      <c r="BA946" s="34"/>
      <c r="BB946" s="34"/>
      <c r="BC946" s="34"/>
    </row>
    <row r="947" spans="1:55" ht="12.95" customHeight="1">
      <c r="F947" s="45" t="s">
        <v>86</v>
      </c>
      <c r="G947" s="48"/>
      <c r="H947" s="48"/>
      <c r="I947" s="1643" t="s">
        <v>333</v>
      </c>
      <c r="J947" s="1644"/>
      <c r="K947" s="1644"/>
      <c r="L947" s="1644"/>
      <c r="M947" s="1644"/>
      <c r="N947" s="1644"/>
      <c r="O947" s="1644"/>
      <c r="P947" s="1644"/>
      <c r="Q947" s="1644"/>
      <c r="R947" s="1644"/>
      <c r="S947" s="1644"/>
      <c r="T947" s="1645"/>
      <c r="U947" s="1654" t="s">
        <v>591</v>
      </c>
      <c r="V947" s="1418"/>
      <c r="W947" s="1418"/>
      <c r="X947" s="1418"/>
      <c r="Y947" s="1418"/>
      <c r="Z947" s="1419"/>
      <c r="AA947" s="1673"/>
      <c r="AB947" s="1473"/>
      <c r="AC947" s="1473"/>
      <c r="AD947" s="1473"/>
      <c r="AE947" s="1473"/>
      <c r="AF947" s="1674"/>
      <c r="AZ947" s="34"/>
      <c r="BA947" s="34"/>
      <c r="BB947" s="34"/>
      <c r="BC947" s="34"/>
    </row>
    <row r="948" spans="1:55" ht="12.95" customHeight="1">
      <c r="F948" s="45" t="s">
        <v>10</v>
      </c>
      <c r="G948" s="48"/>
      <c r="H948" s="48"/>
      <c r="I948" s="1703">
        <f>AO631</f>
        <v>20000000</v>
      </c>
      <c r="J948" s="1689"/>
      <c r="K948" s="1689"/>
      <c r="L948" s="1689"/>
      <c r="M948" s="1689"/>
      <c r="N948" s="1689"/>
      <c r="O948" s="1689"/>
      <c r="P948" s="1689"/>
      <c r="Q948" s="1689"/>
      <c r="R948" s="1689"/>
      <c r="S948" s="1689"/>
      <c r="T948" s="1690"/>
      <c r="U948" s="1654" t="s">
        <v>545</v>
      </c>
      <c r="V948" s="1418"/>
      <c r="W948" s="1418"/>
      <c r="X948" s="1418"/>
      <c r="Y948" s="1418"/>
      <c r="Z948" s="1419"/>
      <c r="AA948" s="1673">
        <f>AO631</f>
        <v>20000000</v>
      </c>
      <c r="AB948" s="1473"/>
      <c r="AC948" s="1473"/>
      <c r="AD948" s="1473"/>
      <c r="AE948" s="1473"/>
      <c r="AF948" s="1674"/>
      <c r="AV948" s="2"/>
      <c r="AW948" s="2"/>
      <c r="AX948" s="2"/>
      <c r="AY948" s="2"/>
      <c r="AZ948" s="34"/>
      <c r="BA948" s="34"/>
      <c r="BB948" s="34"/>
      <c r="BC948" s="34"/>
    </row>
    <row r="949" spans="1:55" ht="12.95" customHeight="1">
      <c r="F949" s="47" t="s">
        <v>169</v>
      </c>
      <c r="G949" s="48"/>
      <c r="H949" s="48"/>
      <c r="I949" s="1643" t="s">
        <v>2746</v>
      </c>
      <c r="J949" s="1689"/>
      <c r="K949" s="1689"/>
      <c r="L949" s="1689"/>
      <c r="M949" s="1689"/>
      <c r="N949" s="1689"/>
      <c r="O949" s="1689"/>
      <c r="P949" s="1689"/>
      <c r="Q949" s="1689"/>
      <c r="R949" s="1689"/>
      <c r="S949" s="1689"/>
      <c r="T949" s="1690"/>
      <c r="U949" s="1654" t="s">
        <v>591</v>
      </c>
      <c r="V949" s="1418"/>
      <c r="W949" s="1418"/>
      <c r="X949" s="1418"/>
      <c r="Y949" s="1418"/>
      <c r="Z949" s="1419"/>
      <c r="AA949" s="1673"/>
      <c r="AB949" s="1473"/>
      <c r="AC949" s="1473"/>
      <c r="AD949" s="1473"/>
      <c r="AE949" s="1473"/>
      <c r="AF949" s="1674"/>
      <c r="AU949" s="2"/>
      <c r="AZ949" s="34"/>
      <c r="BA949" s="34"/>
      <c r="BB949" s="34"/>
      <c r="BC949" s="34"/>
    </row>
    <row r="950" spans="1:55" ht="12.95" customHeight="1">
      <c r="F950" s="47" t="s">
        <v>169</v>
      </c>
      <c r="G950" s="48"/>
      <c r="H950" s="48"/>
      <c r="I950" s="1643" t="s">
        <v>2761</v>
      </c>
      <c r="J950" s="1689"/>
      <c r="K950" s="1689"/>
      <c r="L950" s="1689"/>
      <c r="M950" s="1689"/>
      <c r="N950" s="1689"/>
      <c r="O950" s="1689"/>
      <c r="P950" s="1689"/>
      <c r="Q950" s="1689"/>
      <c r="R950" s="1689"/>
      <c r="S950" s="1689"/>
      <c r="T950" s="1690"/>
      <c r="U950" s="1654" t="s">
        <v>545</v>
      </c>
      <c r="V950" s="1418"/>
      <c r="W950" s="1418"/>
      <c r="X950" s="1418"/>
      <c r="Y950" s="1418"/>
      <c r="Z950" s="1419"/>
      <c r="AA950" s="1673">
        <f>AO632+AO633+AO634+AO635</f>
        <v>6733243</v>
      </c>
      <c r="AB950" s="1473"/>
      <c r="AC950" s="1473"/>
      <c r="AD950" s="1473"/>
      <c r="AE950" s="1473"/>
      <c r="AF950" s="1674"/>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691">
        <v>45222</v>
      </c>
      <c r="N955" s="1474"/>
      <c r="O955" s="1474"/>
      <c r="P955" s="1474"/>
      <c r="Q955" s="1474"/>
      <c r="R955" s="1474"/>
      <c r="S955" s="1635"/>
      <c r="U955" s="66" t="s">
        <v>11</v>
      </c>
      <c r="V955" s="5"/>
      <c r="W955" s="5"/>
      <c r="X955" s="5"/>
      <c r="Y955" s="5"/>
      <c r="Z955" s="5"/>
      <c r="AA955" s="5"/>
      <c r="AB955" s="5"/>
      <c r="AC955" s="5"/>
      <c r="AD955" s="46"/>
      <c r="AE955" s="1691"/>
      <c r="AF955" s="1474"/>
      <c r="AG955" s="1474"/>
      <c r="AH955" s="1474"/>
      <c r="AI955" s="1474"/>
      <c r="AJ955" s="1474"/>
      <c r="AK955" s="1635"/>
      <c r="AZ955" s="34"/>
      <c r="BA955" s="34"/>
      <c r="BB955" s="34"/>
      <c r="BC955" s="34"/>
    </row>
    <row r="956" spans="1:55" ht="12.95" customHeight="1">
      <c r="C956" s="66" t="s">
        <v>12</v>
      </c>
      <c r="D956" s="5"/>
      <c r="E956" s="5"/>
      <c r="F956" s="5"/>
      <c r="G956" s="5"/>
      <c r="H956" s="5"/>
      <c r="I956" s="5"/>
      <c r="J956" s="5"/>
      <c r="K956" s="5"/>
      <c r="L956" s="46"/>
      <c r="M956" s="1701" t="s">
        <v>2705</v>
      </c>
      <c r="N956" s="1549"/>
      <c r="O956" s="1549"/>
      <c r="P956" s="1549"/>
      <c r="Q956" s="1549"/>
      <c r="R956" s="1549"/>
      <c r="S956" s="1702"/>
      <c r="U956" s="66" t="s">
        <v>12</v>
      </c>
      <c r="V956" s="5"/>
      <c r="W956" s="5"/>
      <c r="X956" s="5"/>
      <c r="Y956" s="5"/>
      <c r="Z956" s="5"/>
      <c r="AA956" s="5"/>
      <c r="AB956" s="5"/>
      <c r="AC956" s="5"/>
      <c r="AD956" s="46"/>
      <c r="AE956" s="1701"/>
      <c r="AF956" s="1549"/>
      <c r="AG956" s="1549"/>
      <c r="AH956" s="1549"/>
      <c r="AI956" s="1549"/>
      <c r="AJ956" s="1549"/>
      <c r="AK956" s="1702"/>
      <c r="AZ956" s="34"/>
      <c r="BA956" s="34"/>
      <c r="BB956" s="34"/>
      <c r="BC956" s="34"/>
    </row>
    <row r="957" spans="1:55" ht="12.95" customHeight="1">
      <c r="C957" s="66" t="s">
        <v>880</v>
      </c>
      <c r="D957" s="5"/>
      <c r="E957" s="5"/>
      <c r="J957" s="1799" t="s">
        <v>2727</v>
      </c>
      <c r="K957" s="1800"/>
      <c r="L957" s="1800"/>
      <c r="M957" s="1800"/>
      <c r="N957" s="1800"/>
      <c r="O957" s="1800"/>
      <c r="P957" s="1800"/>
      <c r="Q957" s="1800"/>
      <c r="R957" s="1800"/>
      <c r="S957" s="1801"/>
      <c r="U957" s="66" t="s">
        <v>880</v>
      </c>
      <c r="V957" s="5"/>
      <c r="W957" s="5"/>
      <c r="AB957" s="1799" t="s">
        <v>306</v>
      </c>
      <c r="AC957" s="1800"/>
      <c r="AD957" s="1800"/>
      <c r="AE957" s="1800"/>
      <c r="AF957" s="1800"/>
      <c r="AG957" s="1800"/>
      <c r="AH957" s="1800"/>
      <c r="AI957" s="1800"/>
      <c r="AJ957" s="1800"/>
      <c r="AK957" s="1801"/>
      <c r="AZ957" s="34"/>
      <c r="BA957" s="34"/>
      <c r="BB957" s="34"/>
      <c r="BC957" s="34"/>
    </row>
    <row r="958" spans="1:55" ht="12.95" customHeight="1">
      <c r="C958" s="66" t="s">
        <v>13</v>
      </c>
      <c r="D958" s="5"/>
      <c r="E958" s="5"/>
      <c r="F958" s="5"/>
      <c r="G958" s="5"/>
      <c r="H958" s="5"/>
      <c r="I958" s="5"/>
      <c r="J958" s="5"/>
      <c r="K958" s="5"/>
      <c r="L958" s="46"/>
      <c r="M958" s="1767">
        <v>1</v>
      </c>
      <c r="N958" s="1760"/>
      <c r="O958" s="1760"/>
      <c r="P958" s="1760"/>
      <c r="Q958" s="1760"/>
      <c r="R958" s="1760"/>
      <c r="S958" s="1761"/>
      <c r="U958" s="66" t="s">
        <v>13</v>
      </c>
      <c r="V958" s="5"/>
      <c r="W958" s="5"/>
      <c r="X958" s="5"/>
      <c r="Y958" s="5"/>
      <c r="Z958" s="5"/>
      <c r="AA958" s="5"/>
      <c r="AB958" s="5"/>
      <c r="AC958" s="5"/>
      <c r="AD958" s="46"/>
      <c r="AE958" s="1759"/>
      <c r="AF958" s="1760"/>
      <c r="AG958" s="1760"/>
      <c r="AH958" s="1760"/>
      <c r="AI958" s="1760"/>
      <c r="AJ958" s="1760"/>
      <c r="AK958" s="1761"/>
      <c r="AZ958" s="34"/>
      <c r="BA958" s="34"/>
      <c r="BB958" s="34"/>
      <c r="BC958" s="34"/>
    </row>
    <row r="959" spans="1:55" ht="12.95" customHeight="1">
      <c r="C959" s="66" t="s">
        <v>14</v>
      </c>
      <c r="D959" s="5"/>
      <c r="E959" s="5"/>
      <c r="F959" s="5"/>
      <c r="G959" s="5"/>
      <c r="H959" s="5"/>
      <c r="I959" s="5"/>
      <c r="J959" s="5"/>
      <c r="K959" s="5"/>
      <c r="L959" s="46"/>
      <c r="M959" s="1802">
        <v>96</v>
      </c>
      <c r="N959" s="1638"/>
      <c r="O959" s="1638"/>
      <c r="P959" s="1638"/>
      <c r="Q959" s="1638"/>
      <c r="R959" s="1638"/>
      <c r="S959" s="1639"/>
      <c r="U959" s="66" t="s">
        <v>14</v>
      </c>
      <c r="V959" s="5"/>
      <c r="W959" s="5"/>
      <c r="X959" s="5"/>
      <c r="Y959" s="5"/>
      <c r="Z959" s="5"/>
      <c r="AA959" s="5"/>
      <c r="AB959" s="5"/>
      <c r="AC959" s="5"/>
      <c r="AD959" s="46"/>
      <c r="AE959" s="1802"/>
      <c r="AF959" s="1638"/>
      <c r="AG959" s="1638"/>
      <c r="AH959" s="1638"/>
      <c r="AI959" s="1638"/>
      <c r="AJ959" s="1638"/>
      <c r="AK959" s="1639"/>
      <c r="AV959" s="2"/>
      <c r="AW959" s="2"/>
      <c r="AX959" s="2"/>
      <c r="AY959" s="2"/>
      <c r="AZ959" s="34"/>
      <c r="BA959" s="34"/>
      <c r="BB959" s="34"/>
      <c r="BC959" s="34"/>
    </row>
    <row r="960" spans="1:55" ht="12.95" customHeight="1">
      <c r="C960" s="66" t="s">
        <v>15</v>
      </c>
      <c r="D960" s="5"/>
      <c r="E960" s="5"/>
      <c r="F960" s="5"/>
      <c r="G960" s="5"/>
      <c r="H960" s="5"/>
      <c r="I960" s="5"/>
      <c r="J960" s="5"/>
      <c r="K960" s="5"/>
      <c r="L960" s="46"/>
      <c r="M960" s="1673">
        <v>940536</v>
      </c>
      <c r="N960" s="1473"/>
      <c r="O960" s="1473"/>
      <c r="P960" s="1473"/>
      <c r="Q960" s="1473"/>
      <c r="R960" s="1473"/>
      <c r="S960" s="1674"/>
      <c r="U960" s="66" t="s">
        <v>15</v>
      </c>
      <c r="V960" s="5"/>
      <c r="W960" s="5"/>
      <c r="X960" s="5"/>
      <c r="Y960" s="5"/>
      <c r="Z960" s="5"/>
      <c r="AA960" s="5"/>
      <c r="AB960" s="5"/>
      <c r="AC960" s="5"/>
      <c r="AD960" s="46"/>
      <c r="AE960" s="1673"/>
      <c r="AF960" s="1473"/>
      <c r="AG960" s="1473"/>
      <c r="AH960" s="1473"/>
      <c r="AI960" s="1473"/>
      <c r="AJ960" s="1473"/>
      <c r="AK960" s="1674"/>
      <c r="AV960" s="2"/>
      <c r="AW960" s="2"/>
      <c r="AX960" s="2"/>
      <c r="AY960" s="2"/>
      <c r="AZ960" s="34"/>
      <c r="BA960" s="34"/>
      <c r="BB960" s="34"/>
      <c r="BC960" s="34"/>
    </row>
    <row r="961" spans="1:64" ht="12.95" customHeight="1">
      <c r="C961" s="66" t="s">
        <v>16</v>
      </c>
      <c r="D961" s="5"/>
      <c r="E961" s="5"/>
      <c r="F961" s="5"/>
      <c r="G961" s="5"/>
      <c r="H961" s="5"/>
      <c r="I961" s="5"/>
      <c r="J961" s="5"/>
      <c r="K961" s="5"/>
      <c r="L961" s="46"/>
      <c r="M961" s="1673">
        <v>18810720</v>
      </c>
      <c r="N961" s="1473"/>
      <c r="O961" s="1473"/>
      <c r="P961" s="1473"/>
      <c r="Q961" s="1473"/>
      <c r="R961" s="1473"/>
      <c r="S961" s="1674"/>
      <c r="U961" s="66" t="s">
        <v>16</v>
      </c>
      <c r="V961" s="5"/>
      <c r="W961" s="5"/>
      <c r="X961" s="5"/>
      <c r="Y961" s="5"/>
      <c r="Z961" s="5"/>
      <c r="AA961" s="5"/>
      <c r="AB961" s="5"/>
      <c r="AC961" s="5"/>
      <c r="AD961" s="46"/>
      <c r="AE961" s="1673"/>
      <c r="AF961" s="1473"/>
      <c r="AG961" s="1473"/>
      <c r="AH961" s="1473"/>
      <c r="AI961" s="1473"/>
      <c r="AJ961" s="1473"/>
      <c r="AK961" s="1674"/>
      <c r="AV961" s="2"/>
      <c r="AW961" s="2"/>
      <c r="AX961" s="2"/>
      <c r="AY961" s="2"/>
      <c r="AZ961" s="34"/>
      <c r="BB961" s="34"/>
      <c r="BC961" s="34"/>
    </row>
    <row r="962" spans="1:64" ht="12.95" customHeight="1">
      <c r="C962" s="121" t="s">
        <v>1661</v>
      </c>
      <c r="D962" s="5"/>
      <c r="E962" s="5"/>
      <c r="F962" s="5"/>
      <c r="G962" s="5"/>
      <c r="H962" s="5"/>
      <c r="I962" s="5"/>
      <c r="J962" s="5"/>
      <c r="K962" s="5"/>
      <c r="L962" s="46"/>
      <c r="M962" s="1756">
        <v>20</v>
      </c>
      <c r="N962" s="1757"/>
      <c r="O962" s="1757"/>
      <c r="P962" s="1757"/>
      <c r="Q962" s="1757"/>
      <c r="R962" s="1757"/>
      <c r="S962" s="1758"/>
      <c r="U962" s="121" t="s">
        <v>1661</v>
      </c>
      <c r="V962" s="5"/>
      <c r="W962" s="5"/>
      <c r="X962" s="5"/>
      <c r="Y962" s="5"/>
      <c r="Z962" s="5"/>
      <c r="AA962" s="5"/>
      <c r="AB962" s="5"/>
      <c r="AC962" s="5"/>
      <c r="AD962" s="46"/>
      <c r="AE962" s="1756"/>
      <c r="AF962" s="1757"/>
      <c r="AG962" s="1757"/>
      <c r="AH962" s="1757"/>
      <c r="AI962" s="1757"/>
      <c r="AJ962" s="1757"/>
      <c r="AK962" s="175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98"/>
      <c r="N967" s="1699"/>
      <c r="O967" s="1699"/>
      <c r="P967" s="1699"/>
      <c r="Q967" s="1699"/>
      <c r="R967" s="1699"/>
      <c r="S967" s="1700"/>
      <c r="T967" s="66" t="s">
        <v>790</v>
      </c>
      <c r="U967" s="5"/>
      <c r="V967" s="5"/>
      <c r="W967" s="5"/>
      <c r="X967" s="5"/>
      <c r="Y967" s="5"/>
      <c r="Z967" s="46"/>
      <c r="AA967" s="1698"/>
      <c r="AB967" s="1699"/>
      <c r="AC967" s="1699"/>
      <c r="AD967" s="1699"/>
      <c r="AE967" s="1699"/>
      <c r="AF967" s="1699"/>
      <c r="AG967" s="170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98"/>
      <c r="N968" s="1699"/>
      <c r="O968" s="1699"/>
      <c r="P968" s="1699"/>
      <c r="Q968" s="1699"/>
      <c r="R968" s="1699"/>
      <c r="S968" s="1700"/>
      <c r="T968" s="66" t="s">
        <v>789</v>
      </c>
      <c r="U968" s="5"/>
      <c r="V968" s="5"/>
      <c r="W968" s="5"/>
      <c r="X968" s="5"/>
      <c r="Y968" s="5"/>
      <c r="Z968" s="46"/>
      <c r="AA968" s="1698"/>
      <c r="AB968" s="1699"/>
      <c r="AC968" s="1699"/>
      <c r="AD968" s="1699"/>
      <c r="AE968" s="1699"/>
      <c r="AF968" s="1699"/>
      <c r="AG968" s="170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5" t="s">
        <v>591</v>
      </c>
      <c r="N969" s="1706"/>
      <c r="O969" s="1706"/>
      <c r="P969" s="1706"/>
      <c r="Q969" s="1706"/>
      <c r="R969" s="1706"/>
      <c r="S969" s="1707"/>
      <c r="T969" s="45" t="s">
        <v>336</v>
      </c>
      <c r="U969" s="5"/>
      <c r="V969" s="5"/>
      <c r="W969" s="5"/>
      <c r="X969" s="5"/>
      <c r="Y969" s="5"/>
      <c r="Z969" s="46"/>
      <c r="AA969" s="1698"/>
      <c r="AB969" s="1699"/>
      <c r="AC969" s="1699"/>
      <c r="AD969" s="1699"/>
      <c r="AE969" s="1699"/>
      <c r="AF969" s="1699"/>
      <c r="AG969" s="170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98"/>
      <c r="N970" s="1699"/>
      <c r="O970" s="1699"/>
      <c r="P970" s="1699"/>
      <c r="Q970" s="1699"/>
      <c r="R970" s="1699"/>
      <c r="S970" s="1700"/>
      <c r="T970" s="45" t="s">
        <v>337</v>
      </c>
      <c r="U970" s="5"/>
      <c r="V970" s="5"/>
      <c r="W970" s="5"/>
      <c r="X970" s="5"/>
      <c r="Y970" s="5"/>
      <c r="Z970" s="46"/>
      <c r="AA970" s="1698"/>
      <c r="AB970" s="1699"/>
      <c r="AC970" s="1699"/>
      <c r="AD970" s="1699"/>
      <c r="AE970" s="1699"/>
      <c r="AF970" s="1699"/>
      <c r="AG970" s="170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98"/>
      <c r="N971" s="1699"/>
      <c r="O971" s="1699"/>
      <c r="P971" s="1699"/>
      <c r="Q971" s="1699"/>
      <c r="R971" s="1699"/>
      <c r="S971" s="1700"/>
      <c r="T971" s="45" t="s">
        <v>375</v>
      </c>
      <c r="U971" s="5"/>
      <c r="V971" s="5"/>
      <c r="W971" s="5"/>
      <c r="X971" s="5"/>
      <c r="Y971" s="5"/>
      <c r="Z971" s="46"/>
      <c r="AA971" s="1698"/>
      <c r="AB971" s="1699"/>
      <c r="AC971" s="1699"/>
      <c r="AD971" s="1699"/>
      <c r="AE971" s="1699"/>
      <c r="AF971" s="1699"/>
      <c r="AG971" s="170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799" t="s">
        <v>306</v>
      </c>
      <c r="N972" s="1800"/>
      <c r="O972" s="1800"/>
      <c r="P972" s="1800"/>
      <c r="Q972" s="1800"/>
      <c r="R972" s="1800"/>
      <c r="S972" s="1801"/>
      <c r="T972" s="1744"/>
      <c r="U972" s="1553"/>
      <c r="V972" s="1553"/>
      <c r="W972" s="1553"/>
      <c r="X972" s="1553"/>
      <c r="Y972" s="1553"/>
      <c r="Z972" s="1745"/>
      <c r="AA972" s="1698"/>
      <c r="AB972" s="1699"/>
      <c r="AC972" s="1699"/>
      <c r="AD972" s="1699"/>
      <c r="AE972" s="1699"/>
      <c r="AF972" s="1699"/>
      <c r="AG972" s="170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98"/>
      <c r="N973" s="1699"/>
      <c r="O973" s="1699"/>
      <c r="P973" s="1699"/>
      <c r="Q973" s="1699"/>
      <c r="R973" s="1699"/>
      <c r="S973" s="1700"/>
      <c r="T973" s="1744"/>
      <c r="U973" s="1553"/>
      <c r="V973" s="1553"/>
      <c r="W973" s="1553"/>
      <c r="X973" s="1553"/>
      <c r="Y973" s="1553"/>
      <c r="Z973" s="1745"/>
      <c r="AA973" s="1698"/>
      <c r="AB973" s="1699"/>
      <c r="AC973" s="1699"/>
      <c r="AD973" s="1699"/>
      <c r="AE973" s="1699"/>
      <c r="AF973" s="1699"/>
      <c r="AG973" s="170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789" t="s">
        <v>669</v>
      </c>
      <c r="P974" s="1790"/>
      <c r="Q974" s="92"/>
      <c r="R974" s="92"/>
      <c r="S974" s="93"/>
      <c r="T974" s="41" t="s">
        <v>169</v>
      </c>
      <c r="U974" s="42"/>
      <c r="V974" s="42"/>
      <c r="W974" s="1803" t="s">
        <v>333</v>
      </c>
      <c r="X974" s="1804"/>
      <c r="Y974" s="1804"/>
      <c r="Z974" s="1804"/>
      <c r="AA974" s="1804"/>
      <c r="AB974" s="1804"/>
      <c r="AC974" s="1804"/>
      <c r="AD974" s="1804"/>
      <c r="AE974" s="1804"/>
      <c r="AF974" s="1804"/>
      <c r="AG974" s="1805"/>
      <c r="AU974" s="68"/>
      <c r="AV974" s="95"/>
      <c r="AW974" s="95"/>
      <c r="AX974" s="95"/>
      <c r="AY974" s="95"/>
      <c r="AZ974" s="34"/>
      <c r="BB974" s="34"/>
      <c r="BC974" s="34"/>
      <c r="BD974" s="34"/>
      <c r="BE974" s="34"/>
      <c r="BF974" s="34"/>
      <c r="BG974" s="34"/>
      <c r="BH974" s="34"/>
      <c r="BI974" s="34"/>
      <c r="BJ974" s="34"/>
      <c r="BK974" s="34"/>
      <c r="BL974" s="34"/>
    </row>
    <row r="975" spans="1:64" ht="12.95" customHeight="1">
      <c r="F975" s="1624" t="s">
        <v>33</v>
      </c>
      <c r="G975" s="1492"/>
      <c r="H975" s="1492"/>
      <c r="I975" s="1492"/>
      <c r="J975" s="1492"/>
      <c r="K975" s="1492"/>
      <c r="L975" s="1492"/>
      <c r="M975" s="1698"/>
      <c r="N975" s="1699"/>
      <c r="O975" s="1699"/>
      <c r="P975" s="1699"/>
      <c r="Q975" s="1699"/>
      <c r="R975" s="1699"/>
      <c r="S975" s="1700"/>
      <c r="T975" s="47"/>
      <c r="U975" s="48"/>
      <c r="V975" s="48"/>
      <c r="W975" s="48"/>
      <c r="X975" s="48"/>
      <c r="Y975" s="48"/>
      <c r="Z975" s="124" t="s">
        <v>134</v>
      </c>
      <c r="AA975" s="1741"/>
      <c r="AB975" s="1742"/>
      <c r="AC975" s="1742"/>
      <c r="AD975" s="1742"/>
      <c r="AE975" s="1742"/>
      <c r="AF975" s="1742"/>
      <c r="AG975" s="174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67"/>
      <c r="BH976" s="1667"/>
      <c r="BI976" s="1667"/>
      <c r="BJ976" s="1667"/>
      <c r="BK976" s="1667"/>
      <c r="BL976" s="1667"/>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56" t="s">
        <v>548</v>
      </c>
      <c r="B979" s="1556"/>
      <c r="C979" s="1556"/>
      <c r="D979" s="1556"/>
      <c r="E979" s="1556"/>
      <c r="F979" s="1556"/>
      <c r="G979" s="1556"/>
      <c r="H979" s="1556"/>
      <c r="I979" s="1556"/>
      <c r="J979" s="1556"/>
      <c r="K979" s="1556"/>
      <c r="L979" s="1556"/>
      <c r="M979" s="1556"/>
      <c r="N979" s="1556"/>
      <c r="O979" s="1556"/>
      <c r="P979" s="1556"/>
      <c r="Q979" s="1556"/>
      <c r="R979" s="1556"/>
      <c r="S979" s="1556"/>
      <c r="T979" s="1556"/>
      <c r="U979" s="1556"/>
      <c r="V979" s="1556"/>
      <c r="W979" s="1556"/>
      <c r="X979" s="1556"/>
      <c r="Y979" s="1556"/>
      <c r="Z979" s="1556"/>
      <c r="AA979" s="1556"/>
      <c r="AB979" s="1556"/>
      <c r="AC979" s="1556"/>
      <c r="AD979" s="1556"/>
      <c r="AE979" s="1556"/>
      <c r="AF979" s="1556"/>
      <c r="AG979" s="1556"/>
      <c r="AH979" s="1556"/>
      <c r="AI979" s="1556"/>
      <c r="AJ979" s="1556"/>
      <c r="AK979" s="1556"/>
      <c r="AL979" s="1556"/>
      <c r="AM979" s="1556"/>
      <c r="AN979" s="1556"/>
      <c r="AO979" s="1556"/>
      <c r="AP979" s="1556"/>
      <c r="AQ979" s="1556"/>
      <c r="AR979" s="1556"/>
      <c r="AS979" s="1556"/>
      <c r="AT979" s="1556"/>
      <c r="AU979" s="68"/>
      <c r="AV979" s="68"/>
      <c r="AW979" s="68"/>
      <c r="AX979" s="68"/>
      <c r="AY979" s="68"/>
      <c r="AZ979" s="14"/>
      <c r="BA979" s="14"/>
      <c r="BB979" s="913"/>
      <c r="BC979" s="913"/>
    </row>
    <row r="980" spans="1:64" ht="12.95" customHeight="1">
      <c r="A980" s="1556"/>
      <c r="B980" s="1556"/>
      <c r="C980" s="1556"/>
      <c r="D980" s="1556"/>
      <c r="E980" s="1556"/>
      <c r="F980" s="1556"/>
      <c r="G980" s="1556"/>
      <c r="H980" s="1556"/>
      <c r="I980" s="1556"/>
      <c r="J980" s="1556"/>
      <c r="K980" s="1556"/>
      <c r="L980" s="1556"/>
      <c r="M980" s="1556"/>
      <c r="N980" s="1556"/>
      <c r="O980" s="1556"/>
      <c r="P980" s="1556"/>
      <c r="Q980" s="1556"/>
      <c r="R980" s="1556"/>
      <c r="S980" s="1556"/>
      <c r="T980" s="1556"/>
      <c r="U980" s="1556"/>
      <c r="V980" s="1556"/>
      <c r="W980" s="1556"/>
      <c r="X980" s="1556"/>
      <c r="Y980" s="1556"/>
      <c r="Z980" s="1556"/>
      <c r="AA980" s="1556"/>
      <c r="AB980" s="1556"/>
      <c r="AC980" s="1556"/>
      <c r="AD980" s="1556"/>
      <c r="AE980" s="1556"/>
      <c r="AF980" s="1556"/>
      <c r="AG980" s="1556"/>
      <c r="AH980" s="1556"/>
      <c r="AI980" s="1556"/>
      <c r="AJ980" s="1556"/>
      <c r="AK980" s="1556"/>
      <c r="AL980" s="1556"/>
      <c r="AM980" s="1556"/>
      <c r="AN980" s="1556"/>
      <c r="AO980" s="1556"/>
      <c r="AP980" s="1556"/>
      <c r="AQ980" s="1556"/>
      <c r="AR980" s="1556"/>
      <c r="AS980" s="1556"/>
      <c r="AT980" s="1556"/>
      <c r="AU980" s="68"/>
      <c r="AV980" s="68"/>
      <c r="AW980" s="68"/>
      <c r="AX980" s="68"/>
      <c r="AY980" s="68"/>
      <c r="AZ980" s="30"/>
      <c r="BA980" s="14"/>
      <c r="BB980" s="14"/>
      <c r="BC980" s="14"/>
    </row>
    <row r="981" spans="1:64" ht="12.95" customHeight="1">
      <c r="A981" s="1556"/>
      <c r="B981" s="1556"/>
      <c r="C981" s="1556"/>
      <c r="D981" s="1556"/>
      <c r="E981" s="1556"/>
      <c r="F981" s="1556"/>
      <c r="G981" s="1556"/>
      <c r="H981" s="1556"/>
      <c r="I981" s="1556"/>
      <c r="J981" s="1556"/>
      <c r="K981" s="1556"/>
      <c r="L981" s="1556"/>
      <c r="M981" s="1556"/>
      <c r="N981" s="1556"/>
      <c r="O981" s="1556"/>
      <c r="P981" s="1556"/>
      <c r="Q981" s="1556"/>
      <c r="R981" s="1556"/>
      <c r="S981" s="1556"/>
      <c r="T981" s="1556"/>
      <c r="U981" s="1556"/>
      <c r="V981" s="1556"/>
      <c r="W981" s="1556"/>
      <c r="X981" s="1556"/>
      <c r="Y981" s="1556"/>
      <c r="Z981" s="1556"/>
      <c r="AA981" s="1556"/>
      <c r="AB981" s="1556"/>
      <c r="AC981" s="1556"/>
      <c r="AD981" s="1556"/>
      <c r="AE981" s="1556"/>
      <c r="AF981" s="1556"/>
      <c r="AG981" s="1556"/>
      <c r="AH981" s="1556"/>
      <c r="AI981" s="1556"/>
      <c r="AJ981" s="1556"/>
      <c r="AK981" s="1556"/>
      <c r="AL981" s="1556"/>
      <c r="AM981" s="1556"/>
      <c r="AN981" s="1556"/>
      <c r="AO981" s="1556"/>
      <c r="AP981" s="1556"/>
      <c r="AQ981" s="1556"/>
      <c r="AR981" s="1556"/>
      <c r="AS981" s="1556"/>
      <c r="AT981" s="155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74" t="s">
        <v>638</v>
      </c>
      <c r="E985" s="1775"/>
      <c r="F985" s="1775"/>
      <c r="G985" s="1775"/>
      <c r="H985" s="1775"/>
      <c r="I985" s="1775"/>
      <c r="J985" s="1775"/>
      <c r="K985" s="1775"/>
      <c r="L985" s="1775"/>
      <c r="M985" s="1775"/>
      <c r="N985" s="1775"/>
      <c r="O985" s="1775"/>
      <c r="P985" s="1775"/>
      <c r="Q985" s="1776"/>
      <c r="R985" s="1774" t="s">
        <v>639</v>
      </c>
      <c r="S985" s="1775"/>
      <c r="T985" s="1775"/>
      <c r="U985" s="1775"/>
      <c r="V985" s="1775"/>
      <c r="W985" s="1775"/>
      <c r="X985" s="1775"/>
      <c r="Y985" s="1775"/>
      <c r="Z985" s="1775"/>
      <c r="AA985" s="1776"/>
      <c r="AB985" s="1774" t="s">
        <v>640</v>
      </c>
      <c r="AC985" s="1775"/>
      <c r="AD985" s="1775"/>
      <c r="AE985" s="1775"/>
      <c r="AF985" s="1775"/>
      <c r="AG985" s="1775"/>
      <c r="AH985" s="1775"/>
      <c r="AI985" s="1776"/>
      <c r="AJ985" s="1774" t="s">
        <v>641</v>
      </c>
      <c r="AK985" s="1775"/>
      <c r="AL985" s="1775"/>
      <c r="AM985" s="1775"/>
      <c r="AN985" s="1775"/>
      <c r="AO985" s="1775"/>
      <c r="AP985" s="1775"/>
      <c r="AQ985" s="1776"/>
      <c r="AR985" s="68"/>
      <c r="AS985" s="68"/>
      <c r="AT985" s="68"/>
      <c r="AU985" s="68"/>
      <c r="AV985" s="68"/>
      <c r="AW985" s="68"/>
      <c r="AX985" s="68"/>
      <c r="AY985" s="68"/>
      <c r="AZ985" s="30"/>
      <c r="BB985" s="14"/>
      <c r="BC985" s="14"/>
    </row>
    <row r="986" spans="1:64" ht="12.95" customHeight="1">
      <c r="A986" s="14"/>
      <c r="B986" s="73"/>
      <c r="C986" s="930"/>
      <c r="D986" s="1508" t="s">
        <v>633</v>
      </c>
      <c r="E986" s="1509"/>
      <c r="F986" s="1509"/>
      <c r="G986" s="1509"/>
      <c r="H986" s="1509"/>
      <c r="I986" s="1509"/>
      <c r="J986" s="1509"/>
      <c r="K986" s="1509"/>
      <c r="L986" s="1509"/>
      <c r="M986" s="1509"/>
      <c r="N986" s="1509"/>
      <c r="O986" s="1509"/>
      <c r="P986" s="1509"/>
      <c r="Q986" s="1510"/>
      <c r="R986" s="1766">
        <f>IF(ISNA(IF($CU$122="4%",(INDEX($CS$160:$CW$217,MATCH($DG$122,$CR$160:$CR$217,0),MATCH(D986,$CS$159:$CW$159,0))),(INDEX($CZ$160:$DD$217,MATCH($DG$122,$CY$160:$CY$217,0),MATCH(D986,$CZ$159:$DD$159,0))))),0,IF($CU$122="4%",(INDEX($CS$160:$CW$217,MATCH($DG$122,$CR$160:$CR$217,0),MATCH(D986,$CS$159:$CW$159,0))),(INDEX($CZ$160:$DD$217,MATCH($DG$122,$CY$160:$CY$217,0),MATCH(D986,$CZ$159:$DD$159,0)))))</f>
        <v>473390</v>
      </c>
      <c r="S986" s="1766"/>
      <c r="T986" s="1766"/>
      <c r="U986" s="1766"/>
      <c r="V986" s="1766"/>
      <c r="W986" s="1766"/>
      <c r="X986" s="1766"/>
      <c r="Y986" s="1766"/>
      <c r="Z986" s="1766"/>
      <c r="AA986" s="1766"/>
      <c r="AB986" s="1763">
        <f>CP802</f>
        <v>96</v>
      </c>
      <c r="AC986" s="1764"/>
      <c r="AD986" s="1764"/>
      <c r="AE986" s="1764"/>
      <c r="AF986" s="1764"/>
      <c r="AG986" s="1764"/>
      <c r="AH986" s="1764"/>
      <c r="AI986" s="1765"/>
      <c r="AJ986" s="1714">
        <f>IF(ISERROR((R986*AB986)),0,(R986*AB986))</f>
        <v>45445440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508" t="s">
        <v>324</v>
      </c>
      <c r="E987" s="1509"/>
      <c r="F987" s="1509"/>
      <c r="G987" s="1509"/>
      <c r="H987" s="1509"/>
      <c r="I987" s="1509"/>
      <c r="J987" s="1509"/>
      <c r="K987" s="1509"/>
      <c r="L987" s="1509"/>
      <c r="M987" s="1509"/>
      <c r="N987" s="1509"/>
      <c r="O987" s="1509"/>
      <c r="P987" s="1509"/>
      <c r="Q987" s="1510"/>
      <c r="R987" s="1766">
        <f>IF(ISNA(IF($CU$122="4%",(INDEX($CS$160:$CW$217,MATCH($DG$122,$CR$160:$CR$217,0),MATCH(D987,$CS$159:$CW$159,0))),(INDEX($CZ$160:$DD$217,MATCH($DG$122,$CY$160:$CY$217,0),MATCH(D987,$CZ$159:$DD$159,0))))),0,IF($CU$122="4%",(INDEX($CS$160:$CW$217,MATCH($DG$122,$CR$160:$CR$217,0),MATCH(D987,$CS$159:$CW$159,0))),(INDEX($CZ$160:$DD$217,MATCH($DG$122,$CY$160:$CY$217,0),MATCH(D987,$CZ$159:$DD$159,0)))))</f>
        <v>545814</v>
      </c>
      <c r="S987" s="1766"/>
      <c r="T987" s="1766"/>
      <c r="U987" s="1766"/>
      <c r="V987" s="1766"/>
      <c r="W987" s="1766"/>
      <c r="X987" s="1766"/>
      <c r="Y987" s="1766"/>
      <c r="Z987" s="1766"/>
      <c r="AA987" s="1766"/>
      <c r="AB987" s="1763">
        <f>CU802</f>
        <v>0</v>
      </c>
      <c r="AC987" s="1764"/>
      <c r="AD987" s="1764"/>
      <c r="AE987" s="1764"/>
      <c r="AF987" s="1764"/>
      <c r="AG987" s="1764"/>
      <c r="AH987" s="1764"/>
      <c r="AI987" s="1765"/>
      <c r="AJ987" s="1714">
        <f>IF(ISERROR((R987*AB987)),0,(R987*AB987))</f>
        <v>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508" t="s">
        <v>163</v>
      </c>
      <c r="E988" s="1509"/>
      <c r="F988" s="1509"/>
      <c r="G988" s="1509"/>
      <c r="H988" s="1509"/>
      <c r="I988" s="1509"/>
      <c r="J988" s="1509"/>
      <c r="K988" s="1509"/>
      <c r="L988" s="1509"/>
      <c r="M988" s="1509"/>
      <c r="N988" s="1509"/>
      <c r="O988" s="1509"/>
      <c r="P988" s="1509"/>
      <c r="Q988" s="1510"/>
      <c r="R988" s="1766">
        <f>IF(ISNA(IF($CU$122="4%",(INDEX($CS$160:$CW$217,MATCH($DG$122,$CR$160:$CR$217,0),MATCH(D988,$CS$159:$CW$159,0))),(INDEX($CZ$160:$DD$217,MATCH($DG$122,$CY$160:$CY$217,0),MATCH(D988,$CZ$159:$DD$159,0))))),0,IF($CU$122="4%",(INDEX($CS$160:$CW$217,MATCH($DG$122,$CR$160:$CR$217,0),MATCH(D988,$CS$159:$CW$159,0))),(INDEX($CZ$160:$DD$217,MATCH($DG$122,$CY$160:$CY$217,0),MATCH(D988,$CZ$159:$DD$159,0)))))</f>
        <v>658400</v>
      </c>
      <c r="S988" s="1766"/>
      <c r="T988" s="1766"/>
      <c r="U988" s="1766"/>
      <c r="V988" s="1766"/>
      <c r="W988" s="1766"/>
      <c r="X988" s="1766"/>
      <c r="Y988" s="1766"/>
      <c r="Z988" s="1766"/>
      <c r="AA988" s="1766"/>
      <c r="AB988" s="1763">
        <f>CZ802</f>
        <v>1</v>
      </c>
      <c r="AC988" s="1764"/>
      <c r="AD988" s="1764"/>
      <c r="AE988" s="1764"/>
      <c r="AF988" s="1764"/>
      <c r="AG988" s="1764"/>
      <c r="AH988" s="1764"/>
      <c r="AI988" s="1765"/>
      <c r="AJ988" s="1714">
        <f>IF(ISERROR((R988*AB988)),0,(R988*AB988))</f>
        <v>658400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508" t="s">
        <v>164</v>
      </c>
      <c r="E989" s="1509"/>
      <c r="F989" s="1509"/>
      <c r="G989" s="1509"/>
      <c r="H989" s="1509"/>
      <c r="I989" s="1509"/>
      <c r="J989" s="1509"/>
      <c r="K989" s="1509"/>
      <c r="L989" s="1509"/>
      <c r="M989" s="1509"/>
      <c r="N989" s="1509"/>
      <c r="O989" s="1509"/>
      <c r="P989" s="1509"/>
      <c r="Q989" s="1510"/>
      <c r="R989" s="1766">
        <f>IF(ISNA(IF($CU$122="4%",(INDEX($CS$160:$CW$217,MATCH($DG$122,$CR$160:$CR$217,0),MATCH(D989,$CS$159:$CW$159,0))),(INDEX($CZ$160:$DD$217,MATCH($DG$122,$CY$160:$CY$217,0),MATCH(D989,$CZ$159:$DD$159,0))))),0,IF($CU$122="4%",(INDEX($CS$160:$CW$217,MATCH($DG$122,$CR$160:$CR$217,0),MATCH(D989,$CS$159:$CW$159,0))),(INDEX($CZ$160:$DD$217,MATCH($DG$122,$CY$160:$CY$217,0),MATCH(D989,$CZ$159:$DD$159,0)))))</f>
        <v>842752</v>
      </c>
      <c r="S989" s="1766"/>
      <c r="T989" s="1766"/>
      <c r="U989" s="1766"/>
      <c r="V989" s="1766"/>
      <c r="W989" s="1766"/>
      <c r="X989" s="1766"/>
      <c r="Y989" s="1766"/>
      <c r="Z989" s="1766"/>
      <c r="AA989" s="1766"/>
      <c r="AB989" s="1763">
        <f>DE802</f>
        <v>0</v>
      </c>
      <c r="AC989" s="1764"/>
      <c r="AD989" s="1764"/>
      <c r="AE989" s="1764"/>
      <c r="AF989" s="1764"/>
      <c r="AG989" s="1764"/>
      <c r="AH989" s="1764"/>
      <c r="AI989" s="1765"/>
      <c r="AJ989" s="1714">
        <f>IF(ISERROR((R989*AB989)),0,(R989*AB989))</f>
        <v>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508" t="s">
        <v>460</v>
      </c>
      <c r="E990" s="1509"/>
      <c r="F990" s="1509"/>
      <c r="G990" s="1509"/>
      <c r="H990" s="1509"/>
      <c r="I990" s="1509"/>
      <c r="J990" s="1509"/>
      <c r="K990" s="1509"/>
      <c r="L990" s="1509"/>
      <c r="M990" s="1509"/>
      <c r="N990" s="1509"/>
      <c r="O990" s="1509"/>
      <c r="P990" s="1509"/>
      <c r="Q990" s="1510"/>
      <c r="R990" s="1766">
        <f>IF(ISNA(IF($CU$122="4%",(INDEX($CS$160:$CW$217,MATCH($DG$122,$CR$160:$CR$217,0),MATCH(D990,$CS$159:$CW$159,0))),(INDEX($CZ$160:$DD$217,MATCH($DG$122,$CY$160:$CY$217,0),MATCH(D990,$CZ$159:$DD$159,0))))),0,IF($CU$122="4%",(INDEX($CS$160:$CW$217,MATCH($DG$122,$CR$160:$CR$217,0),MATCH(D990,$CS$159:$CW$159,0))),(INDEX($CZ$160:$DD$217,MATCH($DG$122,$CY$160:$CY$217,0),MATCH(D990,$CZ$159:$DD$159,0)))))</f>
        <v>938878</v>
      </c>
      <c r="S990" s="1766"/>
      <c r="T990" s="1766"/>
      <c r="U990" s="1766"/>
      <c r="V990" s="1766"/>
      <c r="W990" s="1766"/>
      <c r="X990" s="1766"/>
      <c r="Y990" s="1766"/>
      <c r="Z990" s="1766"/>
      <c r="AA990" s="1766"/>
      <c r="AB990" s="1763">
        <f>DO802+DJ802</f>
        <v>0</v>
      </c>
      <c r="AC990" s="1764"/>
      <c r="AD990" s="1764"/>
      <c r="AE990" s="1764"/>
      <c r="AF990" s="1764"/>
      <c r="AG990" s="1764"/>
      <c r="AH990" s="1764"/>
      <c r="AI990" s="1765"/>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809" t="s">
        <v>791</v>
      </c>
      <c r="C991" s="1810"/>
      <c r="D991" s="1810"/>
      <c r="E991" s="1810"/>
      <c r="F991" s="1810"/>
      <c r="G991" s="1810"/>
      <c r="H991" s="1810"/>
      <c r="I991" s="1810"/>
      <c r="J991" s="1810"/>
      <c r="K991" s="1810"/>
      <c r="L991" s="1810"/>
      <c r="M991" s="1810"/>
      <c r="N991" s="1810"/>
      <c r="O991" s="1810"/>
      <c r="P991" s="1810"/>
      <c r="Q991" s="1810"/>
      <c r="R991" s="1810"/>
      <c r="S991" s="1810"/>
      <c r="T991" s="1810"/>
      <c r="U991" s="1810"/>
      <c r="V991" s="1810"/>
      <c r="W991" s="1810"/>
      <c r="X991" s="1810"/>
      <c r="Y991" s="1810"/>
      <c r="Z991" s="1810"/>
      <c r="AA991" s="1811"/>
      <c r="AB991" s="1763">
        <f>SUM(AB986:AI990)</f>
        <v>97</v>
      </c>
      <c r="AC991" s="1764"/>
      <c r="AD991" s="1764"/>
      <c r="AE991" s="1764"/>
      <c r="AF991" s="1764"/>
      <c r="AG991" s="1764"/>
      <c r="AH991" s="1764"/>
      <c r="AI991" s="1765"/>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86" t="s">
        <v>512</v>
      </c>
      <c r="C992" s="1787"/>
      <c r="D992" s="1787"/>
      <c r="E992" s="1787"/>
      <c r="F992" s="1787"/>
      <c r="G992" s="1787"/>
      <c r="H992" s="1787"/>
      <c r="I992" s="1787"/>
      <c r="J992" s="1787"/>
      <c r="K992" s="1787"/>
      <c r="L992" s="1787"/>
      <c r="M992" s="1787"/>
      <c r="N992" s="1787"/>
      <c r="O992" s="1787"/>
      <c r="P992" s="1787"/>
      <c r="Q992" s="1787"/>
      <c r="R992" s="1787"/>
      <c r="S992" s="1787"/>
      <c r="T992" s="1787"/>
      <c r="U992" s="1787"/>
      <c r="V992" s="1787"/>
      <c r="W992" s="1787"/>
      <c r="X992" s="1787"/>
      <c r="Y992" s="1787"/>
      <c r="Z992" s="1787"/>
      <c r="AA992" s="1787"/>
      <c r="AB992" s="1787"/>
      <c r="AC992" s="1787"/>
      <c r="AD992" s="1787"/>
      <c r="AE992" s="1787"/>
      <c r="AF992" s="1787"/>
      <c r="AG992" s="1787"/>
      <c r="AH992" s="1787"/>
      <c r="AI992" s="1788"/>
      <c r="AJ992" s="1714">
        <f>SUM(AJ986:AQ990)</f>
        <v>46103840</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806"/>
      <c r="C993" s="1807"/>
      <c r="D993" s="1807"/>
      <c r="E993" s="1807"/>
      <c r="F993" s="1807"/>
      <c r="G993" s="1807"/>
      <c r="H993" s="1807"/>
      <c r="I993" s="1807"/>
      <c r="J993" s="1807"/>
      <c r="K993" s="1807"/>
      <c r="L993" s="1807"/>
      <c r="M993" s="1807"/>
      <c r="N993" s="1807"/>
      <c r="O993" s="1807"/>
      <c r="P993" s="1807"/>
      <c r="Q993" s="1807"/>
      <c r="R993" s="1807"/>
      <c r="S993" s="1807"/>
      <c r="T993" s="1807"/>
      <c r="U993" s="1807"/>
      <c r="V993" s="1807"/>
      <c r="W993" s="1807"/>
      <c r="X993" s="1807"/>
      <c r="Y993" s="1807"/>
      <c r="Z993" s="1807"/>
      <c r="AA993" s="1807"/>
      <c r="AB993" s="1807"/>
      <c r="AC993" s="1807"/>
      <c r="AD993" s="1807"/>
      <c r="AE993" s="1808"/>
      <c r="AF993" s="1824" t="s">
        <v>666</v>
      </c>
      <c r="AG993" s="1825"/>
      <c r="AH993" s="1825"/>
      <c r="AI993" s="1826"/>
      <c r="AJ993" s="1806"/>
      <c r="AK993" s="1807"/>
      <c r="AL993" s="1807"/>
      <c r="AM993" s="1807"/>
      <c r="AN993" s="1807"/>
      <c r="AO993" s="1807"/>
      <c r="AP993" s="1807"/>
      <c r="AQ993" s="1808"/>
      <c r="AR993" s="68"/>
      <c r="AS993" s="68"/>
      <c r="AT993" s="68"/>
      <c r="AU993" s="68"/>
      <c r="AV993" s="68"/>
      <c r="AW993" s="68"/>
      <c r="AX993" s="68"/>
      <c r="AY993" s="68"/>
      <c r="AZ993" s="34"/>
      <c r="BA993" s="34"/>
      <c r="BB993" s="34"/>
      <c r="BC993" s="34"/>
    </row>
    <row r="994" spans="1:55" ht="12.95" customHeight="1">
      <c r="A994" s="14"/>
      <c r="B994" s="73"/>
      <c r="C994" s="928" t="s">
        <v>668</v>
      </c>
      <c r="D994" s="1725" t="s">
        <v>1220</v>
      </c>
      <c r="E994" s="1726"/>
      <c r="F994" s="1726"/>
      <c r="G994" s="1726"/>
      <c r="H994" s="1726"/>
      <c r="I994" s="1726"/>
      <c r="J994" s="1726"/>
      <c r="K994" s="1726"/>
      <c r="L994" s="1726"/>
      <c r="M994" s="1726"/>
      <c r="N994" s="1726"/>
      <c r="O994" s="1726"/>
      <c r="P994" s="1726"/>
      <c r="Q994" s="1726"/>
      <c r="R994" s="1726"/>
      <c r="S994" s="1726"/>
      <c r="T994" s="1726"/>
      <c r="U994" s="1726"/>
      <c r="V994" s="1726"/>
      <c r="W994" s="1726"/>
      <c r="X994" s="1726"/>
      <c r="Y994" s="1726"/>
      <c r="Z994" s="1726"/>
      <c r="AA994" s="1726"/>
      <c r="AB994" s="1726"/>
      <c r="AC994" s="1726"/>
      <c r="AD994" s="1726"/>
      <c r="AE994" s="1727"/>
      <c r="AF994" s="79"/>
      <c r="AG994" s="1827" t="s">
        <v>545</v>
      </c>
      <c r="AH994" s="1828"/>
      <c r="AI994" s="87"/>
      <c r="AJ994" s="1777">
        <f>ROUND(IF(AND(AG994="yes",D1000&gt;0),AJ992*0.2,0),0)</f>
        <v>9220768</v>
      </c>
      <c r="AK994" s="1778"/>
      <c r="AL994" s="1778"/>
      <c r="AM994" s="1778"/>
      <c r="AN994" s="1778"/>
      <c r="AO994" s="1778"/>
      <c r="AP994" s="1778"/>
      <c r="AQ994" s="1779"/>
      <c r="AR994" s="68"/>
      <c r="AS994" s="68"/>
      <c r="AT994" s="68"/>
      <c r="AU994" s="68"/>
      <c r="AV994" s="68"/>
      <c r="AW994" s="68"/>
      <c r="AX994" s="68"/>
      <c r="AY994" s="68"/>
      <c r="AZ994" s="34"/>
      <c r="BA994" s="34"/>
      <c r="BB994" s="34"/>
      <c r="BC994" s="34"/>
    </row>
    <row r="995" spans="1:55" ht="12.95" customHeight="1">
      <c r="A995" s="14"/>
      <c r="B995" s="258"/>
      <c r="C995" s="257"/>
      <c r="D995" s="1749" t="s">
        <v>2238</v>
      </c>
      <c r="E995" s="1750"/>
      <c r="F995" s="1750"/>
      <c r="G995" s="1750"/>
      <c r="H995" s="1750"/>
      <c r="I995" s="1750"/>
      <c r="J995" s="1750"/>
      <c r="K995" s="1750"/>
      <c r="L995" s="1750"/>
      <c r="M995" s="1750"/>
      <c r="N995" s="1750"/>
      <c r="O995" s="1750"/>
      <c r="P995" s="1750"/>
      <c r="Q995" s="1750"/>
      <c r="R995" s="1750"/>
      <c r="S995" s="1750"/>
      <c r="T995" s="1750"/>
      <c r="U995" s="1750"/>
      <c r="V995" s="1750"/>
      <c r="W995" s="1750"/>
      <c r="X995" s="1750"/>
      <c r="Y995" s="1750"/>
      <c r="Z995" s="1750"/>
      <c r="AA995" s="1750"/>
      <c r="AB995" s="1750"/>
      <c r="AC995" s="1750"/>
      <c r="AD995" s="1750"/>
      <c r="AE995" s="1751"/>
      <c r="AF995" s="73"/>
      <c r="AG995" s="14"/>
      <c r="AH995" s="14"/>
      <c r="AI995" s="83"/>
      <c r="AJ995" s="1780"/>
      <c r="AK995" s="1781"/>
      <c r="AL995" s="1781"/>
      <c r="AM995" s="1781"/>
      <c r="AN995" s="1781"/>
      <c r="AO995" s="1781"/>
      <c r="AP995" s="1781"/>
      <c r="AQ995" s="1782"/>
      <c r="AR995" s="68"/>
      <c r="AS995" s="68"/>
      <c r="AT995" s="68"/>
      <c r="AU995" s="68"/>
      <c r="AV995" s="68"/>
      <c r="AW995" s="68"/>
      <c r="AX995" s="68"/>
      <c r="AY995" s="68"/>
      <c r="AZ995" s="34"/>
      <c r="BA995" s="34"/>
      <c r="BB995" s="34"/>
      <c r="BC995" s="34"/>
    </row>
    <row r="996" spans="1:55" ht="12.95" customHeight="1">
      <c r="A996" s="14"/>
      <c r="B996" s="258"/>
      <c r="C996" s="257"/>
      <c r="D996" s="1749"/>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c r="AA996" s="1750"/>
      <c r="AB996" s="1750"/>
      <c r="AC996" s="1750"/>
      <c r="AD996" s="1750"/>
      <c r="AE996" s="1751"/>
      <c r="AF996" s="73"/>
      <c r="AG996" s="14"/>
      <c r="AH996" s="14"/>
      <c r="AI996" s="83"/>
      <c r="AJ996" s="1780"/>
      <c r="AK996" s="1781"/>
      <c r="AL996" s="1781"/>
      <c r="AM996" s="1781"/>
      <c r="AN996" s="1781"/>
      <c r="AO996" s="1781"/>
      <c r="AP996" s="1781"/>
      <c r="AQ996" s="1782"/>
      <c r="AR996" s="68"/>
      <c r="AS996" s="68"/>
      <c r="AT996" s="68"/>
      <c r="AU996" s="68"/>
      <c r="AV996" s="68"/>
      <c r="AW996" s="68"/>
      <c r="AX996" s="68"/>
      <c r="AY996" s="68"/>
      <c r="AZ996" s="34"/>
      <c r="BA996" s="34"/>
      <c r="BB996" s="34"/>
      <c r="BC996" s="34"/>
    </row>
    <row r="997" spans="1:55" ht="12.95" customHeight="1">
      <c r="A997" s="14"/>
      <c r="B997" s="258"/>
      <c r="C997" s="257"/>
      <c r="D997" s="1749"/>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c r="AA997" s="1750"/>
      <c r="AB997" s="1750"/>
      <c r="AC997" s="1750"/>
      <c r="AD997" s="1750"/>
      <c r="AE997" s="1751"/>
      <c r="AF997" s="73"/>
      <c r="AG997" s="14"/>
      <c r="AH997" s="14"/>
      <c r="AI997" s="83"/>
      <c r="AJ997" s="1780"/>
      <c r="AK997" s="1781"/>
      <c r="AL997" s="1781"/>
      <c r="AM997" s="1781"/>
      <c r="AN997" s="1781"/>
      <c r="AO997" s="1781"/>
      <c r="AP997" s="1781"/>
      <c r="AQ997" s="1782"/>
      <c r="AR997" s="68"/>
      <c r="AS997" s="68"/>
      <c r="AT997" s="68"/>
      <c r="AU997" s="68"/>
      <c r="AV997" s="68"/>
      <c r="AW997" s="68"/>
      <c r="AX997" s="68"/>
      <c r="AY997" s="68"/>
      <c r="AZ997" s="34"/>
      <c r="BA997" s="34"/>
      <c r="BB997" s="34"/>
      <c r="BC997" s="34"/>
    </row>
    <row r="998" spans="1:55" ht="12.95" customHeight="1">
      <c r="A998" s="14"/>
      <c r="B998" s="258"/>
      <c r="C998" s="257"/>
      <c r="D998" s="1749"/>
      <c r="E998" s="1750"/>
      <c r="F998" s="1750"/>
      <c r="G998" s="1750"/>
      <c r="H998" s="1750"/>
      <c r="I998" s="1750"/>
      <c r="J998" s="1750"/>
      <c r="K998" s="1750"/>
      <c r="L998" s="1750"/>
      <c r="M998" s="1750"/>
      <c r="N998" s="1750"/>
      <c r="O998" s="1750"/>
      <c r="P998" s="1750"/>
      <c r="Q998" s="1750"/>
      <c r="R998" s="1750"/>
      <c r="S998" s="1750"/>
      <c r="T998" s="1750"/>
      <c r="U998" s="1750"/>
      <c r="V998" s="1750"/>
      <c r="W998" s="1750"/>
      <c r="X998" s="1750"/>
      <c r="Y998" s="1750"/>
      <c r="Z998" s="1750"/>
      <c r="AA998" s="1750"/>
      <c r="AB998" s="1750"/>
      <c r="AC998" s="1750"/>
      <c r="AD998" s="1750"/>
      <c r="AE998" s="1751"/>
      <c r="AF998" s="73"/>
      <c r="AG998" s="14"/>
      <c r="AH998" s="14"/>
      <c r="AI998" s="83"/>
      <c r="AJ998" s="1780"/>
      <c r="AK998" s="1781"/>
      <c r="AL998" s="1781"/>
      <c r="AM998" s="1781"/>
      <c r="AN998" s="1781"/>
      <c r="AO998" s="1781"/>
      <c r="AP998" s="1781"/>
      <c r="AQ998" s="1782"/>
      <c r="AR998" s="68"/>
      <c r="AS998" s="68"/>
      <c r="AT998" s="68"/>
      <c r="AU998" s="68"/>
      <c r="AV998" s="68"/>
      <c r="AW998" s="68"/>
      <c r="AX998" s="68"/>
      <c r="AY998" s="68"/>
      <c r="AZ998" s="34"/>
      <c r="BA998" s="34"/>
      <c r="BB998" s="34"/>
      <c r="BC998" s="34"/>
    </row>
    <row r="999" spans="1:55" ht="12.95" customHeight="1">
      <c r="A999" s="14"/>
      <c r="B999" s="258"/>
      <c r="C999" s="257"/>
      <c r="D999" s="1752" t="s">
        <v>2207</v>
      </c>
      <c r="E999" s="1753"/>
      <c r="F999" s="1753"/>
      <c r="G999" s="1753"/>
      <c r="H999" s="1753"/>
      <c r="I999" s="1753"/>
      <c r="J999" s="1753"/>
      <c r="K999" s="1753"/>
      <c r="L999" s="1753"/>
      <c r="M999" s="1753"/>
      <c r="N999" s="1753"/>
      <c r="O999" s="1753"/>
      <c r="P999" s="1753"/>
      <c r="Q999" s="1753"/>
      <c r="R999" s="1753"/>
      <c r="S999" s="1753"/>
      <c r="T999" s="1753"/>
      <c r="U999" s="1753"/>
      <c r="V999" s="1753"/>
      <c r="W999" s="1753"/>
      <c r="X999" s="1753"/>
      <c r="Y999" s="1753"/>
      <c r="Z999" s="1753"/>
      <c r="AA999" s="1753"/>
      <c r="AB999" s="1753"/>
      <c r="AC999" s="1753"/>
      <c r="AD999" s="1753"/>
      <c r="AE999" s="1754"/>
      <c r="AF999" s="73"/>
      <c r="AG999" s="14"/>
      <c r="AH999" s="14"/>
      <c r="AI999" s="83"/>
      <c r="AJ999" s="1780"/>
      <c r="AK999" s="1781"/>
      <c r="AL999" s="1781"/>
      <c r="AM999" s="1781"/>
      <c r="AN999" s="1781"/>
      <c r="AO999" s="1781"/>
      <c r="AP999" s="1781"/>
      <c r="AQ999" s="1782"/>
      <c r="AR999" s="68"/>
      <c r="AS999" s="68"/>
      <c r="AT999" s="68"/>
      <c r="AU999" s="68"/>
      <c r="AV999" s="68"/>
      <c r="AW999" s="68"/>
      <c r="AX999" s="68"/>
      <c r="AY999" s="68"/>
      <c r="AZ999" s="34"/>
      <c r="BA999" s="34"/>
      <c r="BB999" s="34"/>
      <c r="BC999" s="34"/>
    </row>
    <row r="1000" spans="1:55" ht="12.95" customHeight="1">
      <c r="A1000" s="14"/>
      <c r="B1000" s="258"/>
      <c r="C1000" s="257"/>
      <c r="D1000" s="1718" t="s">
        <v>2611</v>
      </c>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77"/>
      <c r="AG1000" s="7"/>
      <c r="AH1000" s="7"/>
      <c r="AI1000" s="78"/>
      <c r="AJ1000" s="1783"/>
      <c r="AK1000" s="1784"/>
      <c r="AL1000" s="1784"/>
      <c r="AM1000" s="1784"/>
      <c r="AN1000" s="1784"/>
      <c r="AO1000" s="1784"/>
      <c r="AP1000" s="1784"/>
      <c r="AQ1000" s="1785"/>
      <c r="AR1000" s="68"/>
      <c r="AS1000" s="68"/>
      <c r="AT1000" s="68"/>
      <c r="AU1000" s="68"/>
      <c r="AV1000" s="68"/>
      <c r="AW1000" s="68"/>
      <c r="AX1000" s="68"/>
      <c r="AY1000" s="68"/>
      <c r="AZ1000" s="34"/>
      <c r="BA1000" s="34"/>
      <c r="BB1000" s="34"/>
      <c r="BC1000" s="34"/>
    </row>
    <row r="1001" spans="1:55" ht="12.95" customHeight="1">
      <c r="A1001" s="14"/>
      <c r="B1001" s="256"/>
      <c r="C1001" s="319"/>
      <c r="D1001" s="1746" t="s">
        <v>1286</v>
      </c>
      <c r="E1001" s="1747"/>
      <c r="F1001" s="1747"/>
      <c r="G1001" s="1747"/>
      <c r="H1001" s="1747"/>
      <c r="I1001" s="1747"/>
      <c r="J1001" s="1747"/>
      <c r="K1001" s="1747"/>
      <c r="L1001" s="1747"/>
      <c r="M1001" s="1747"/>
      <c r="N1001" s="1747"/>
      <c r="O1001" s="1747"/>
      <c r="P1001" s="1747"/>
      <c r="Q1001" s="1747"/>
      <c r="R1001" s="1747"/>
      <c r="S1001" s="1747"/>
      <c r="T1001" s="1747"/>
      <c r="U1001" s="1747"/>
      <c r="V1001" s="1747"/>
      <c r="W1001" s="1747"/>
      <c r="X1001" s="1747"/>
      <c r="Y1001" s="1747"/>
      <c r="Z1001" s="1747"/>
      <c r="AA1001" s="1747"/>
      <c r="AB1001" s="1747"/>
      <c r="AC1001" s="1747"/>
      <c r="AD1001" s="1747"/>
      <c r="AE1001" s="1748"/>
      <c r="AF1001" s="79"/>
      <c r="AG1001" s="1733" t="s">
        <v>669</v>
      </c>
      <c r="AH1001" s="1734"/>
      <c r="AI1001" s="87"/>
      <c r="AJ1001" s="1777">
        <f>ROUND(IF(AG1001="yes",AJ992*0.05,0),0)</f>
        <v>0</v>
      </c>
      <c r="AK1001" s="1778"/>
      <c r="AL1001" s="1778"/>
      <c r="AM1001" s="1778"/>
      <c r="AN1001" s="1778"/>
      <c r="AO1001" s="1778"/>
      <c r="AP1001" s="1778"/>
      <c r="AQ1001" s="1779"/>
      <c r="AR1001" s="68"/>
      <c r="AS1001" s="68"/>
      <c r="AT1001" s="68"/>
      <c r="AU1001" s="68"/>
      <c r="AV1001" s="68"/>
      <c r="AW1001" s="68"/>
      <c r="AX1001" s="68"/>
      <c r="AY1001" s="68"/>
      <c r="AZ1001" s="34"/>
      <c r="BA1001" s="34"/>
      <c r="BB1001" s="34"/>
      <c r="BC1001" s="34"/>
    </row>
    <row r="1002" spans="1:55" ht="12.95" customHeight="1">
      <c r="A1002" s="14"/>
      <c r="B1002" s="258"/>
      <c r="C1002" s="82"/>
      <c r="D1002" s="1749" t="s">
        <v>1284</v>
      </c>
      <c r="E1002" s="1750"/>
      <c r="F1002" s="1750"/>
      <c r="G1002" s="1750"/>
      <c r="H1002" s="1750"/>
      <c r="I1002" s="1750"/>
      <c r="J1002" s="1750"/>
      <c r="K1002" s="1750"/>
      <c r="L1002" s="1750"/>
      <c r="M1002" s="1750"/>
      <c r="N1002" s="1750"/>
      <c r="O1002" s="1750"/>
      <c r="P1002" s="1750"/>
      <c r="Q1002" s="1750"/>
      <c r="R1002" s="1750"/>
      <c r="S1002" s="1750"/>
      <c r="T1002" s="1750"/>
      <c r="U1002" s="1750"/>
      <c r="V1002" s="1750"/>
      <c r="W1002" s="1750"/>
      <c r="X1002" s="1750"/>
      <c r="Y1002" s="1750"/>
      <c r="Z1002" s="1750"/>
      <c r="AA1002" s="1750"/>
      <c r="AB1002" s="1750"/>
      <c r="AC1002" s="1750"/>
      <c r="AD1002" s="1750"/>
      <c r="AE1002" s="1751"/>
      <c r="AF1002" s="73"/>
      <c r="AG1002" s="14"/>
      <c r="AH1002" s="14"/>
      <c r="AI1002" s="83"/>
      <c r="AJ1002" s="1780"/>
      <c r="AK1002" s="1781"/>
      <c r="AL1002" s="1781"/>
      <c r="AM1002" s="1781"/>
      <c r="AN1002" s="1781"/>
      <c r="AO1002" s="1781"/>
      <c r="AP1002" s="1781"/>
      <c r="AQ1002" s="1782"/>
      <c r="AR1002" s="68"/>
      <c r="AS1002" s="68"/>
      <c r="AT1002" s="68"/>
      <c r="AU1002" s="68"/>
      <c r="AV1002" s="68"/>
      <c r="AW1002" s="68"/>
      <c r="AX1002" s="68"/>
      <c r="AY1002" s="34"/>
      <c r="AZ1002" s="34"/>
      <c r="BB1002" s="34"/>
    </row>
    <row r="1003" spans="1:55" ht="12.95" customHeight="1">
      <c r="A1003" s="14"/>
      <c r="B1003" s="258"/>
      <c r="C1003" s="82"/>
      <c r="D1003" s="1749"/>
      <c r="E1003" s="1750"/>
      <c r="F1003" s="1750"/>
      <c r="G1003" s="1750"/>
      <c r="H1003" s="1750"/>
      <c r="I1003" s="1750"/>
      <c r="J1003" s="1750"/>
      <c r="K1003" s="1750"/>
      <c r="L1003" s="1750"/>
      <c r="M1003" s="1750"/>
      <c r="N1003" s="1750"/>
      <c r="O1003" s="1750"/>
      <c r="P1003" s="1750"/>
      <c r="Q1003" s="1750"/>
      <c r="R1003" s="1750"/>
      <c r="S1003" s="1750"/>
      <c r="T1003" s="1750"/>
      <c r="U1003" s="1750"/>
      <c r="V1003" s="1750"/>
      <c r="W1003" s="1750"/>
      <c r="X1003" s="1750"/>
      <c r="Y1003" s="1750"/>
      <c r="Z1003" s="1750"/>
      <c r="AA1003" s="1750"/>
      <c r="AB1003" s="1750"/>
      <c r="AC1003" s="1750"/>
      <c r="AD1003" s="1750"/>
      <c r="AE1003" s="1751"/>
      <c r="AF1003" s="73"/>
      <c r="AG1003" s="14"/>
      <c r="AH1003" s="14"/>
      <c r="AI1003" s="83"/>
      <c r="AJ1003" s="1780"/>
      <c r="AK1003" s="1781"/>
      <c r="AL1003" s="1781"/>
      <c r="AM1003" s="1781"/>
      <c r="AN1003" s="1781"/>
      <c r="AO1003" s="1781"/>
      <c r="AP1003" s="1781"/>
      <c r="AQ1003" s="1782"/>
      <c r="AR1003" s="68"/>
      <c r="AS1003" s="68"/>
      <c r="AT1003" s="68"/>
      <c r="AU1003" s="68"/>
      <c r="AV1003" s="68"/>
      <c r="AW1003" s="68"/>
      <c r="AX1003" s="68"/>
      <c r="AY1003" s="915">
        <f>G753+O797</f>
        <v>96</v>
      </c>
      <c r="AZ1003" s="34"/>
      <c r="BB1003" s="34"/>
    </row>
    <row r="1004" spans="1:55" ht="12.95" customHeight="1">
      <c r="A1004" s="14"/>
      <c r="B1004" s="258"/>
      <c r="C1004" s="82"/>
      <c r="D1004" s="1749"/>
      <c r="E1004" s="1750"/>
      <c r="F1004" s="1750"/>
      <c r="G1004" s="1750"/>
      <c r="H1004" s="1750"/>
      <c r="I1004" s="1750"/>
      <c r="J1004" s="1750"/>
      <c r="K1004" s="1750"/>
      <c r="L1004" s="1750"/>
      <c r="M1004" s="1750"/>
      <c r="N1004" s="1750"/>
      <c r="O1004" s="1750"/>
      <c r="P1004" s="1750"/>
      <c r="Q1004" s="1750"/>
      <c r="R1004" s="1750"/>
      <c r="S1004" s="1750"/>
      <c r="T1004" s="1750"/>
      <c r="U1004" s="1750"/>
      <c r="V1004" s="1750"/>
      <c r="W1004" s="1750"/>
      <c r="X1004" s="1750"/>
      <c r="Y1004" s="1750"/>
      <c r="Z1004" s="1750"/>
      <c r="AA1004" s="1750"/>
      <c r="AB1004" s="1750"/>
      <c r="AC1004" s="1750"/>
      <c r="AD1004" s="1750"/>
      <c r="AE1004" s="1751"/>
      <c r="AF1004" s="73"/>
      <c r="AG1004" s="14"/>
      <c r="AH1004" s="14"/>
      <c r="AI1004" s="83"/>
      <c r="AJ1004" s="1780"/>
      <c r="AK1004" s="1781"/>
      <c r="AL1004" s="1781"/>
      <c r="AM1004" s="1781"/>
      <c r="AN1004" s="1781"/>
      <c r="AO1004" s="1781"/>
      <c r="AP1004" s="1781"/>
      <c r="AQ1004" s="1782"/>
      <c r="AR1004" s="68"/>
      <c r="AS1004" s="68"/>
      <c r="AT1004" s="68"/>
      <c r="AU1004" s="68"/>
      <c r="AV1004" s="68"/>
      <c r="AW1004" s="68"/>
      <c r="AX1004" s="68"/>
      <c r="AY1004" s="14"/>
      <c r="AZ1004" s="34"/>
      <c r="BB1004" s="34"/>
    </row>
    <row r="1005" spans="1:55" ht="12.95" customHeight="1">
      <c r="A1005" s="14"/>
      <c r="B1005" s="258"/>
      <c r="C1005" s="82"/>
      <c r="D1005" s="1749"/>
      <c r="E1005" s="1750"/>
      <c r="F1005" s="1750"/>
      <c r="G1005" s="1750"/>
      <c r="H1005" s="1750"/>
      <c r="I1005" s="1750"/>
      <c r="J1005" s="1750"/>
      <c r="K1005" s="1750"/>
      <c r="L1005" s="1750"/>
      <c r="M1005" s="1750"/>
      <c r="N1005" s="1750"/>
      <c r="O1005" s="1750"/>
      <c r="P1005" s="1750"/>
      <c r="Q1005" s="1750"/>
      <c r="R1005" s="1750"/>
      <c r="S1005" s="1750"/>
      <c r="T1005" s="1750"/>
      <c r="U1005" s="1750"/>
      <c r="V1005" s="1750"/>
      <c r="W1005" s="1750"/>
      <c r="X1005" s="1750"/>
      <c r="Y1005" s="1750"/>
      <c r="Z1005" s="1750"/>
      <c r="AA1005" s="1750"/>
      <c r="AB1005" s="1750"/>
      <c r="AC1005" s="1750"/>
      <c r="AD1005" s="1750"/>
      <c r="AE1005" s="1751"/>
      <c r="AF1005" s="73"/>
      <c r="AG1005" s="14"/>
      <c r="AH1005" s="14"/>
      <c r="AI1005" s="83"/>
      <c r="AJ1005" s="1780"/>
      <c r="AK1005" s="1781"/>
      <c r="AL1005" s="1781"/>
      <c r="AM1005" s="1781"/>
      <c r="AN1005" s="1781"/>
      <c r="AO1005" s="1781"/>
      <c r="AP1005" s="1781"/>
      <c r="AQ1005" s="1782"/>
      <c r="AR1005" s="68"/>
      <c r="AS1005" s="68"/>
      <c r="AT1005" s="68"/>
      <c r="AU1005" s="68"/>
      <c r="AV1005" s="68"/>
      <c r="AW1005" s="68"/>
      <c r="AX1005" s="68"/>
      <c r="AY1005" s="914">
        <f>ROUNDDOWN(X1048/I1048,2)</f>
        <v>0.59</v>
      </c>
      <c r="AZ1005" s="34"/>
      <c r="BB1005" s="34"/>
    </row>
    <row r="1006" spans="1:55" ht="12.95" customHeight="1">
      <c r="A1006" s="14"/>
      <c r="B1006" s="75"/>
      <c r="C1006" s="76"/>
      <c r="D1006" s="1752"/>
      <c r="E1006" s="1753"/>
      <c r="F1006" s="1753"/>
      <c r="G1006" s="1753"/>
      <c r="H1006" s="1753"/>
      <c r="I1006" s="1753"/>
      <c r="J1006" s="1753"/>
      <c r="K1006" s="1753"/>
      <c r="L1006" s="1753"/>
      <c r="M1006" s="1753"/>
      <c r="N1006" s="1753"/>
      <c r="O1006" s="1753"/>
      <c r="P1006" s="1753"/>
      <c r="Q1006" s="1753"/>
      <c r="R1006" s="1753"/>
      <c r="S1006" s="1753"/>
      <c r="T1006" s="1753"/>
      <c r="U1006" s="1753"/>
      <c r="V1006" s="1753"/>
      <c r="W1006" s="1753"/>
      <c r="X1006" s="1753"/>
      <c r="Y1006" s="1753"/>
      <c r="Z1006" s="1753"/>
      <c r="AA1006" s="1753"/>
      <c r="AB1006" s="1753"/>
      <c r="AC1006" s="1753"/>
      <c r="AD1006" s="1753"/>
      <c r="AE1006" s="1754"/>
      <c r="AF1006" s="77"/>
      <c r="AG1006" s="7"/>
      <c r="AH1006" s="7"/>
      <c r="AI1006" s="78"/>
      <c r="AJ1006" s="1783"/>
      <c r="AK1006" s="1784"/>
      <c r="AL1006" s="1784"/>
      <c r="AM1006" s="1784"/>
      <c r="AN1006" s="1784"/>
      <c r="AO1006" s="1784"/>
      <c r="AP1006" s="1784"/>
      <c r="AQ1006" s="1785"/>
      <c r="AR1006" s="68"/>
      <c r="AS1006" s="68"/>
      <c r="AT1006" s="68"/>
      <c r="AU1006" s="68"/>
      <c r="AV1006" s="68"/>
      <c r="AW1006" s="68"/>
      <c r="AX1006" s="68"/>
      <c r="AY1006" s="914">
        <f>ROUNDDOWN(X1052/I1052,2)</f>
        <v>0.4</v>
      </c>
      <c r="AZ1006" s="34"/>
      <c r="BB1006" s="34"/>
    </row>
    <row r="1007" spans="1:55" ht="12.95" customHeight="1">
      <c r="A1007" s="14"/>
      <c r="B1007" s="256"/>
      <c r="C1007" s="80" t="s">
        <v>672</v>
      </c>
      <c r="D1007" s="1746" t="s">
        <v>1683</v>
      </c>
      <c r="E1007" s="1747"/>
      <c r="F1007" s="1747"/>
      <c r="G1007" s="1747"/>
      <c r="H1007" s="1747"/>
      <c r="I1007" s="1747"/>
      <c r="J1007" s="1747"/>
      <c r="K1007" s="1747"/>
      <c r="L1007" s="1747"/>
      <c r="M1007" s="1747"/>
      <c r="N1007" s="1747"/>
      <c r="O1007" s="1747"/>
      <c r="P1007" s="1747"/>
      <c r="Q1007" s="1747"/>
      <c r="R1007" s="1747"/>
      <c r="S1007" s="1747"/>
      <c r="T1007" s="1747"/>
      <c r="U1007" s="1747"/>
      <c r="V1007" s="1747"/>
      <c r="W1007" s="1747"/>
      <c r="X1007" s="1747"/>
      <c r="Y1007" s="1747"/>
      <c r="Z1007" s="1747"/>
      <c r="AA1007" s="1747"/>
      <c r="AB1007" s="1747"/>
      <c r="AC1007" s="1747"/>
      <c r="AD1007" s="1747"/>
      <c r="AE1007" s="1748"/>
      <c r="AF1007" s="86"/>
      <c r="AG1007" s="1733" t="s">
        <v>669</v>
      </c>
      <c r="AH1007" s="1734"/>
      <c r="AI1007" s="87"/>
      <c r="AJ1007" s="1777">
        <f>ROUND(IF(AG1007="yes",AJ992*0.1,0),0)</f>
        <v>0</v>
      </c>
      <c r="AK1007" s="1778"/>
      <c r="AL1007" s="1778"/>
      <c r="AM1007" s="1778"/>
      <c r="AN1007" s="1778"/>
      <c r="AO1007" s="1778"/>
      <c r="AP1007" s="1778"/>
      <c r="AQ1007" s="1779"/>
      <c r="AR1007" s="68"/>
      <c r="AS1007" s="68"/>
      <c r="AT1007" s="68"/>
      <c r="AU1007" s="68"/>
      <c r="AV1007" s="68"/>
      <c r="AW1007" s="68"/>
      <c r="AX1007" s="68"/>
      <c r="BB1007" s="34"/>
    </row>
    <row r="1008" spans="1:55" ht="12.95" customHeight="1">
      <c r="A1008" s="14"/>
      <c r="B1008" s="73"/>
      <c r="C1008" s="74"/>
      <c r="D1008" s="1692" t="s">
        <v>1285</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73"/>
      <c r="AI1008" s="83"/>
      <c r="AJ1008" s="1780"/>
      <c r="AK1008" s="1781"/>
      <c r="AL1008" s="1781"/>
      <c r="AM1008" s="1781"/>
      <c r="AN1008" s="1781"/>
      <c r="AO1008" s="1781"/>
      <c r="AP1008" s="1781"/>
      <c r="AQ1008" s="1782"/>
      <c r="AR1008" s="68"/>
      <c r="AS1008" s="68"/>
      <c r="AT1008" s="68"/>
      <c r="AU1008" s="68"/>
      <c r="AV1008" s="68"/>
      <c r="AW1008" s="68"/>
      <c r="AX1008" s="68"/>
    </row>
    <row r="1009" spans="1:51" ht="12.95" customHeight="1">
      <c r="A1009" s="14"/>
      <c r="B1009" s="73"/>
      <c r="C1009" s="74"/>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3"/>
      <c r="AG1009" s="14"/>
      <c r="AH1009" s="14"/>
      <c r="AI1009" s="83"/>
      <c r="AJ1009" s="1780"/>
      <c r="AK1009" s="1781"/>
      <c r="AL1009" s="1781"/>
      <c r="AM1009" s="1781"/>
      <c r="AN1009" s="1781"/>
      <c r="AO1009" s="1781"/>
      <c r="AP1009" s="1781"/>
      <c r="AQ1009" s="1782"/>
      <c r="AR1009" s="68"/>
      <c r="AS1009" s="68"/>
      <c r="AT1009" s="68"/>
      <c r="AU1009" s="68"/>
      <c r="AV1009" s="68"/>
      <c r="AW1009" s="68"/>
      <c r="AX1009" s="68"/>
    </row>
    <row r="1010" spans="1:51" ht="12.95" customHeight="1">
      <c r="A1010" s="14"/>
      <c r="B1010" s="85"/>
      <c r="C1010" s="76"/>
      <c r="D1010" s="1728"/>
      <c r="E1010" s="1729"/>
      <c r="F1010" s="1729"/>
      <c r="G1010" s="1729"/>
      <c r="H1010" s="1729"/>
      <c r="I1010" s="1729"/>
      <c r="J1010" s="1729"/>
      <c r="K1010" s="1729"/>
      <c r="L1010" s="1729"/>
      <c r="M1010" s="1729"/>
      <c r="N1010" s="1729"/>
      <c r="O1010" s="1729"/>
      <c r="P1010" s="1729"/>
      <c r="Q1010" s="1729"/>
      <c r="R1010" s="1729"/>
      <c r="S1010" s="1729"/>
      <c r="T1010" s="1729"/>
      <c r="U1010" s="1729"/>
      <c r="V1010" s="1729"/>
      <c r="W1010" s="1729"/>
      <c r="X1010" s="1729"/>
      <c r="Y1010" s="1729"/>
      <c r="Z1010" s="1729"/>
      <c r="AA1010" s="1729"/>
      <c r="AB1010" s="1729"/>
      <c r="AC1010" s="1729"/>
      <c r="AD1010" s="1729"/>
      <c r="AE1010" s="1730"/>
      <c r="AF1010" s="77"/>
      <c r="AG1010" s="7"/>
      <c r="AH1010" s="7"/>
      <c r="AI1010" s="78"/>
      <c r="AJ1010" s="1783"/>
      <c r="AK1010" s="1784"/>
      <c r="AL1010" s="1784"/>
      <c r="AM1010" s="1784"/>
      <c r="AN1010" s="1784"/>
      <c r="AO1010" s="1784"/>
      <c r="AP1010" s="1784"/>
      <c r="AQ1010" s="1785"/>
      <c r="AR1010" s="68"/>
      <c r="AS1010" s="68"/>
      <c r="AT1010" s="68"/>
      <c r="AU1010" s="68"/>
      <c r="AV1010" s="68"/>
      <c r="AW1010" s="68"/>
      <c r="AX1010" s="68"/>
    </row>
    <row r="1011" spans="1:51" ht="12.95" customHeight="1">
      <c r="A1011" s="14"/>
      <c r="B1011" s="79"/>
      <c r="C1011" s="80" t="s">
        <v>211</v>
      </c>
      <c r="D1011" s="1746" t="s">
        <v>1287</v>
      </c>
      <c r="E1011" s="1747"/>
      <c r="F1011" s="1747"/>
      <c r="G1011" s="1747"/>
      <c r="H1011" s="1747"/>
      <c r="I1011" s="1747"/>
      <c r="J1011" s="1747"/>
      <c r="K1011" s="1747"/>
      <c r="L1011" s="1747"/>
      <c r="M1011" s="1747"/>
      <c r="N1011" s="1747"/>
      <c r="O1011" s="1747"/>
      <c r="P1011" s="1747"/>
      <c r="Q1011" s="1747"/>
      <c r="R1011" s="1747"/>
      <c r="S1011" s="1747"/>
      <c r="T1011" s="1747"/>
      <c r="U1011" s="1747"/>
      <c r="V1011" s="1747"/>
      <c r="W1011" s="1747"/>
      <c r="X1011" s="1747"/>
      <c r="Y1011" s="1747"/>
      <c r="Z1011" s="1747"/>
      <c r="AA1011" s="1747"/>
      <c r="AB1011" s="1747"/>
      <c r="AC1011" s="1747"/>
      <c r="AD1011" s="1747"/>
      <c r="AE1011" s="1748"/>
      <c r="AF1011" s="79"/>
      <c r="AG1011" s="1733" t="s">
        <v>669</v>
      </c>
      <c r="AH1011" s="1734"/>
      <c r="AI1011" s="87"/>
      <c r="AJ1011" s="1777">
        <f>ROUND(IF(AG1011="yes",AJ992*0.02,0),0)</f>
        <v>0</v>
      </c>
      <c r="AK1011" s="1778"/>
      <c r="AL1011" s="1778"/>
      <c r="AM1011" s="1778"/>
      <c r="AN1011" s="1778"/>
      <c r="AO1011" s="1778"/>
      <c r="AP1011" s="1778"/>
      <c r="AQ1011" s="1779"/>
      <c r="AR1011" s="68"/>
      <c r="AS1011" s="68"/>
      <c r="AT1011" s="68"/>
      <c r="AU1011" s="68"/>
      <c r="AV1011" s="68"/>
      <c r="AW1011" s="68"/>
      <c r="AX1011" s="68"/>
      <c r="AY1011" s="202">
        <f>IF(SUM(AY1015:AY1023)&lt;=0.2,SUM(AY1015:AY1023),0.2)</f>
        <v>0</v>
      </c>
    </row>
    <row r="1012" spans="1:51" ht="14.25" customHeight="1">
      <c r="A1012" s="14"/>
      <c r="B1012" s="73"/>
      <c r="C1012" s="74"/>
      <c r="D1012" s="1728" t="s">
        <v>1288</v>
      </c>
      <c r="E1012" s="1729"/>
      <c r="F1012" s="1729"/>
      <c r="G1012" s="1729"/>
      <c r="H1012" s="1729"/>
      <c r="I1012" s="1729"/>
      <c r="J1012" s="1729"/>
      <c r="K1012" s="1729"/>
      <c r="L1012" s="1729"/>
      <c r="M1012" s="1729"/>
      <c r="N1012" s="1729"/>
      <c r="O1012" s="1729"/>
      <c r="P1012" s="1729"/>
      <c r="Q1012" s="1729"/>
      <c r="R1012" s="1729"/>
      <c r="S1012" s="1729"/>
      <c r="T1012" s="1729"/>
      <c r="U1012" s="1729"/>
      <c r="V1012" s="1729"/>
      <c r="W1012" s="1729"/>
      <c r="X1012" s="1729"/>
      <c r="Y1012" s="1729"/>
      <c r="Z1012" s="1729"/>
      <c r="AA1012" s="1729"/>
      <c r="AB1012" s="1729"/>
      <c r="AC1012" s="1729"/>
      <c r="AD1012" s="1729"/>
      <c r="AE1012" s="1730"/>
      <c r="AF1012" s="77"/>
      <c r="AG1012" s="7"/>
      <c r="AH1012" s="7"/>
      <c r="AI1012" s="78"/>
      <c r="AJ1012" s="1783"/>
      <c r="AK1012" s="1784"/>
      <c r="AL1012" s="1784"/>
      <c r="AM1012" s="1784"/>
      <c r="AN1012" s="1784"/>
      <c r="AO1012" s="1784"/>
      <c r="AP1012" s="1784"/>
      <c r="AQ1012" s="1785"/>
      <c r="AR1012" s="68"/>
      <c r="AS1012" s="68"/>
      <c r="AT1012" s="68"/>
      <c r="AU1012" s="68"/>
      <c r="AV1012" s="68"/>
      <c r="AW1012" s="68"/>
      <c r="AX1012" s="68"/>
    </row>
    <row r="1013" spans="1:51" ht="12.95" customHeight="1">
      <c r="A1013" s="14"/>
      <c r="B1013" s="79"/>
      <c r="C1013" s="80" t="s">
        <v>214</v>
      </c>
      <c r="D1013" s="1746" t="s">
        <v>1289</v>
      </c>
      <c r="E1013" s="1747"/>
      <c r="F1013" s="1747"/>
      <c r="G1013" s="1747"/>
      <c r="H1013" s="1747"/>
      <c r="I1013" s="1747"/>
      <c r="J1013" s="1747"/>
      <c r="K1013" s="1747"/>
      <c r="L1013" s="1747"/>
      <c r="M1013" s="1747"/>
      <c r="N1013" s="1747"/>
      <c r="O1013" s="1747"/>
      <c r="P1013" s="1747"/>
      <c r="Q1013" s="1747"/>
      <c r="R1013" s="1747"/>
      <c r="S1013" s="1747"/>
      <c r="T1013" s="1747"/>
      <c r="U1013" s="1747"/>
      <c r="V1013" s="1747"/>
      <c r="W1013" s="1747"/>
      <c r="X1013" s="1747"/>
      <c r="Y1013" s="1747"/>
      <c r="Z1013" s="1747"/>
      <c r="AA1013" s="1747"/>
      <c r="AB1013" s="1747"/>
      <c r="AC1013" s="1747"/>
      <c r="AD1013" s="1747"/>
      <c r="AE1013" s="1748"/>
      <c r="AF1013" s="79"/>
      <c r="AG1013" s="1733" t="s">
        <v>669</v>
      </c>
      <c r="AH1013" s="1734"/>
      <c r="AI1013" s="79"/>
      <c r="AJ1013" s="1777">
        <f>ROUND(IF(AG1013="yes",AJ992*0.02,0),0)</f>
        <v>0</v>
      </c>
      <c r="AK1013" s="1778"/>
      <c r="AL1013" s="1778"/>
      <c r="AM1013" s="1778"/>
      <c r="AN1013" s="1778"/>
      <c r="AO1013" s="1778"/>
      <c r="AP1013" s="1778"/>
      <c r="AQ1013" s="1779"/>
      <c r="AR1013" s="68"/>
      <c r="AS1013" s="68"/>
      <c r="AT1013" s="68"/>
      <c r="AU1013" s="68"/>
      <c r="AV1013" s="68"/>
      <c r="AW1013" s="68"/>
      <c r="AX1013" s="68"/>
      <c r="AY1013" s="200">
        <f>IF(A1065="Yes",0.2,0)</f>
        <v>0.2</v>
      </c>
    </row>
    <row r="1014" spans="1:51" ht="12.95" customHeight="1">
      <c r="A1014" s="14"/>
      <c r="B1014" s="73"/>
      <c r="C1014" s="74"/>
      <c r="D1014" s="1692" t="s">
        <v>1290</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49" t="str">
        <f>IF(AND(AG1013="yes",T212&lt;&gt;1),"The project may not be eligible for this boost","")</f>
        <v/>
      </c>
      <c r="AG1014" s="1850"/>
      <c r="AH1014" s="1850"/>
      <c r="AI1014" s="1851"/>
      <c r="AJ1014" s="1780"/>
      <c r="AK1014" s="1781"/>
      <c r="AL1014" s="1781"/>
      <c r="AM1014" s="1781"/>
      <c r="AN1014" s="1781"/>
      <c r="AO1014" s="1781"/>
      <c r="AP1014" s="1781"/>
      <c r="AQ1014" s="1782"/>
      <c r="AR1014" s="68"/>
      <c r="AS1014" s="68"/>
      <c r="AT1014" s="68"/>
      <c r="AU1014" s="68"/>
      <c r="AV1014" s="68"/>
      <c r="AW1014" s="68"/>
      <c r="AX1014" s="68"/>
      <c r="AY1014" s="200">
        <f>IF(A1067="Yes",0.15,0)</f>
        <v>0</v>
      </c>
    </row>
    <row r="1015" spans="1:51" ht="12.95" customHeight="1">
      <c r="A1015" s="14"/>
      <c r="B1015" s="75"/>
      <c r="C1015" s="76"/>
      <c r="D1015" s="1728"/>
      <c r="E1015" s="1729"/>
      <c r="F1015" s="1729"/>
      <c r="G1015" s="1729"/>
      <c r="H1015" s="1729"/>
      <c r="I1015" s="1729"/>
      <c r="J1015" s="1729"/>
      <c r="K1015" s="1729"/>
      <c r="L1015" s="1729"/>
      <c r="M1015" s="1729"/>
      <c r="N1015" s="1729"/>
      <c r="O1015" s="1729"/>
      <c r="P1015" s="1729"/>
      <c r="Q1015" s="1729"/>
      <c r="R1015" s="1729"/>
      <c r="S1015" s="1729"/>
      <c r="T1015" s="1729"/>
      <c r="U1015" s="1729"/>
      <c r="V1015" s="1729"/>
      <c r="W1015" s="1729"/>
      <c r="X1015" s="1729"/>
      <c r="Y1015" s="1729"/>
      <c r="Z1015" s="1729"/>
      <c r="AA1015" s="1729"/>
      <c r="AB1015" s="1729"/>
      <c r="AC1015" s="1729"/>
      <c r="AD1015" s="1729"/>
      <c r="AE1015" s="1730"/>
      <c r="AF1015" s="1852"/>
      <c r="AG1015" s="1853"/>
      <c r="AH1015" s="1853"/>
      <c r="AI1015" s="1854"/>
      <c r="AJ1015" s="1783"/>
      <c r="AK1015" s="1784"/>
      <c r="AL1015" s="1784"/>
      <c r="AM1015" s="1784"/>
      <c r="AN1015" s="1784"/>
      <c r="AO1015" s="1784"/>
      <c r="AP1015" s="1784"/>
      <c r="AQ1015" s="1785"/>
      <c r="AR1015" s="68"/>
      <c r="AS1015" s="68"/>
      <c r="AT1015" s="68"/>
      <c r="AU1015" s="68"/>
      <c r="AV1015" s="68"/>
      <c r="AW1015" s="68"/>
      <c r="AX1015" s="68"/>
      <c r="AY1015" s="200">
        <f>IF(A1070="Yes",0.05,0)</f>
        <v>0</v>
      </c>
    </row>
    <row r="1016" spans="1:51" ht="12.95" customHeight="1">
      <c r="A1016" s="14"/>
      <c r="B1016" s="79"/>
      <c r="C1016" s="80" t="s">
        <v>217</v>
      </c>
      <c r="D1016" s="1725" t="s">
        <v>2239</v>
      </c>
      <c r="E1016" s="1726"/>
      <c r="F1016" s="1726"/>
      <c r="G1016" s="1726"/>
      <c r="H1016" s="1726"/>
      <c r="I1016" s="1726"/>
      <c r="J1016" s="1726"/>
      <c r="K1016" s="1726"/>
      <c r="L1016" s="1726"/>
      <c r="M1016" s="1726"/>
      <c r="N1016" s="1726"/>
      <c r="O1016" s="1726"/>
      <c r="P1016" s="1726"/>
      <c r="Q1016" s="1726"/>
      <c r="R1016" s="1726"/>
      <c r="S1016" s="1726"/>
      <c r="T1016" s="1726"/>
      <c r="U1016" s="1726"/>
      <c r="V1016" s="1726"/>
      <c r="W1016" s="1726"/>
      <c r="X1016" s="1726"/>
      <c r="Y1016" s="1726"/>
      <c r="Z1016" s="1726"/>
      <c r="AA1016" s="1726"/>
      <c r="AB1016" s="1726"/>
      <c r="AC1016" s="1726"/>
      <c r="AD1016" s="1726"/>
      <c r="AE1016" s="1727"/>
      <c r="AF1016" s="79"/>
      <c r="AG1016" s="1733" t="s">
        <v>669</v>
      </c>
      <c r="AH1016" s="1734"/>
      <c r="AI1016" s="87"/>
      <c r="AJ1016" s="1777">
        <f>IF(AG1016="yes",AJ992*AY1011,0)</f>
        <v>0</v>
      </c>
      <c r="AK1016" s="1778"/>
      <c r="AL1016" s="1778"/>
      <c r="AM1016" s="1778"/>
      <c r="AN1016" s="1778"/>
      <c r="AO1016" s="1778"/>
      <c r="AP1016" s="1778"/>
      <c r="AQ1016" s="1779"/>
      <c r="AR1016" s="68"/>
      <c r="AS1016" s="68"/>
      <c r="AT1016" s="68"/>
      <c r="AU1016" s="68"/>
      <c r="AV1016" s="68"/>
      <c r="AW1016" s="68"/>
      <c r="AX1016" s="68"/>
      <c r="AY1016" s="200">
        <f>IF(A1075="Yes",0.02,0)</f>
        <v>0</v>
      </c>
    </row>
    <row r="1017" spans="1:51" ht="12.95" customHeight="1">
      <c r="A1017" s="14"/>
      <c r="B1017" s="73"/>
      <c r="C1017" s="74"/>
      <c r="D1017" s="1692" t="s">
        <v>1291</v>
      </c>
      <c r="E1017" s="1693"/>
      <c r="F1017" s="1693"/>
      <c r="G1017" s="1693"/>
      <c r="H1017" s="1693"/>
      <c r="I1017" s="1693"/>
      <c r="J1017" s="1693"/>
      <c r="K1017" s="1693"/>
      <c r="L1017" s="1693"/>
      <c r="M1017" s="1693"/>
      <c r="N1017" s="1693"/>
      <c r="O1017" s="1693"/>
      <c r="P1017" s="1693"/>
      <c r="Q1017" s="1693"/>
      <c r="R1017" s="1693"/>
      <c r="S1017" s="1693"/>
      <c r="T1017" s="1693"/>
      <c r="U1017" s="1693"/>
      <c r="V1017" s="1693"/>
      <c r="W1017" s="1693"/>
      <c r="X1017" s="1693"/>
      <c r="Y1017" s="1693"/>
      <c r="Z1017" s="1693"/>
      <c r="AA1017" s="1693"/>
      <c r="AB1017" s="1693"/>
      <c r="AC1017" s="1693"/>
      <c r="AD1017" s="1693"/>
      <c r="AE1017" s="1694"/>
      <c r="AF1017" s="1857" t="str">
        <f>IF(AND(AG1016="Yes",AY1011=0),AY1027,"")</f>
        <v/>
      </c>
      <c r="AG1017" s="1858"/>
      <c r="AH1017" s="1858"/>
      <c r="AI1017" s="1859"/>
      <c r="AJ1017" s="1780"/>
      <c r="AK1017" s="1781"/>
      <c r="AL1017" s="1781"/>
      <c r="AM1017" s="1781"/>
      <c r="AN1017" s="1781"/>
      <c r="AO1017" s="1781"/>
      <c r="AP1017" s="1781"/>
      <c r="AQ1017" s="1782"/>
      <c r="AR1017" s="68"/>
      <c r="AS1017" s="68"/>
      <c r="AT1017" s="68"/>
      <c r="AU1017" s="68"/>
      <c r="AV1017" s="68"/>
      <c r="AW1017" s="68"/>
      <c r="AX1017" s="68"/>
      <c r="AY1017" s="200">
        <f>IF(A1081="Yes",0.04,0)</f>
        <v>0</v>
      </c>
    </row>
    <row r="1018" spans="1:51" ht="12.95" customHeight="1">
      <c r="A1018" s="14"/>
      <c r="B1018" s="73"/>
      <c r="C1018" s="74"/>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57"/>
      <c r="AG1018" s="1858"/>
      <c r="AH1018" s="1858"/>
      <c r="AI1018" s="1859"/>
      <c r="AJ1018" s="1780"/>
      <c r="AK1018" s="1781"/>
      <c r="AL1018" s="1781"/>
      <c r="AM1018" s="1781"/>
      <c r="AN1018" s="1781"/>
      <c r="AO1018" s="1781"/>
      <c r="AP1018" s="1781"/>
      <c r="AQ1018" s="1782"/>
      <c r="AR1018" s="68"/>
      <c r="AS1018" s="68"/>
      <c r="AT1018" s="68"/>
      <c r="AU1018" s="68"/>
      <c r="AV1018" s="68"/>
      <c r="AW1018" s="68"/>
      <c r="AX1018" s="68"/>
      <c r="AY1018" s="200">
        <f>IF(A1085="Yes",0.04,0)</f>
        <v>0</v>
      </c>
    </row>
    <row r="1019" spans="1:51" ht="12.95" customHeight="1">
      <c r="A1019" s="14"/>
      <c r="B1019" s="81"/>
      <c r="C1019" s="82"/>
      <c r="D1019" s="1728"/>
      <c r="E1019" s="1729"/>
      <c r="F1019" s="1729"/>
      <c r="G1019" s="1729"/>
      <c r="H1019" s="1729"/>
      <c r="I1019" s="1729"/>
      <c r="J1019" s="1729"/>
      <c r="K1019" s="1729"/>
      <c r="L1019" s="1729"/>
      <c r="M1019" s="1729"/>
      <c r="N1019" s="1729"/>
      <c r="O1019" s="1729"/>
      <c r="P1019" s="1729"/>
      <c r="Q1019" s="1729"/>
      <c r="R1019" s="1729"/>
      <c r="S1019" s="1729"/>
      <c r="T1019" s="1729"/>
      <c r="U1019" s="1729"/>
      <c r="V1019" s="1729"/>
      <c r="W1019" s="1729"/>
      <c r="X1019" s="1729"/>
      <c r="Y1019" s="1729"/>
      <c r="Z1019" s="1729"/>
      <c r="AA1019" s="1729"/>
      <c r="AB1019" s="1729"/>
      <c r="AC1019" s="1729"/>
      <c r="AD1019" s="1729"/>
      <c r="AE1019" s="1730"/>
      <c r="AF1019" s="1860"/>
      <c r="AG1019" s="1861"/>
      <c r="AH1019" s="1861"/>
      <c r="AI1019" s="1862"/>
      <c r="AJ1019" s="1783"/>
      <c r="AK1019" s="1784"/>
      <c r="AL1019" s="1784"/>
      <c r="AM1019" s="1784"/>
      <c r="AN1019" s="1784"/>
      <c r="AO1019" s="1784"/>
      <c r="AP1019" s="1784"/>
      <c r="AQ1019" s="1785"/>
      <c r="AR1019" s="68"/>
      <c r="AS1019" s="68"/>
      <c r="AT1019" s="68"/>
      <c r="AU1019" s="68"/>
      <c r="AV1019" s="68"/>
      <c r="AW1019" s="68"/>
      <c r="AX1019" s="68"/>
      <c r="AY1019" s="200">
        <f>IF(A1089="Yes",0.01,0)</f>
        <v>0</v>
      </c>
    </row>
    <row r="1020" spans="1:51" ht="12.95" customHeight="1">
      <c r="A1020" s="14"/>
      <c r="B1020" s="79"/>
      <c r="C1020" s="80" t="s">
        <v>222</v>
      </c>
      <c r="D1020" s="1812" t="s">
        <v>1292</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33" t="s">
        <v>669</v>
      </c>
      <c r="AH1020" s="1734"/>
      <c r="AI1020" s="87"/>
      <c r="AJ1020" s="1777">
        <f>ROUND(IF(AND(AG1020="Yes",J1024&lt;&gt;"N/A",AF1023&lt;&gt;""),MIN(AF1023,(0.15*AJ992)),0),0)</f>
        <v>0</v>
      </c>
      <c r="AK1020" s="1778"/>
      <c r="AL1020" s="1778"/>
      <c r="AM1020" s="1778"/>
      <c r="AN1020" s="1778"/>
      <c r="AO1020" s="1778"/>
      <c r="AP1020" s="1778"/>
      <c r="AQ1020" s="1779"/>
      <c r="AR1020" s="68"/>
      <c r="AS1020" s="68"/>
      <c r="AT1020" s="68"/>
      <c r="AU1020" s="68"/>
      <c r="AV1020" s="68"/>
      <c r="AW1020" s="68"/>
      <c r="AX1020" s="68"/>
      <c r="AY1020" s="200">
        <f>IF(A1094="Yes",0.01,0)</f>
        <v>0</v>
      </c>
    </row>
    <row r="1021" spans="1:51" ht="12.9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80"/>
      <c r="AK1021" s="1781"/>
      <c r="AL1021" s="1781"/>
      <c r="AM1021" s="1781"/>
      <c r="AN1021" s="1781"/>
      <c r="AO1021" s="1781"/>
      <c r="AP1021" s="1781"/>
      <c r="AQ1021" s="1782"/>
      <c r="AR1021" s="68"/>
      <c r="AS1021" s="68"/>
      <c r="AT1021" s="68"/>
      <c r="AU1021" s="68"/>
      <c r="AV1021" s="68"/>
      <c r="AW1021" s="68"/>
      <c r="AX1021" s="68"/>
      <c r="AY1021" s="200">
        <f>IF(A1097="Yes",0.01,0)</f>
        <v>0</v>
      </c>
    </row>
    <row r="1022" spans="1:51" ht="12.95" customHeight="1">
      <c r="A1022" s="14"/>
      <c r="B1022" s="81"/>
      <c r="C1022" s="84"/>
      <c r="D1022" s="1692" t="s">
        <v>1293</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1829"/>
      <c r="AG1022" s="1830"/>
      <c r="AH1022" s="1830"/>
      <c r="AI1022" s="1831"/>
      <c r="AJ1022" s="1780"/>
      <c r="AK1022" s="1781"/>
      <c r="AL1022" s="1781"/>
      <c r="AM1022" s="1781"/>
      <c r="AN1022" s="1781"/>
      <c r="AO1022" s="1781"/>
      <c r="AP1022" s="1781"/>
      <c r="AQ1022" s="1782"/>
      <c r="AR1022" s="68"/>
      <c r="AS1022" s="68"/>
      <c r="AT1022" s="68"/>
      <c r="AU1022" s="68"/>
      <c r="AV1022" s="68"/>
      <c r="AW1022" s="68"/>
      <c r="AX1022" s="68"/>
      <c r="AY1022" s="200">
        <f>IF(A1100="Yes",0.02,0)</f>
        <v>0</v>
      </c>
    </row>
    <row r="1023" spans="1:51" ht="12.95" customHeight="1">
      <c r="A1023" s="14"/>
      <c r="B1023" s="81"/>
      <c r="C1023" s="84"/>
      <c r="D1023" s="1692"/>
      <c r="E1023" s="1693"/>
      <c r="F1023" s="1693"/>
      <c r="G1023" s="1693"/>
      <c r="H1023" s="1693"/>
      <c r="I1023" s="1693"/>
      <c r="J1023" s="1693"/>
      <c r="K1023" s="1693"/>
      <c r="L1023" s="1693"/>
      <c r="M1023" s="1693"/>
      <c r="N1023" s="1693"/>
      <c r="O1023" s="1693"/>
      <c r="P1023" s="1693"/>
      <c r="Q1023" s="1693"/>
      <c r="R1023" s="1693"/>
      <c r="S1023" s="1693"/>
      <c r="T1023" s="1693"/>
      <c r="U1023" s="1693"/>
      <c r="V1023" s="1693"/>
      <c r="W1023" s="1693"/>
      <c r="X1023" s="1693"/>
      <c r="Y1023" s="1693"/>
      <c r="Z1023" s="1693"/>
      <c r="AA1023" s="1693"/>
      <c r="AB1023" s="1693"/>
      <c r="AC1023" s="1693"/>
      <c r="AD1023" s="1693"/>
      <c r="AE1023" s="1694"/>
      <c r="AF1023" s="1755"/>
      <c r="AG1023" s="1755"/>
      <c r="AH1023" s="1755"/>
      <c r="AI1023" s="1755"/>
      <c r="AJ1023" s="1780"/>
      <c r="AK1023" s="1781"/>
      <c r="AL1023" s="1781"/>
      <c r="AM1023" s="1781"/>
      <c r="AN1023" s="1781"/>
      <c r="AO1023" s="1781"/>
      <c r="AP1023" s="1781"/>
      <c r="AQ1023" s="1782"/>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821" t="s">
        <v>591</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55"/>
      <c r="AG1024" s="1755"/>
      <c r="AH1024" s="1755"/>
      <c r="AI1024" s="1755"/>
      <c r="AJ1024" s="1783"/>
      <c r="AK1024" s="1784"/>
      <c r="AL1024" s="1784"/>
      <c r="AM1024" s="1784"/>
      <c r="AN1024" s="1784"/>
      <c r="AO1024" s="1784"/>
      <c r="AP1024" s="1784"/>
      <c r="AQ1024" s="1785"/>
      <c r="AR1024" s="68"/>
      <c r="AS1024" s="68"/>
      <c r="AT1024" s="68"/>
      <c r="AU1024" s="68"/>
      <c r="AV1024" s="68"/>
      <c r="AW1024" s="68"/>
      <c r="AX1024" s="68"/>
      <c r="AY1024" s="68"/>
    </row>
    <row r="1025" spans="1:57" ht="12.95" customHeight="1">
      <c r="A1025" s="14"/>
      <c r="B1025" s="79"/>
      <c r="C1025" s="80" t="s">
        <v>228</v>
      </c>
      <c r="D1025" s="1746" t="s">
        <v>1294</v>
      </c>
      <c r="E1025" s="1747"/>
      <c r="F1025" s="1747"/>
      <c r="G1025" s="1747"/>
      <c r="H1025" s="1747"/>
      <c r="I1025" s="1747"/>
      <c r="J1025" s="1747"/>
      <c r="K1025" s="1747"/>
      <c r="L1025" s="1747"/>
      <c r="M1025" s="1747"/>
      <c r="N1025" s="1747"/>
      <c r="O1025" s="1747"/>
      <c r="P1025" s="1747"/>
      <c r="Q1025" s="1747"/>
      <c r="R1025" s="1747"/>
      <c r="S1025" s="1747"/>
      <c r="T1025" s="1747"/>
      <c r="U1025" s="1747"/>
      <c r="V1025" s="1747"/>
      <c r="W1025" s="1747"/>
      <c r="X1025" s="1747"/>
      <c r="Y1025" s="1747"/>
      <c r="Z1025" s="1747"/>
      <c r="AA1025" s="1747"/>
      <c r="AB1025" s="1747"/>
      <c r="AC1025" s="1747"/>
      <c r="AD1025" s="1747"/>
      <c r="AE1025" s="1748"/>
      <c r="AF1025" s="79"/>
      <c r="AG1025" s="1733" t="s">
        <v>545</v>
      </c>
      <c r="AH1025" s="1734"/>
      <c r="AI1025" s="87"/>
      <c r="AJ1025" s="1777">
        <f>ROUND(IF(AG1025="Yes",AF1027,0),0)</f>
        <v>470930</v>
      </c>
      <c r="AK1025" s="1778"/>
      <c r="AL1025" s="1778"/>
      <c r="AM1025" s="1778"/>
      <c r="AN1025" s="1778"/>
      <c r="AO1025" s="1778"/>
      <c r="AP1025" s="1778"/>
      <c r="AQ1025" s="1779"/>
      <c r="AR1025" s="68"/>
      <c r="AS1025" s="68"/>
      <c r="AT1025" s="68"/>
      <c r="AU1025" s="68"/>
      <c r="AV1025" s="68"/>
      <c r="AW1025" s="68"/>
      <c r="AX1025" s="68"/>
      <c r="AY1025" s="68"/>
    </row>
    <row r="1026" spans="1:57" ht="12.95" customHeight="1">
      <c r="A1026" s="14"/>
      <c r="B1026" s="73"/>
      <c r="C1026" s="74"/>
      <c r="D1026" s="1692" t="s">
        <v>1690</v>
      </c>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4"/>
      <c r="AF1026" s="1818" t="str">
        <f>IF(AG1025="yes","Enter Amount:","")</f>
        <v>Enter Amount:</v>
      </c>
      <c r="AG1026" s="1819"/>
      <c r="AH1026" s="1819"/>
      <c r="AI1026" s="1820"/>
      <c r="AJ1026" s="1780"/>
      <c r="AK1026" s="1781"/>
      <c r="AL1026" s="1781"/>
      <c r="AM1026" s="1781"/>
      <c r="AN1026" s="1781"/>
      <c r="AO1026" s="1781"/>
      <c r="AP1026" s="1781"/>
      <c r="AQ1026" s="1782"/>
      <c r="AR1026" s="68"/>
      <c r="AS1026" s="68"/>
      <c r="AT1026" s="68"/>
      <c r="AU1026" s="68"/>
      <c r="AV1026" s="68"/>
      <c r="AW1026" s="68"/>
      <c r="AX1026" s="68"/>
      <c r="AY1026" s="68"/>
    </row>
    <row r="1027" spans="1:57" ht="12.95" customHeight="1">
      <c r="A1027" s="14"/>
      <c r="B1027" s="73"/>
      <c r="C1027" s="7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55">
        <v>470930.31</v>
      </c>
      <c r="AG1027" s="1755"/>
      <c r="AH1027" s="1755"/>
      <c r="AI1027" s="1755"/>
      <c r="AJ1027" s="1780"/>
      <c r="AK1027" s="1781"/>
      <c r="AL1027" s="1781"/>
      <c r="AM1027" s="1781"/>
      <c r="AN1027" s="1781"/>
      <c r="AO1027" s="1781"/>
      <c r="AP1027" s="1781"/>
      <c r="AQ1027" s="1782"/>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28"/>
      <c r="E1028" s="1729"/>
      <c r="F1028" s="1729"/>
      <c r="G1028" s="1729"/>
      <c r="H1028" s="1729"/>
      <c r="I1028" s="1729"/>
      <c r="J1028" s="1729"/>
      <c r="K1028" s="1729"/>
      <c r="L1028" s="1729"/>
      <c r="M1028" s="1729"/>
      <c r="N1028" s="1729"/>
      <c r="O1028" s="1729"/>
      <c r="P1028" s="1729"/>
      <c r="Q1028" s="1729"/>
      <c r="R1028" s="1729"/>
      <c r="S1028" s="1729"/>
      <c r="T1028" s="1729"/>
      <c r="U1028" s="1729"/>
      <c r="V1028" s="1729"/>
      <c r="W1028" s="1729"/>
      <c r="X1028" s="1729"/>
      <c r="Y1028" s="1729"/>
      <c r="Z1028" s="1729"/>
      <c r="AA1028" s="1729"/>
      <c r="AB1028" s="1729"/>
      <c r="AC1028" s="1729"/>
      <c r="AD1028" s="1729"/>
      <c r="AE1028" s="1730"/>
      <c r="AF1028" s="1755"/>
      <c r="AG1028" s="1755"/>
      <c r="AH1028" s="1755"/>
      <c r="AI1028" s="1755"/>
      <c r="AJ1028" s="1783"/>
      <c r="AK1028" s="1784"/>
      <c r="AL1028" s="1784"/>
      <c r="AM1028" s="1784"/>
      <c r="AN1028" s="1784"/>
      <c r="AO1028" s="1784"/>
      <c r="AP1028" s="1784"/>
      <c r="AQ1028" s="1785"/>
      <c r="AR1028" s="68"/>
      <c r="AS1028" s="68"/>
      <c r="AT1028" s="68"/>
      <c r="AU1028" s="68"/>
      <c r="AV1028" s="68"/>
      <c r="AW1028" s="68"/>
      <c r="AX1028" s="68"/>
      <c r="AY1028" s="68"/>
    </row>
    <row r="1029" spans="1:57" ht="12.95" customHeight="1">
      <c r="A1029" s="14"/>
      <c r="B1029" s="79"/>
      <c r="C1029" s="80" t="s">
        <v>233</v>
      </c>
      <c r="D1029" s="1725" t="s">
        <v>1295</v>
      </c>
      <c r="E1029" s="1726"/>
      <c r="F1029" s="1726"/>
      <c r="G1029" s="1726"/>
      <c r="H1029" s="1726"/>
      <c r="I1029" s="1726"/>
      <c r="J1029" s="1726"/>
      <c r="K1029" s="1726"/>
      <c r="L1029" s="1726"/>
      <c r="M1029" s="1726"/>
      <c r="N1029" s="1726"/>
      <c r="O1029" s="1726"/>
      <c r="P1029" s="1726"/>
      <c r="Q1029" s="1726"/>
      <c r="R1029" s="1726"/>
      <c r="S1029" s="1726"/>
      <c r="T1029" s="1726"/>
      <c r="U1029" s="1726"/>
      <c r="V1029" s="1726"/>
      <c r="W1029" s="1726"/>
      <c r="X1029" s="1726"/>
      <c r="Y1029" s="1726"/>
      <c r="Z1029" s="1726"/>
      <c r="AA1029" s="1726"/>
      <c r="AB1029" s="1726"/>
      <c r="AC1029" s="1726"/>
      <c r="AD1029" s="1726"/>
      <c r="AE1029" s="1727"/>
      <c r="AF1029" s="79"/>
      <c r="AG1029" s="1733" t="s">
        <v>545</v>
      </c>
      <c r="AH1029" s="1734"/>
      <c r="AI1029" s="87"/>
      <c r="AJ1029" s="1777">
        <f>ROUND(IF(AG1029="yes",(AJ992*0.1),0),0)</f>
        <v>4610384</v>
      </c>
      <c r="AK1029" s="1778"/>
      <c r="AL1029" s="1778"/>
      <c r="AM1029" s="1778"/>
      <c r="AN1029" s="1778"/>
      <c r="AO1029" s="1778"/>
      <c r="AP1029" s="1778"/>
      <c r="AQ1029" s="1779"/>
      <c r="AR1029" s="68"/>
      <c r="AS1029" s="68"/>
      <c r="AT1029" s="68"/>
      <c r="AU1029" s="68"/>
      <c r="AV1029" s="68"/>
      <c r="AW1029" s="68"/>
      <c r="AX1029" s="68"/>
      <c r="AY1029" s="68"/>
    </row>
    <row r="1030" spans="1:57" ht="12.95" customHeight="1">
      <c r="A1030" s="14"/>
      <c r="B1030" s="73"/>
      <c r="C1030" s="74"/>
      <c r="D1030" s="1692" t="s">
        <v>1296</v>
      </c>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780"/>
      <c r="AK1030" s="1781"/>
      <c r="AL1030" s="1781"/>
      <c r="AM1030" s="1781"/>
      <c r="AN1030" s="1781"/>
      <c r="AO1030" s="1781"/>
      <c r="AP1030" s="1781"/>
      <c r="AQ1030" s="1782"/>
      <c r="AR1030" s="68"/>
      <c r="AS1030" s="68"/>
      <c r="AT1030" s="68"/>
      <c r="AU1030" s="68"/>
      <c r="AV1030" s="68"/>
      <c r="AW1030" s="68"/>
      <c r="AX1030" s="68"/>
      <c r="AY1030" s="68"/>
    </row>
    <row r="1031" spans="1:57" ht="12.95" customHeight="1">
      <c r="A1031" s="14"/>
      <c r="B1031" s="77"/>
      <c r="C1031" s="74"/>
      <c r="D1031" s="1728"/>
      <c r="E1031" s="1729"/>
      <c r="F1031" s="1729"/>
      <c r="G1031" s="1729"/>
      <c r="H1031" s="1729"/>
      <c r="I1031" s="1729"/>
      <c r="J1031" s="1729"/>
      <c r="K1031" s="1729"/>
      <c r="L1031" s="1729"/>
      <c r="M1031" s="1729"/>
      <c r="N1031" s="1729"/>
      <c r="O1031" s="1729"/>
      <c r="P1031" s="1729"/>
      <c r="Q1031" s="1729"/>
      <c r="R1031" s="1729"/>
      <c r="S1031" s="1729"/>
      <c r="T1031" s="1729"/>
      <c r="U1031" s="1729"/>
      <c r="V1031" s="1729"/>
      <c r="W1031" s="1729"/>
      <c r="X1031" s="1729"/>
      <c r="Y1031" s="1729"/>
      <c r="Z1031" s="1729"/>
      <c r="AA1031" s="1729"/>
      <c r="AB1031" s="1729"/>
      <c r="AC1031" s="1729"/>
      <c r="AD1031" s="1729"/>
      <c r="AE1031" s="1730"/>
      <c r="AF1031" s="73"/>
      <c r="AG1031" s="14"/>
      <c r="AH1031" s="14"/>
      <c r="AI1031" s="83"/>
      <c r="AJ1031" s="1783"/>
      <c r="AK1031" s="1784"/>
      <c r="AL1031" s="1784"/>
      <c r="AM1031" s="1784"/>
      <c r="AN1031" s="1784"/>
      <c r="AO1031" s="1784"/>
      <c r="AP1031" s="1784"/>
      <c r="AQ1031" s="1785"/>
      <c r="AR1031" s="68"/>
      <c r="AS1031" s="68"/>
      <c r="AT1031" s="68"/>
      <c r="AU1031" s="68"/>
      <c r="AV1031" s="68"/>
      <c r="AW1031" s="68"/>
      <c r="AX1031" s="68"/>
      <c r="AY1031" s="68"/>
    </row>
    <row r="1032" spans="1:57" ht="12.95" customHeight="1">
      <c r="A1032" s="14"/>
      <c r="B1032" s="73"/>
      <c r="C1032" s="340" t="s">
        <v>687</v>
      </c>
      <c r="D1032" s="1746" t="s">
        <v>1686</v>
      </c>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79"/>
      <c r="AG1032" s="1733" t="s">
        <v>545</v>
      </c>
      <c r="AH1032" s="1734"/>
      <c r="AI1032" s="87"/>
      <c r="AJ1032" s="1777">
        <f>ROUND(IF(AG1032="yes",(AJ992*0.15),0),0)</f>
        <v>6915576</v>
      </c>
      <c r="AK1032" s="1778"/>
      <c r="AL1032" s="1778"/>
      <c r="AM1032" s="1778"/>
      <c r="AN1032" s="1778"/>
      <c r="AO1032" s="1778"/>
      <c r="AP1032" s="1778"/>
      <c r="AQ1032" s="1779"/>
      <c r="AR1032" s="68"/>
      <c r="AS1032" s="68"/>
      <c r="AT1032" s="68"/>
      <c r="AU1032" s="68"/>
      <c r="AV1032" s="68"/>
      <c r="AW1032" s="68"/>
      <c r="AX1032" s="68"/>
      <c r="AY1032" s="68"/>
    </row>
    <row r="1033" spans="1:57" ht="12.95" customHeight="1">
      <c r="A1033" s="14"/>
      <c r="B1033" s="73"/>
      <c r="C1033" s="74"/>
      <c r="D1033" s="1794" t="s">
        <v>1687</v>
      </c>
      <c r="E1033" s="1281"/>
      <c r="F1033" s="1281"/>
      <c r="G1033" s="1281"/>
      <c r="H1033" s="1281"/>
      <c r="I1033" s="1281"/>
      <c r="J1033" s="1281"/>
      <c r="K1033" s="1281"/>
      <c r="L1033" s="1281"/>
      <c r="M1033" s="1281"/>
      <c r="N1033" s="1281"/>
      <c r="O1033" s="1281"/>
      <c r="P1033" s="1281"/>
      <c r="Q1033" s="1281"/>
      <c r="R1033" s="1281"/>
      <c r="S1033" s="1281"/>
      <c r="T1033" s="1281"/>
      <c r="U1033" s="1281"/>
      <c r="V1033" s="1281"/>
      <c r="W1033" s="1281"/>
      <c r="X1033" s="1281"/>
      <c r="Y1033" s="1281"/>
      <c r="Z1033" s="1281"/>
      <c r="AA1033" s="1281"/>
      <c r="AB1033" s="1281"/>
      <c r="AC1033" s="1281"/>
      <c r="AD1033" s="1281"/>
      <c r="AE1033" s="1795"/>
      <c r="AF1033" s="916"/>
      <c r="AG1033" s="917"/>
      <c r="AH1033" s="917"/>
      <c r="AI1033" s="918"/>
      <c r="AJ1033" s="1780"/>
      <c r="AK1033" s="1781"/>
      <c r="AL1033" s="1781"/>
      <c r="AM1033" s="1781"/>
      <c r="AN1033" s="1781"/>
      <c r="AO1033" s="1781"/>
      <c r="AP1033" s="1781"/>
      <c r="AQ1033" s="1782"/>
      <c r="AR1033" s="68"/>
      <c r="AS1033" s="68"/>
      <c r="AT1033" s="68"/>
      <c r="AU1033" s="68"/>
      <c r="AV1033" s="68"/>
      <c r="AW1033" s="68"/>
      <c r="AX1033" s="68"/>
      <c r="AY1033" s="68"/>
    </row>
    <row r="1034" spans="1:57" ht="12.95" customHeight="1">
      <c r="A1034" s="14"/>
      <c r="B1034" s="73"/>
      <c r="C1034" s="74"/>
      <c r="D1034" s="1794"/>
      <c r="E1034" s="1281"/>
      <c r="F1034" s="1281"/>
      <c r="G1034" s="1281"/>
      <c r="H1034" s="1281"/>
      <c r="I1034" s="1281"/>
      <c r="J1034" s="1281"/>
      <c r="K1034" s="1281"/>
      <c r="L1034" s="1281"/>
      <c r="M1034" s="1281"/>
      <c r="N1034" s="1281"/>
      <c r="O1034" s="1281"/>
      <c r="P1034" s="1281"/>
      <c r="Q1034" s="1281"/>
      <c r="R1034" s="1281"/>
      <c r="S1034" s="1281"/>
      <c r="T1034" s="1281"/>
      <c r="U1034" s="1281"/>
      <c r="V1034" s="1281"/>
      <c r="W1034" s="1281"/>
      <c r="X1034" s="1281"/>
      <c r="Y1034" s="1281"/>
      <c r="Z1034" s="1281"/>
      <c r="AA1034" s="1281"/>
      <c r="AB1034" s="1281"/>
      <c r="AC1034" s="1281"/>
      <c r="AD1034" s="1281"/>
      <c r="AE1034" s="1795"/>
      <c r="AF1034" s="916"/>
      <c r="AG1034" s="917"/>
      <c r="AH1034" s="917"/>
      <c r="AI1034" s="918"/>
      <c r="AJ1034" s="1780"/>
      <c r="AK1034" s="1781"/>
      <c r="AL1034" s="1781"/>
      <c r="AM1034" s="1781"/>
      <c r="AN1034" s="1781"/>
      <c r="AO1034" s="1781"/>
      <c r="AP1034" s="1781"/>
      <c r="AQ1034" s="1782"/>
      <c r="AR1034" s="68"/>
      <c r="AS1034" s="68"/>
      <c r="AT1034" s="68"/>
      <c r="AU1034" s="68"/>
      <c r="AV1034" s="68"/>
      <c r="AW1034" s="68"/>
      <c r="AX1034" s="68"/>
      <c r="AY1034" s="68"/>
    </row>
    <row r="1035" spans="1:57" ht="12.95" customHeight="1">
      <c r="A1035" s="14"/>
      <c r="B1035" s="73"/>
      <c r="C1035" s="74"/>
      <c r="D1035" s="1796"/>
      <c r="E1035" s="1797"/>
      <c r="F1035" s="1797"/>
      <c r="G1035" s="1797"/>
      <c r="H1035" s="1797"/>
      <c r="I1035" s="1797"/>
      <c r="J1035" s="1797"/>
      <c r="K1035" s="1797"/>
      <c r="L1035" s="1797"/>
      <c r="M1035" s="1797"/>
      <c r="N1035" s="1797"/>
      <c r="O1035" s="1797"/>
      <c r="P1035" s="1797"/>
      <c r="Q1035" s="1797"/>
      <c r="R1035" s="1797"/>
      <c r="S1035" s="1797"/>
      <c r="T1035" s="1797"/>
      <c r="U1035" s="1797"/>
      <c r="V1035" s="1797"/>
      <c r="W1035" s="1797"/>
      <c r="X1035" s="1797"/>
      <c r="Y1035" s="1797"/>
      <c r="Z1035" s="1797"/>
      <c r="AA1035" s="1797"/>
      <c r="AB1035" s="1797"/>
      <c r="AC1035" s="1797"/>
      <c r="AD1035" s="1797"/>
      <c r="AE1035" s="1798"/>
      <c r="AF1035" s="919"/>
      <c r="AG1035" s="920"/>
      <c r="AH1035" s="920"/>
      <c r="AI1035" s="921"/>
      <c r="AJ1035" s="1783"/>
      <c r="AK1035" s="1784"/>
      <c r="AL1035" s="1784"/>
      <c r="AM1035" s="1784"/>
      <c r="AN1035" s="1784"/>
      <c r="AO1035" s="1784"/>
      <c r="AP1035" s="1784"/>
      <c r="AQ1035" s="1785"/>
      <c r="AR1035" s="68"/>
      <c r="AS1035" s="68"/>
      <c r="AT1035" s="68"/>
      <c r="AU1035" s="68"/>
      <c r="AV1035" s="68"/>
      <c r="AW1035" s="68"/>
      <c r="AX1035" s="68"/>
      <c r="AY1035" s="68"/>
    </row>
    <row r="1036" spans="1:57" ht="12.95" customHeight="1">
      <c r="A1036" s="14"/>
      <c r="B1036" s="73"/>
      <c r="C1036" s="340" t="s">
        <v>687</v>
      </c>
      <c r="D1036" s="1725" t="s">
        <v>1688</v>
      </c>
      <c r="E1036" s="1726"/>
      <c r="F1036" s="1726"/>
      <c r="G1036" s="1726"/>
      <c r="H1036" s="1726"/>
      <c r="I1036" s="1726"/>
      <c r="J1036" s="1726"/>
      <c r="K1036" s="1726"/>
      <c r="L1036" s="1726"/>
      <c r="M1036" s="1726"/>
      <c r="N1036" s="1726"/>
      <c r="O1036" s="1726"/>
      <c r="P1036" s="1726"/>
      <c r="Q1036" s="1726"/>
      <c r="R1036" s="1726"/>
      <c r="S1036" s="1726"/>
      <c r="T1036" s="1726"/>
      <c r="U1036" s="1726"/>
      <c r="V1036" s="1726"/>
      <c r="W1036" s="1726"/>
      <c r="X1036" s="1726"/>
      <c r="Y1036" s="1726"/>
      <c r="Z1036" s="1726"/>
      <c r="AA1036" s="1726"/>
      <c r="AB1036" s="1726"/>
      <c r="AC1036" s="1726"/>
      <c r="AD1036" s="1726"/>
      <c r="AE1036" s="1727"/>
      <c r="AF1036" s="73"/>
      <c r="AG1036" s="1735" t="s">
        <v>669</v>
      </c>
      <c r="AH1036" s="1736"/>
      <c r="AI1036" s="83"/>
      <c r="AJ1036" s="1777">
        <f>ROUND(IF(AND(AG1036="yes",AJ1032=0),(AJ992*0.1),0),0)</f>
        <v>0</v>
      </c>
      <c r="AK1036" s="1778"/>
      <c r="AL1036" s="1778"/>
      <c r="AM1036" s="1778"/>
      <c r="AN1036" s="1778"/>
      <c r="AO1036" s="1778"/>
      <c r="AP1036" s="1778"/>
      <c r="AQ1036" s="1779"/>
      <c r="AR1036" s="68"/>
      <c r="AS1036" s="68"/>
      <c r="AT1036" s="68"/>
      <c r="AU1036" s="68"/>
      <c r="AV1036" s="68"/>
      <c r="AW1036" s="68"/>
      <c r="AX1036" s="68"/>
      <c r="AY1036" s="68"/>
    </row>
    <row r="1037" spans="1:57" ht="12.95" customHeight="1">
      <c r="A1037" s="14"/>
      <c r="B1037" s="73"/>
      <c r="C1037" s="74"/>
      <c r="D1037" s="1794" t="s">
        <v>1689</v>
      </c>
      <c r="E1037" s="1281"/>
      <c r="F1037" s="1281"/>
      <c r="G1037" s="1281"/>
      <c r="H1037" s="1281"/>
      <c r="I1037" s="1281"/>
      <c r="J1037" s="1281"/>
      <c r="K1037" s="1281"/>
      <c r="L1037" s="1281"/>
      <c r="M1037" s="1281"/>
      <c r="N1037" s="1281"/>
      <c r="O1037" s="1281"/>
      <c r="P1037" s="1281"/>
      <c r="Q1037" s="1281"/>
      <c r="R1037" s="1281"/>
      <c r="S1037" s="1281"/>
      <c r="T1037" s="1281"/>
      <c r="U1037" s="1281"/>
      <c r="V1037" s="1281"/>
      <c r="W1037" s="1281"/>
      <c r="X1037" s="1281"/>
      <c r="Y1037" s="1281"/>
      <c r="Z1037" s="1281"/>
      <c r="AA1037" s="1281"/>
      <c r="AB1037" s="1281"/>
      <c r="AC1037" s="1281"/>
      <c r="AD1037" s="1281"/>
      <c r="AE1037" s="1795"/>
      <c r="AF1037" s="73"/>
      <c r="AG1037" s="14"/>
      <c r="AH1037" s="14"/>
      <c r="AI1037" s="83"/>
      <c r="AJ1037" s="1780"/>
      <c r="AK1037" s="1781"/>
      <c r="AL1037" s="1781"/>
      <c r="AM1037" s="1781"/>
      <c r="AN1037" s="1781"/>
      <c r="AO1037" s="1781"/>
      <c r="AP1037" s="1781"/>
      <c r="AQ1037" s="1782"/>
      <c r="AR1037" s="68"/>
      <c r="AS1037" s="68"/>
      <c r="AT1037" s="68"/>
      <c r="AU1037" s="68"/>
      <c r="AV1037" s="68"/>
      <c r="AW1037" s="68"/>
      <c r="AX1037" s="68"/>
      <c r="AY1037" s="68"/>
    </row>
    <row r="1038" spans="1:57" ht="12.95" customHeight="1">
      <c r="A1038" s="14"/>
      <c r="B1038" s="73"/>
      <c r="C1038" s="74"/>
      <c r="D1038" s="1794"/>
      <c r="E1038" s="1281"/>
      <c r="F1038" s="1281"/>
      <c r="G1038" s="1281"/>
      <c r="H1038" s="1281"/>
      <c r="I1038" s="1281"/>
      <c r="J1038" s="1281"/>
      <c r="K1038" s="1281"/>
      <c r="L1038" s="1281"/>
      <c r="M1038" s="1281"/>
      <c r="N1038" s="1281"/>
      <c r="O1038" s="1281"/>
      <c r="P1038" s="1281"/>
      <c r="Q1038" s="1281"/>
      <c r="R1038" s="1281"/>
      <c r="S1038" s="1281"/>
      <c r="T1038" s="1281"/>
      <c r="U1038" s="1281"/>
      <c r="V1038" s="1281"/>
      <c r="W1038" s="1281"/>
      <c r="X1038" s="1281"/>
      <c r="Y1038" s="1281"/>
      <c r="Z1038" s="1281"/>
      <c r="AA1038" s="1281"/>
      <c r="AB1038" s="1281"/>
      <c r="AC1038" s="1281"/>
      <c r="AD1038" s="1281"/>
      <c r="AE1038" s="1795"/>
      <c r="AF1038" s="73"/>
      <c r="AG1038" s="14"/>
      <c r="AH1038" s="14"/>
      <c r="AI1038" s="83"/>
      <c r="AJ1038" s="1780"/>
      <c r="AK1038" s="1781"/>
      <c r="AL1038" s="1781"/>
      <c r="AM1038" s="1781"/>
      <c r="AN1038" s="1781"/>
      <c r="AO1038" s="1781"/>
      <c r="AP1038" s="1781"/>
      <c r="AQ1038" s="1782"/>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794"/>
      <c r="E1039" s="1281"/>
      <c r="F1039" s="1281"/>
      <c r="G1039" s="1281"/>
      <c r="H1039" s="1281"/>
      <c r="I1039" s="1281"/>
      <c r="J1039" s="1281"/>
      <c r="K1039" s="1281"/>
      <c r="L1039" s="1281"/>
      <c r="M1039" s="1281"/>
      <c r="N1039" s="1281"/>
      <c r="O1039" s="1281"/>
      <c r="P1039" s="1281"/>
      <c r="Q1039" s="1281"/>
      <c r="R1039" s="1281"/>
      <c r="S1039" s="1281"/>
      <c r="T1039" s="1281"/>
      <c r="U1039" s="1281"/>
      <c r="V1039" s="1281"/>
      <c r="W1039" s="1281"/>
      <c r="X1039" s="1281"/>
      <c r="Y1039" s="1281"/>
      <c r="Z1039" s="1281"/>
      <c r="AA1039" s="1281"/>
      <c r="AB1039" s="1281"/>
      <c r="AC1039" s="1281"/>
      <c r="AD1039" s="1281"/>
      <c r="AE1039" s="1795"/>
      <c r="AF1039" s="73"/>
      <c r="AG1039" s="14"/>
      <c r="AH1039" s="14"/>
      <c r="AI1039" s="83"/>
      <c r="AJ1039" s="1780"/>
      <c r="AK1039" s="1781"/>
      <c r="AL1039" s="1781"/>
      <c r="AM1039" s="1781"/>
      <c r="AN1039" s="1781"/>
      <c r="AO1039" s="1781"/>
      <c r="AP1039" s="1781"/>
      <c r="AQ1039" s="1782"/>
      <c r="AR1039" s="68"/>
      <c r="AS1039" s="68"/>
      <c r="AT1039" s="68"/>
      <c r="AU1039" s="68"/>
      <c r="AV1039" s="68"/>
      <c r="AW1039" s="68"/>
      <c r="AX1039" s="68"/>
      <c r="AY1039" s="68"/>
      <c r="BA1039">
        <f>IFERROR((($CI$753+$CM$753)/$AG$440),0)</f>
        <v>1</v>
      </c>
      <c r="BB1039" s="3" t="s">
        <v>2496</v>
      </c>
    </row>
    <row r="1040" spans="1:57" ht="12.95" customHeight="1">
      <c r="A1040" s="14"/>
      <c r="B1040" s="73"/>
      <c r="C1040" s="74"/>
      <c r="D1040" s="1796"/>
      <c r="E1040" s="1797"/>
      <c r="F1040" s="1797"/>
      <c r="G1040" s="1797"/>
      <c r="H1040" s="1797"/>
      <c r="I1040" s="1797"/>
      <c r="J1040" s="1797"/>
      <c r="K1040" s="1797"/>
      <c r="L1040" s="1797"/>
      <c r="M1040" s="1797"/>
      <c r="N1040" s="1797"/>
      <c r="O1040" s="1797"/>
      <c r="P1040" s="1797"/>
      <c r="Q1040" s="1797"/>
      <c r="R1040" s="1797"/>
      <c r="S1040" s="1797"/>
      <c r="T1040" s="1797"/>
      <c r="U1040" s="1797"/>
      <c r="V1040" s="1797"/>
      <c r="W1040" s="1797"/>
      <c r="X1040" s="1797"/>
      <c r="Y1040" s="1797"/>
      <c r="Z1040" s="1797"/>
      <c r="AA1040" s="1797"/>
      <c r="AB1040" s="1797"/>
      <c r="AC1040" s="1797"/>
      <c r="AD1040" s="1797"/>
      <c r="AE1040" s="1798"/>
      <c r="AF1040" s="73"/>
      <c r="AG1040" s="14"/>
      <c r="AH1040" s="14"/>
      <c r="AI1040" s="83"/>
      <c r="AJ1040" s="1780"/>
      <c r="AK1040" s="1781"/>
      <c r="AL1040" s="1781"/>
      <c r="AM1040" s="1781"/>
      <c r="AN1040" s="1781"/>
      <c r="AO1040" s="1781"/>
      <c r="AP1040" s="1781"/>
      <c r="AQ1040" s="1782"/>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746" t="s">
        <v>1297</v>
      </c>
      <c r="E1041" s="1747"/>
      <c r="F1041" s="1747"/>
      <c r="G1041" s="1747"/>
      <c r="H1041" s="1747"/>
      <c r="I1041" s="1747"/>
      <c r="J1041" s="1747"/>
      <c r="K1041" s="1747"/>
      <c r="L1041" s="1747"/>
      <c r="M1041" s="1747"/>
      <c r="N1041" s="1747"/>
      <c r="O1041" s="1747"/>
      <c r="P1041" s="1747"/>
      <c r="Q1041" s="1747"/>
      <c r="R1041" s="1747"/>
      <c r="S1041" s="1747"/>
      <c r="T1041" s="1747"/>
      <c r="U1041" s="1747"/>
      <c r="V1041" s="1747"/>
      <c r="W1041" s="1747"/>
      <c r="X1041" s="1747"/>
      <c r="Y1041" s="1747"/>
      <c r="Z1041" s="1747"/>
      <c r="AA1041" s="1747"/>
      <c r="AB1041" s="1747"/>
      <c r="AC1041" s="1747"/>
      <c r="AD1041" s="1747"/>
      <c r="AE1041" s="1748"/>
      <c r="AF1041" s="79"/>
      <c r="AG1041" s="1733" t="s">
        <v>669</v>
      </c>
      <c r="AH1041" s="1734"/>
      <c r="AI1041" s="87"/>
      <c r="AJ1041" s="1777">
        <f>ROUND(IF(AG1041="yes",(AJ992*0.1),0),0)</f>
        <v>0</v>
      </c>
      <c r="AK1041" s="1778"/>
      <c r="AL1041" s="1778"/>
      <c r="AM1041" s="1778"/>
      <c r="AN1041" s="1778"/>
      <c r="AO1041" s="1778"/>
      <c r="AP1041" s="1778"/>
      <c r="AQ1041" s="1779"/>
      <c r="AR1041" s="68"/>
      <c r="AS1041" s="68"/>
      <c r="AT1041" s="68"/>
      <c r="AU1041" s="68"/>
      <c r="AV1041" s="68"/>
      <c r="AW1041" s="68"/>
      <c r="AX1041" s="68"/>
      <c r="AY1041" s="68"/>
      <c r="BA1041">
        <f>Q212</f>
        <v>20</v>
      </c>
      <c r="BB1041" s="3" t="s">
        <v>2494</v>
      </c>
    </row>
    <row r="1042" spans="1:56" ht="12.95" customHeight="1">
      <c r="A1042" s="14"/>
      <c r="B1042" s="73"/>
      <c r="C1042" s="74"/>
      <c r="D1042" s="1692" t="s">
        <v>2146</v>
      </c>
      <c r="E1042" s="1693"/>
      <c r="F1042" s="1693"/>
      <c r="G1042" s="1693"/>
      <c r="H1042" s="1693"/>
      <c r="I1042" s="1693"/>
      <c r="J1042" s="1693"/>
      <c r="K1042" s="1693"/>
      <c r="L1042" s="1693"/>
      <c r="M1042" s="1693"/>
      <c r="N1042" s="1693"/>
      <c r="O1042" s="1693"/>
      <c r="P1042" s="1693"/>
      <c r="Q1042" s="1693"/>
      <c r="R1042" s="1693"/>
      <c r="S1042" s="1693"/>
      <c r="T1042" s="1693"/>
      <c r="U1042" s="1693"/>
      <c r="V1042" s="1693"/>
      <c r="W1042" s="1693"/>
      <c r="X1042" s="1693"/>
      <c r="Y1042" s="1693"/>
      <c r="Z1042" s="1693"/>
      <c r="AA1042" s="1693"/>
      <c r="AB1042" s="1693"/>
      <c r="AC1042" s="1693"/>
      <c r="AD1042" s="1693"/>
      <c r="AE1042" s="1694"/>
      <c r="AF1042" s="73"/>
      <c r="AG1042" s="14"/>
      <c r="AH1042" s="14"/>
      <c r="AI1042" s="83"/>
      <c r="AJ1042" s="1780"/>
      <c r="AK1042" s="1781"/>
      <c r="AL1042" s="1781"/>
      <c r="AM1042" s="1781"/>
      <c r="AN1042" s="1781"/>
      <c r="AO1042" s="1781"/>
      <c r="AP1042" s="1781"/>
      <c r="AQ1042" s="1782"/>
      <c r="AR1042" s="68"/>
      <c r="AS1042" s="68"/>
      <c r="AT1042" s="68"/>
      <c r="AU1042" s="68"/>
      <c r="AV1042" s="68"/>
      <c r="AW1042" s="68"/>
      <c r="AX1042" s="68"/>
      <c r="AY1042" s="68"/>
      <c r="BA1042" s="1186">
        <f>T212</f>
        <v>0.20833333333333334</v>
      </c>
      <c r="BB1042" s="3" t="s">
        <v>2495</v>
      </c>
    </row>
    <row r="1043" spans="1:56" ht="12.95"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780"/>
      <c r="AK1043" s="1781"/>
      <c r="AL1043" s="1781"/>
      <c r="AM1043" s="1781"/>
      <c r="AN1043" s="1781"/>
      <c r="AO1043" s="1781"/>
      <c r="AP1043" s="1781"/>
      <c r="AQ1043" s="1782"/>
      <c r="AR1043" s="68"/>
      <c r="AS1043" s="68"/>
      <c r="AT1043" s="68"/>
      <c r="AU1043" s="68"/>
      <c r="AV1043" s="68"/>
      <c r="AW1043" s="68"/>
      <c r="AX1043" s="68"/>
      <c r="AY1043" s="68"/>
    </row>
    <row r="1044" spans="1:56" ht="12.95" customHeight="1">
      <c r="A1044" s="14"/>
      <c r="B1044" s="73"/>
      <c r="C1044" s="74"/>
      <c r="D1044" s="1728"/>
      <c r="E1044" s="1729"/>
      <c r="F1044" s="1729"/>
      <c r="G1044" s="1729"/>
      <c r="H1044" s="1729"/>
      <c r="I1044" s="1729"/>
      <c r="J1044" s="1729"/>
      <c r="K1044" s="1729"/>
      <c r="L1044" s="1729"/>
      <c r="M1044" s="1729"/>
      <c r="N1044" s="1729"/>
      <c r="O1044" s="1729"/>
      <c r="P1044" s="1729"/>
      <c r="Q1044" s="1729"/>
      <c r="R1044" s="1729"/>
      <c r="S1044" s="1729"/>
      <c r="T1044" s="1729"/>
      <c r="U1044" s="1729"/>
      <c r="V1044" s="1729"/>
      <c r="W1044" s="1729"/>
      <c r="X1044" s="1729"/>
      <c r="Y1044" s="1729"/>
      <c r="Z1044" s="1729"/>
      <c r="AA1044" s="1729"/>
      <c r="AB1044" s="1729"/>
      <c r="AC1044" s="1729"/>
      <c r="AD1044" s="1729"/>
      <c r="AE1044" s="1730"/>
      <c r="AF1044" s="73"/>
      <c r="AG1044" s="14"/>
      <c r="AH1044" s="14"/>
      <c r="AI1044" s="83"/>
      <c r="AJ1044" s="1783"/>
      <c r="AK1044" s="1784"/>
      <c r="AL1044" s="1784"/>
      <c r="AM1044" s="1784"/>
      <c r="AN1044" s="1784"/>
      <c r="AO1044" s="1784"/>
      <c r="AP1044" s="1784"/>
      <c r="AQ1044" s="1785"/>
      <c r="AR1044" s="68"/>
      <c r="AS1044" s="68"/>
      <c r="AT1044" s="68"/>
      <c r="AU1044" s="68"/>
      <c r="AV1044" s="68"/>
      <c r="AW1044" s="68"/>
      <c r="AX1044" s="68"/>
      <c r="AY1044" s="68"/>
    </row>
    <row r="1045" spans="1:56" ht="12.95" customHeight="1">
      <c r="A1045" s="14"/>
      <c r="B1045" s="79"/>
      <c r="C1045" s="131" t="s">
        <v>1684</v>
      </c>
      <c r="D1045" s="1725" t="s">
        <v>1865</v>
      </c>
      <c r="E1045" s="1726"/>
      <c r="F1045" s="1726"/>
      <c r="G1045" s="1726"/>
      <c r="H1045" s="1726"/>
      <c r="I1045" s="1726"/>
      <c r="J1045" s="1726"/>
      <c r="K1045" s="1726"/>
      <c r="L1045" s="1726"/>
      <c r="M1045" s="1726"/>
      <c r="N1045" s="1726"/>
      <c r="O1045" s="1726"/>
      <c r="P1045" s="1726"/>
      <c r="Q1045" s="1726"/>
      <c r="R1045" s="1726"/>
      <c r="S1045" s="1726"/>
      <c r="T1045" s="1726"/>
      <c r="U1045" s="1726"/>
      <c r="V1045" s="1726"/>
      <c r="W1045" s="1726"/>
      <c r="X1045" s="1726"/>
      <c r="Y1045" s="1726"/>
      <c r="Z1045" s="1726"/>
      <c r="AA1045" s="1726"/>
      <c r="AB1045" s="1726"/>
      <c r="AC1045" s="1726"/>
      <c r="AD1045" s="1726"/>
      <c r="AE1045" s="1727"/>
      <c r="AF1045" s="79"/>
      <c r="AG1045" s="1731" t="str">
        <f>IF(X1048&gt;0,"Yes","No")</f>
        <v>Yes</v>
      </c>
      <c r="AH1045" s="1732"/>
      <c r="AI1045" s="87"/>
      <c r="AJ1045" s="1777">
        <f>IF((X1048=0),0,AY1005*AJ992)</f>
        <v>27201265.599999998</v>
      </c>
      <c r="AK1045" s="1778"/>
      <c r="AL1045" s="1778"/>
      <c r="AM1045" s="1778"/>
      <c r="AN1045" s="1778"/>
      <c r="AO1045" s="1778"/>
      <c r="AP1045" s="1778"/>
      <c r="AQ1045" s="1779"/>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692" t="s">
        <v>1299</v>
      </c>
      <c r="E1046" s="1693"/>
      <c r="F1046" s="1693"/>
      <c r="G1046" s="1693"/>
      <c r="H1046" s="1693"/>
      <c r="I1046" s="1693"/>
      <c r="J1046" s="1693"/>
      <c r="K1046" s="1693"/>
      <c r="L1046" s="1693"/>
      <c r="M1046" s="1693"/>
      <c r="N1046" s="1693"/>
      <c r="O1046" s="1693"/>
      <c r="P1046" s="1693"/>
      <c r="Q1046" s="1693"/>
      <c r="R1046" s="1693"/>
      <c r="S1046" s="1693"/>
      <c r="T1046" s="1693"/>
      <c r="U1046" s="1693"/>
      <c r="V1046" s="1693"/>
      <c r="W1046" s="1693"/>
      <c r="X1046" s="1693"/>
      <c r="Y1046" s="1693"/>
      <c r="Z1046" s="1693"/>
      <c r="AA1046" s="1693"/>
      <c r="AB1046" s="1693"/>
      <c r="AC1046" s="1693"/>
      <c r="AD1046" s="1693"/>
      <c r="AE1046" s="1694"/>
      <c r="AF1046" s="73"/>
      <c r="AG1046" s="444"/>
      <c r="AH1046" s="444"/>
      <c r="AI1046" s="83"/>
      <c r="AJ1046" s="1780"/>
      <c r="AK1046" s="1781"/>
      <c r="AL1046" s="1781"/>
      <c r="AM1046" s="1781"/>
      <c r="AN1046" s="1781"/>
      <c r="AO1046" s="1781"/>
      <c r="AP1046" s="1781"/>
      <c r="AQ1046" s="1782"/>
      <c r="AR1046" s="68"/>
      <c r="AS1046" s="68"/>
      <c r="AT1046" s="68"/>
      <c r="AU1046" s="13"/>
      <c r="AV1046" s="68"/>
      <c r="AW1046" s="68"/>
      <c r="AX1046" s="68"/>
      <c r="AY1046" s="68"/>
      <c r="AZ1046" s="963">
        <f>'Sources and Uses Budget'!S97*BA1046</f>
        <v>10528689.449999999</v>
      </c>
      <c r="BA1046" s="1184">
        <f>IF(BA1040,20%,15%)</f>
        <v>0.15</v>
      </c>
      <c r="BB1046" s="3" t="s">
        <v>2482</v>
      </c>
      <c r="BC1046" s="3" t="s">
        <v>2483</v>
      </c>
      <c r="BD1046" s="3"/>
    </row>
    <row r="1047" spans="1:56" ht="12.95" customHeight="1">
      <c r="A1047" s="14"/>
      <c r="B1047" s="73"/>
      <c r="C1047" s="443"/>
      <c r="D1047" s="1692"/>
      <c r="E1047" s="1693"/>
      <c r="F1047" s="1693"/>
      <c r="G1047" s="1693"/>
      <c r="H1047" s="1693"/>
      <c r="I1047" s="1693"/>
      <c r="J1047" s="1693"/>
      <c r="K1047" s="1693"/>
      <c r="L1047" s="1693"/>
      <c r="M1047" s="1693"/>
      <c r="N1047" s="1693"/>
      <c r="O1047" s="1693"/>
      <c r="P1047" s="1693"/>
      <c r="Q1047" s="1693"/>
      <c r="R1047" s="1693"/>
      <c r="S1047" s="1693"/>
      <c r="T1047" s="1693"/>
      <c r="U1047" s="1693"/>
      <c r="V1047" s="1693"/>
      <c r="W1047" s="1693"/>
      <c r="X1047" s="1693"/>
      <c r="Y1047" s="1693"/>
      <c r="Z1047" s="1693"/>
      <c r="AA1047" s="1693"/>
      <c r="AB1047" s="1693"/>
      <c r="AC1047" s="1693"/>
      <c r="AD1047" s="1693"/>
      <c r="AE1047" s="1694"/>
      <c r="AF1047" s="73"/>
      <c r="AG1047" s="444"/>
      <c r="AH1047" s="444"/>
      <c r="AI1047" s="83"/>
      <c r="AJ1047" s="1780"/>
      <c r="AK1047" s="1781"/>
      <c r="AL1047" s="1781"/>
      <c r="AM1047" s="1781"/>
      <c r="AN1047" s="1781"/>
      <c r="AO1047" s="1781"/>
      <c r="AP1047" s="1781"/>
      <c r="AQ1047" s="1782"/>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772">
        <f>AY1003</f>
        <v>96</v>
      </c>
      <c r="J1048" s="1773"/>
      <c r="K1048" s="7"/>
      <c r="L1048" s="133"/>
      <c r="M1048" s="133"/>
      <c r="N1048" s="133"/>
      <c r="O1048" s="133"/>
      <c r="P1048" s="133"/>
      <c r="Q1048" s="133"/>
      <c r="R1048" s="133"/>
      <c r="S1048" s="133"/>
      <c r="T1048" s="133"/>
      <c r="U1048" s="133"/>
      <c r="V1048" s="134" t="s">
        <v>973</v>
      </c>
      <c r="W1048" s="48"/>
      <c r="X1048" s="1770">
        <f>CI753</f>
        <v>57</v>
      </c>
      <c r="Y1048" s="1771"/>
      <c r="Z1048" s="48"/>
      <c r="AA1048" s="48"/>
      <c r="AB1048" s="48"/>
      <c r="AC1048" s="48"/>
      <c r="AD1048" s="48"/>
      <c r="AE1048" s="49"/>
      <c r="AF1048" s="925"/>
      <c r="AG1048" s="926"/>
      <c r="AH1048" s="926"/>
      <c r="AI1048" s="927"/>
      <c r="AJ1048" s="1783"/>
      <c r="AK1048" s="1784"/>
      <c r="AL1048" s="1784"/>
      <c r="AM1048" s="1784"/>
      <c r="AN1048" s="1784"/>
      <c r="AO1048" s="1784"/>
      <c r="AP1048" s="1784"/>
      <c r="AQ1048" s="1785"/>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2.95" customHeight="1">
      <c r="A1049" s="14"/>
      <c r="B1049" s="79"/>
      <c r="C1049" s="131" t="s">
        <v>1685</v>
      </c>
      <c r="D1049" s="1746" t="s">
        <v>2172</v>
      </c>
      <c r="E1049" s="1747"/>
      <c r="F1049" s="1747"/>
      <c r="G1049" s="1747"/>
      <c r="H1049" s="1747"/>
      <c r="I1049" s="1747"/>
      <c r="J1049" s="1747"/>
      <c r="K1049" s="1747"/>
      <c r="L1049" s="1747"/>
      <c r="M1049" s="1747"/>
      <c r="N1049" s="1747"/>
      <c r="O1049" s="1747"/>
      <c r="P1049" s="1747"/>
      <c r="Q1049" s="1747"/>
      <c r="R1049" s="1747"/>
      <c r="S1049" s="1747"/>
      <c r="T1049" s="1747"/>
      <c r="U1049" s="1747"/>
      <c r="V1049" s="1747"/>
      <c r="W1049" s="1747"/>
      <c r="X1049" s="1747"/>
      <c r="Y1049" s="1747"/>
      <c r="Z1049" s="1747"/>
      <c r="AA1049" s="1747"/>
      <c r="AB1049" s="1747"/>
      <c r="AC1049" s="1747"/>
      <c r="AD1049" s="1747"/>
      <c r="AE1049" s="1748"/>
      <c r="AF1049" s="73"/>
      <c r="AG1049" s="1731" t="str">
        <f>IF(X1052&gt;0,"Yes","No")</f>
        <v>Yes</v>
      </c>
      <c r="AH1049" s="1732"/>
      <c r="AI1049" s="83"/>
      <c r="AJ1049" s="1777">
        <f>IF((X1052=0),0,(2*AY1006)*AJ992)</f>
        <v>36883072</v>
      </c>
      <c r="AK1049" s="1778"/>
      <c r="AL1049" s="1778"/>
      <c r="AM1049" s="1778"/>
      <c r="AN1049" s="1778"/>
      <c r="AO1049" s="1778"/>
      <c r="AP1049" s="1778"/>
      <c r="AQ1049" s="1779"/>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692" t="s">
        <v>1298</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73"/>
      <c r="AG1050" s="444"/>
      <c r="AH1050" s="444"/>
      <c r="AI1050" s="83"/>
      <c r="AJ1050" s="1780"/>
      <c r="AK1050" s="1781"/>
      <c r="AL1050" s="1781"/>
      <c r="AM1050" s="1781"/>
      <c r="AN1050" s="1781"/>
      <c r="AO1050" s="1781"/>
      <c r="AP1050" s="1781"/>
      <c r="AQ1050" s="1782"/>
      <c r="AR1050" s="68"/>
      <c r="AS1050" s="68"/>
      <c r="AT1050" s="68"/>
      <c r="AU1050" s="68"/>
      <c r="AV1050" s="68"/>
      <c r="AW1050" s="68"/>
      <c r="AX1050" s="68"/>
      <c r="AY1050" s="68"/>
      <c r="AZ1050" s="963"/>
      <c r="BA1050" s="3"/>
      <c r="BB1050" s="3"/>
      <c r="BC1050" s="3"/>
      <c r="BD1050" s="3"/>
    </row>
    <row r="1051" spans="1:56" ht="12.95" customHeight="1">
      <c r="A1051" s="14"/>
      <c r="B1051" s="73"/>
      <c r="C1051" s="83"/>
      <c r="D1051" s="1692"/>
      <c r="E1051" s="1693"/>
      <c r="F1051" s="1693"/>
      <c r="G1051" s="1693"/>
      <c r="H1051" s="1693"/>
      <c r="I1051" s="1693"/>
      <c r="J1051" s="1693"/>
      <c r="K1051" s="1693"/>
      <c r="L1051" s="1693"/>
      <c r="M1051" s="1693"/>
      <c r="N1051" s="1693"/>
      <c r="O1051" s="1693"/>
      <c r="P1051" s="1693"/>
      <c r="Q1051" s="1693"/>
      <c r="R1051" s="1693"/>
      <c r="S1051" s="1693"/>
      <c r="T1051" s="1693"/>
      <c r="U1051" s="1693"/>
      <c r="V1051" s="1693"/>
      <c r="W1051" s="1693"/>
      <c r="X1051" s="1693"/>
      <c r="Y1051" s="1693"/>
      <c r="Z1051" s="1693"/>
      <c r="AA1051" s="1693"/>
      <c r="AB1051" s="1693"/>
      <c r="AC1051" s="1693"/>
      <c r="AD1051" s="1693"/>
      <c r="AE1051" s="1694"/>
      <c r="AF1051" s="922"/>
      <c r="AG1051" s="923"/>
      <c r="AH1051" s="923"/>
      <c r="AI1051" s="924"/>
      <c r="AJ1051" s="1780"/>
      <c r="AK1051" s="1781"/>
      <c r="AL1051" s="1781"/>
      <c r="AM1051" s="1781"/>
      <c r="AN1051" s="1781"/>
      <c r="AO1051" s="1781"/>
      <c r="AP1051" s="1781"/>
      <c r="AQ1051" s="1782"/>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72">
        <f>AY1003</f>
        <v>96</v>
      </c>
      <c r="J1052" s="1773"/>
      <c r="K1052" s="14"/>
      <c r="L1052" s="133"/>
      <c r="M1052" s="133"/>
      <c r="N1052" s="133"/>
      <c r="O1052" s="133"/>
      <c r="P1052" s="133"/>
      <c r="Q1052" s="133"/>
      <c r="R1052" s="133"/>
      <c r="S1052" s="133"/>
      <c r="T1052" s="133"/>
      <c r="U1052" s="133"/>
      <c r="V1052" s="134" t="s">
        <v>974</v>
      </c>
      <c r="X1052" s="1770">
        <f>CM753</f>
        <v>39</v>
      </c>
      <c r="Y1052" s="1771"/>
      <c r="AF1052" s="925"/>
      <c r="AG1052" s="926"/>
      <c r="AH1052" s="926"/>
      <c r="AI1052" s="927"/>
      <c r="AJ1052" s="1783"/>
      <c r="AK1052" s="1784"/>
      <c r="AL1052" s="1784"/>
      <c r="AM1052" s="1784"/>
      <c r="AN1052" s="1784"/>
      <c r="AO1052" s="1784"/>
      <c r="AP1052" s="1784"/>
      <c r="AQ1052" s="1785"/>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768" t="s">
        <v>513</v>
      </c>
      <c r="E1053" s="1768"/>
      <c r="F1053" s="1768"/>
      <c r="G1053" s="1768"/>
      <c r="H1053" s="1768"/>
      <c r="I1053" s="1768"/>
      <c r="J1053" s="1768"/>
      <c r="K1053" s="1768"/>
      <c r="L1053" s="1768"/>
      <c r="M1053" s="1768"/>
      <c r="N1053" s="1768"/>
      <c r="O1053" s="1768"/>
      <c r="P1053" s="1768"/>
      <c r="Q1053" s="1768"/>
      <c r="R1053" s="1768"/>
      <c r="S1053" s="1768"/>
      <c r="T1053" s="1768"/>
      <c r="U1053" s="1768"/>
      <c r="V1053" s="1768"/>
      <c r="W1053" s="1768"/>
      <c r="X1053" s="1768"/>
      <c r="Y1053" s="1768"/>
      <c r="Z1053" s="1768"/>
      <c r="AA1053" s="1768"/>
      <c r="AB1053" s="1768"/>
      <c r="AC1053" s="1768"/>
      <c r="AD1053" s="1768"/>
      <c r="AE1053" s="1768"/>
      <c r="AF1053" s="1768"/>
      <c r="AG1053" s="1768"/>
      <c r="AH1053" s="1768"/>
      <c r="AI1053" s="1769"/>
      <c r="AJ1053" s="1791">
        <f>SUM(AJ992:AQ1052)</f>
        <v>131405835.59999999</v>
      </c>
      <c r="AK1053" s="1792"/>
      <c r="AL1053" s="1792"/>
      <c r="AM1053" s="1792"/>
      <c r="AN1053" s="1792"/>
      <c r="AO1053" s="1792"/>
      <c r="AP1053" s="1792"/>
      <c r="AQ1053" s="1793"/>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55">
        <f>'Sources and Uses Budget'!S107+'Sources and Uses Budget'!T107</f>
        <v>77191263</v>
      </c>
      <c r="AB1056" s="1355"/>
      <c r="AC1056" s="1355"/>
      <c r="AD1056" s="1355"/>
      <c r="AE1056" s="1355"/>
      <c r="AF1056" s="1355"/>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10528689.449999999</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56">
        <f>IFERROR((AA1056-BA1059)/(AJ1053-AJ1045-AJ1049),"")</f>
        <v>1.0797630052735903</v>
      </c>
      <c r="AB1057" s="1357"/>
      <c r="AC1057" s="1357"/>
      <c r="AD1057" s="1357"/>
      <c r="AE1057" s="1357"/>
      <c r="AF1057" s="1358"/>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9"/>
      <c r="I1058" s="1359"/>
      <c r="J1058" s="1359"/>
      <c r="K1058" s="1359"/>
      <c r="L1058" s="1359"/>
      <c r="M1058" s="1359"/>
      <c r="N1058" s="1359"/>
      <c r="O1058" s="1359"/>
      <c r="P1058" s="1359"/>
      <c r="Q1058" s="1359"/>
      <c r="R1058" s="1359"/>
      <c r="S1058" s="1359"/>
      <c r="T1058" s="1359"/>
      <c r="U1058" s="1359"/>
      <c r="V1058" s="1359"/>
      <c r="W1058" s="1359"/>
      <c r="X1058" s="1359"/>
      <c r="Y1058" s="1359"/>
      <c r="Z1058" s="1359"/>
      <c r="AA1058" s="1359"/>
      <c r="AB1058" s="1359"/>
      <c r="AC1058" s="1359"/>
      <c r="AD1058" s="1359"/>
      <c r="AE1058" s="1359"/>
      <c r="AF1058" s="1359"/>
      <c r="AG1058" s="1359"/>
      <c r="AH1058" s="1359"/>
      <c r="AI1058" s="1359"/>
      <c r="AJ1058" s="1359"/>
      <c r="AK1058" s="1359"/>
      <c r="AL1058" s="1359"/>
      <c r="AM1058" s="1359"/>
      <c r="AN1058" s="1359"/>
      <c r="AO1058" s="68"/>
      <c r="AP1058" s="68"/>
      <c r="AQ1058" s="68"/>
      <c r="AR1058" s="68"/>
      <c r="AS1058" s="68"/>
      <c r="AT1058" s="68"/>
      <c r="AU1058" s="68"/>
      <c r="AV1058" s="14"/>
      <c r="AW1058" s="14"/>
      <c r="AX1058" s="14"/>
      <c r="AY1058" s="14"/>
      <c r="BA1058" s="1187">
        <f>'Sources and Uses Budget'!$S$104+'Sources and Uses Budget'!$T$104</f>
        <v>7000000</v>
      </c>
      <c r="BB1058" s="3" t="s">
        <v>2497</v>
      </c>
    </row>
    <row r="1059" spans="1:54" ht="12.95" customHeight="1">
      <c r="A1059" s="14"/>
      <c r="B1059" s="14"/>
      <c r="C1059" s="209"/>
      <c r="D1059" s="859"/>
      <c r="E1059" s="859"/>
      <c r="F1059" s="859"/>
      <c r="G1059" s="1359"/>
      <c r="H1059" s="1359"/>
      <c r="I1059" s="1359"/>
      <c r="J1059" s="1359"/>
      <c r="K1059" s="1359"/>
      <c r="L1059" s="1359"/>
      <c r="M1059" s="1359"/>
      <c r="N1059" s="1359"/>
      <c r="O1059" s="1359"/>
      <c r="P1059" s="1359"/>
      <c r="Q1059" s="1359"/>
      <c r="R1059" s="1359"/>
      <c r="S1059" s="1359"/>
      <c r="T1059" s="1359"/>
      <c r="U1059" s="1359"/>
      <c r="V1059" s="1359"/>
      <c r="W1059" s="1359"/>
      <c r="X1059" s="1359"/>
      <c r="Y1059" s="1359"/>
      <c r="Z1059" s="1359"/>
      <c r="AA1059" s="1359"/>
      <c r="AB1059" s="1359"/>
      <c r="AC1059" s="1359"/>
      <c r="AD1059" s="1359"/>
      <c r="AE1059" s="1359"/>
      <c r="AF1059" s="1359"/>
      <c r="AG1059" s="1359"/>
      <c r="AH1059" s="1359"/>
      <c r="AI1059" s="1359"/>
      <c r="AJ1059" s="1359"/>
      <c r="AK1059" s="1359"/>
      <c r="AL1059" s="1359"/>
      <c r="AM1059" s="1359"/>
      <c r="AN1059" s="1359"/>
      <c r="AO1059" s="68"/>
      <c r="AP1059" s="68"/>
      <c r="AQ1059" s="68"/>
      <c r="AR1059" s="68"/>
      <c r="AS1059" s="68"/>
      <c r="AT1059" s="68"/>
      <c r="AU1059" s="68"/>
      <c r="AV1059" s="14"/>
      <c r="AW1059" s="14"/>
      <c r="AX1059" s="14"/>
      <c r="AY1059" s="14"/>
      <c r="BA1059" s="1188">
        <f>MAX($BA$1058-$BA$1055,0)</f>
        <v>4500000</v>
      </c>
      <c r="BB1059" s="3" t="s">
        <v>2498</v>
      </c>
    </row>
    <row r="1060" spans="1:54" ht="12.95" customHeight="1">
      <c r="A1060" s="88"/>
      <c r="B1060" s="1174"/>
      <c r="C1060" s="1174"/>
      <c r="D1060" s="1174"/>
      <c r="E1060" s="1174"/>
      <c r="F1060" s="1174"/>
      <c r="G1060" s="1359"/>
      <c r="H1060" s="1359"/>
      <c r="I1060" s="1359"/>
      <c r="J1060" s="1359"/>
      <c r="K1060" s="1359"/>
      <c r="L1060" s="1359"/>
      <c r="M1060" s="1359"/>
      <c r="N1060" s="1359"/>
      <c r="O1060" s="1359"/>
      <c r="P1060" s="1359"/>
      <c r="Q1060" s="1359"/>
      <c r="R1060" s="1359"/>
      <c r="S1060" s="1359"/>
      <c r="T1060" s="1359"/>
      <c r="U1060" s="1359"/>
      <c r="V1060" s="1359"/>
      <c r="W1060" s="1359"/>
      <c r="X1060" s="1359"/>
      <c r="Y1060" s="1359"/>
      <c r="Z1060" s="1359"/>
      <c r="AA1060" s="1359"/>
      <c r="AB1060" s="1359"/>
      <c r="AC1060" s="1359"/>
      <c r="AD1060" s="1359"/>
      <c r="AE1060" s="1359"/>
      <c r="AF1060" s="1359"/>
      <c r="AG1060" s="1359"/>
      <c r="AH1060" s="1359"/>
      <c r="AI1060" s="1359"/>
      <c r="AJ1060" s="1359"/>
      <c r="AK1060" s="1359"/>
      <c r="AL1060" s="1359"/>
      <c r="AM1060" s="1359"/>
      <c r="AN1060" s="1359"/>
      <c r="AO1060" s="1174"/>
      <c r="AP1060" s="1174"/>
      <c r="AQ1060" s="68"/>
      <c r="AR1060" s="68"/>
      <c r="AS1060" s="68"/>
      <c r="AT1060" s="68"/>
      <c r="AU1060" s="68"/>
      <c r="AV1060" s="68"/>
      <c r="AW1060" s="68"/>
      <c r="AX1060" s="68"/>
      <c r="AY1060" s="68"/>
    </row>
    <row r="1061" spans="1:54" ht="12.95" customHeight="1">
      <c r="A1061" s="1843" t="s">
        <v>794</v>
      </c>
      <c r="B1061" s="1843"/>
      <c r="C1061" s="1843"/>
      <c r="D1061" s="1843"/>
      <c r="E1061" s="1843"/>
      <c r="F1061" s="1843"/>
      <c r="G1061" s="1843"/>
      <c r="H1061" s="1843"/>
      <c r="I1061" s="1843"/>
      <c r="J1061" s="1843"/>
      <c r="K1061" s="1843"/>
      <c r="L1061" s="1843"/>
      <c r="M1061" s="1843"/>
      <c r="N1061" s="1843"/>
      <c r="O1061" s="1843"/>
      <c r="P1061" s="1843"/>
      <c r="Q1061" s="1843"/>
      <c r="R1061" s="1843"/>
      <c r="S1061" s="1843"/>
      <c r="T1061" s="1843"/>
      <c r="U1061" s="1843"/>
      <c r="V1061" s="1843"/>
      <c r="W1061" s="1843"/>
      <c r="X1061" s="1843"/>
      <c r="Y1061" s="1843"/>
      <c r="Z1061" s="1843"/>
      <c r="AA1061" s="1843"/>
      <c r="AB1061" s="1843"/>
      <c r="AC1061" s="1843"/>
      <c r="AD1061" s="1843"/>
      <c r="AE1061" s="1843"/>
      <c r="AF1061" s="1843"/>
      <c r="AG1061" s="1843"/>
      <c r="AH1061" s="1843"/>
      <c r="AI1061" s="1843"/>
      <c r="AJ1061" s="1843"/>
      <c r="AK1061" s="1843"/>
      <c r="AL1061" s="1843"/>
      <c r="AM1061" s="1843"/>
      <c r="AN1061" s="1843"/>
      <c r="AO1061" s="1843"/>
      <c r="AP1061" s="1843"/>
      <c r="AQ1061" s="184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98" t="s">
        <v>545</v>
      </c>
      <c r="B1065" s="1398"/>
      <c r="C1065" s="1856">
        <v>1</v>
      </c>
      <c r="D1065" s="1856"/>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98" t="s">
        <v>591</v>
      </c>
      <c r="B1067" s="1398"/>
      <c r="C1067" s="1856">
        <v>2</v>
      </c>
      <c r="D1067" s="1856"/>
      <c r="E1067" s="1864" t="s">
        <v>2241</v>
      </c>
      <c r="F1067" s="1864"/>
      <c r="G1067" s="1864"/>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1864"/>
      <c r="AP1067" s="1864"/>
      <c r="AQ1067" s="1864"/>
      <c r="AR1067" s="1864"/>
      <c r="AS1067" s="14"/>
      <c r="AT1067" s="14"/>
      <c r="AV1067" s="68"/>
      <c r="AW1067" s="68"/>
      <c r="AX1067" s="68"/>
      <c r="AY1067" s="68"/>
    </row>
    <row r="1068" spans="1:54" ht="12.95" customHeight="1">
      <c r="A1068" s="198"/>
      <c r="B1068" s="67"/>
      <c r="C1068" s="1856"/>
      <c r="D1068" s="1856"/>
      <c r="E1068" s="1864"/>
      <c r="F1068" s="186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1864"/>
      <c r="AP1068" s="1864"/>
      <c r="AQ1068" s="1864"/>
      <c r="AR1068" s="1864"/>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98" t="s">
        <v>591</v>
      </c>
      <c r="B1070" s="1398"/>
      <c r="C1070" s="1526">
        <v>3</v>
      </c>
      <c r="D1070" s="1526"/>
      <c r="E1070" s="1343" t="s">
        <v>1080</v>
      </c>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43"/>
      <c r="AS1070" s="14"/>
      <c r="AT1070" s="68"/>
      <c r="AV1070" s="68"/>
      <c r="AW1070" s="68"/>
      <c r="AX1070" s="68"/>
      <c r="AY1070" s="68"/>
    </row>
    <row r="1071" spans="1:54" ht="12.95" customHeight="1">
      <c r="A1071" s="1"/>
      <c r="B1071" s="1"/>
      <c r="C1071" s="1526"/>
      <c r="D1071" s="1526"/>
      <c r="E1071" s="1343"/>
      <c r="F1071" s="1343"/>
      <c r="G1071" s="1343"/>
      <c r="H1071" s="1343"/>
      <c r="I1071" s="1343"/>
      <c r="J1071" s="1343"/>
      <c r="K1071" s="1343"/>
      <c r="L1071" s="1343"/>
      <c r="M1071" s="1343"/>
      <c r="N1071" s="1343"/>
      <c r="O1071" s="1343"/>
      <c r="P1071" s="1343"/>
      <c r="Q1071" s="1343"/>
      <c r="R1071" s="1343"/>
      <c r="S1071" s="1343"/>
      <c r="T1071" s="1343"/>
      <c r="U1071" s="1343"/>
      <c r="V1071" s="1343"/>
      <c r="W1071" s="1343"/>
      <c r="X1071" s="1343"/>
      <c r="Y1071" s="1343"/>
      <c r="Z1071" s="1343"/>
      <c r="AA1071" s="1343"/>
      <c r="AB1071" s="1343"/>
      <c r="AC1071" s="1343"/>
      <c r="AD1071" s="1343"/>
      <c r="AE1071" s="1343"/>
      <c r="AF1071" s="1343"/>
      <c r="AG1071" s="1343"/>
      <c r="AH1071" s="1343"/>
      <c r="AI1071" s="1343"/>
      <c r="AJ1071" s="1343"/>
      <c r="AK1071" s="1343"/>
      <c r="AL1071" s="1343"/>
      <c r="AM1071" s="1343"/>
      <c r="AN1071" s="1343"/>
      <c r="AO1071" s="1343"/>
      <c r="AP1071" s="1343"/>
      <c r="AQ1071" s="1343"/>
      <c r="AR1071" s="1343"/>
      <c r="AS1071" s="14"/>
      <c r="AT1071" s="68"/>
      <c r="AV1071" s="68"/>
      <c r="AW1071" s="68"/>
      <c r="AX1071" s="68"/>
      <c r="AY1071" s="68"/>
    </row>
    <row r="1072" spans="1:54" ht="12.95" customHeight="1">
      <c r="A1072" s="1"/>
      <c r="B1072" s="1"/>
      <c r="C1072" s="1526"/>
      <c r="D1072" s="1526"/>
      <c r="E1072" s="1343"/>
      <c r="F1072" s="1343"/>
      <c r="G1072" s="1343"/>
      <c r="H1072" s="1343"/>
      <c r="I1072" s="1343"/>
      <c r="J1072" s="1343"/>
      <c r="K1072" s="1343"/>
      <c r="L1072" s="1343"/>
      <c r="M1072" s="1343"/>
      <c r="N1072" s="1343"/>
      <c r="O1072" s="1343"/>
      <c r="P1072" s="1343"/>
      <c r="Q1072" s="1343"/>
      <c r="R1072" s="1343"/>
      <c r="S1072" s="1343"/>
      <c r="T1072" s="1343"/>
      <c r="U1072" s="1343"/>
      <c r="V1072" s="1343"/>
      <c r="W1072" s="1343"/>
      <c r="X1072" s="1343"/>
      <c r="Y1072" s="1343"/>
      <c r="Z1072" s="1343"/>
      <c r="AA1072" s="1343"/>
      <c r="AB1072" s="1343"/>
      <c r="AC1072" s="1343"/>
      <c r="AD1072" s="1343"/>
      <c r="AE1072" s="1343"/>
      <c r="AF1072" s="1343"/>
      <c r="AG1072" s="1343"/>
      <c r="AH1072" s="1343"/>
      <c r="AI1072" s="1343"/>
      <c r="AJ1072" s="1343"/>
      <c r="AK1072" s="1343"/>
      <c r="AL1072" s="1343"/>
      <c r="AM1072" s="1343"/>
      <c r="AN1072" s="1343"/>
      <c r="AO1072" s="1343"/>
      <c r="AP1072" s="1343"/>
      <c r="AQ1072" s="1343"/>
      <c r="AR1072" s="1343"/>
      <c r="AS1072" s="14"/>
      <c r="AT1072" s="68"/>
      <c r="AV1072" s="68"/>
      <c r="AW1072" s="68"/>
      <c r="AX1072" s="68"/>
      <c r="AY1072" s="68"/>
    </row>
    <row r="1073" spans="1:51" ht="12.95" customHeight="1">
      <c r="A1073" s="1"/>
      <c r="B1073" s="1"/>
      <c r="C1073" s="1526"/>
      <c r="D1073" s="1526"/>
      <c r="E1073" s="1343"/>
      <c r="F1073" s="1343"/>
      <c r="G1073" s="1343"/>
      <c r="H1073" s="1343"/>
      <c r="I1073" s="1343"/>
      <c r="J1073" s="1343"/>
      <c r="K1073" s="1343"/>
      <c r="L1073" s="1343"/>
      <c r="M1073" s="1343"/>
      <c r="N1073" s="1343"/>
      <c r="O1073" s="1343"/>
      <c r="P1073" s="1343"/>
      <c r="Q1073" s="1343"/>
      <c r="R1073" s="1343"/>
      <c r="S1073" s="1343"/>
      <c r="T1073" s="1343"/>
      <c r="U1073" s="1343"/>
      <c r="V1073" s="1343"/>
      <c r="W1073" s="1343"/>
      <c r="X1073" s="1343"/>
      <c r="Y1073" s="1343"/>
      <c r="Z1073" s="1343"/>
      <c r="AA1073" s="1343"/>
      <c r="AB1073" s="1343"/>
      <c r="AC1073" s="1343"/>
      <c r="AD1073" s="1343"/>
      <c r="AE1073" s="1343"/>
      <c r="AF1073" s="1343"/>
      <c r="AG1073" s="1343"/>
      <c r="AH1073" s="1343"/>
      <c r="AI1073" s="1343"/>
      <c r="AJ1073" s="1343"/>
      <c r="AK1073" s="1343"/>
      <c r="AL1073" s="1343"/>
      <c r="AM1073" s="1343"/>
      <c r="AN1073" s="1343"/>
      <c r="AO1073" s="1343"/>
      <c r="AP1073" s="1343"/>
      <c r="AQ1073" s="1343"/>
      <c r="AR1073" s="1343"/>
      <c r="AS1073" s="14"/>
      <c r="AT1073" s="68"/>
      <c r="AV1073" s="68"/>
      <c r="AW1073" s="68"/>
      <c r="AX1073" s="68"/>
      <c r="AY1073" s="68"/>
    </row>
    <row r="1074" spans="1:51" ht="12.95" customHeight="1">
      <c r="A1074" s="2"/>
      <c r="B1074" s="25"/>
      <c r="C1074" s="1526"/>
      <c r="D1074" s="152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98" t="s">
        <v>591</v>
      </c>
      <c r="B1075" s="1398"/>
      <c r="C1075" s="1526">
        <v>4</v>
      </c>
      <c r="D1075" s="1526"/>
      <c r="E1075" s="1343" t="s">
        <v>1079</v>
      </c>
      <c r="F1075" s="1343"/>
      <c r="G1075" s="1343"/>
      <c r="H1075" s="1343"/>
      <c r="I1075" s="1343"/>
      <c r="J1075" s="1343"/>
      <c r="K1075" s="1343"/>
      <c r="L1075" s="1343"/>
      <c r="M1075" s="1343"/>
      <c r="N1075" s="1343"/>
      <c r="O1075" s="1343"/>
      <c r="P1075" s="1343"/>
      <c r="Q1075" s="1343"/>
      <c r="R1075" s="1343"/>
      <c r="S1075" s="1343"/>
      <c r="T1075" s="1343"/>
      <c r="U1075" s="1343"/>
      <c r="V1075" s="1343"/>
      <c r="W1075" s="1343"/>
      <c r="X1075" s="1343"/>
      <c r="Y1075" s="1343"/>
      <c r="Z1075" s="1343"/>
      <c r="AA1075" s="1343"/>
      <c r="AB1075" s="1343"/>
      <c r="AC1075" s="1343"/>
      <c r="AD1075" s="1343"/>
      <c r="AE1075" s="1343"/>
      <c r="AF1075" s="1343"/>
      <c r="AG1075" s="1343"/>
      <c r="AH1075" s="1343"/>
      <c r="AI1075" s="1343"/>
      <c r="AJ1075" s="1343"/>
      <c r="AK1075" s="1343"/>
      <c r="AL1075" s="1343"/>
      <c r="AM1075" s="1343"/>
      <c r="AN1075" s="1343"/>
      <c r="AO1075" s="1343"/>
      <c r="AP1075" s="1343"/>
      <c r="AQ1075" s="1343"/>
      <c r="AR1075" s="1343"/>
      <c r="AS1075" s="14"/>
      <c r="AT1075" s="68"/>
    </row>
    <row r="1076" spans="1:51" ht="12.95" customHeight="1">
      <c r="A1076" s="1"/>
      <c r="B1076" s="1"/>
      <c r="C1076" s="1526"/>
      <c r="D1076" s="1526"/>
      <c r="E1076" s="1343"/>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68"/>
    </row>
    <row r="1077" spans="1:51" ht="12.95" customHeight="1">
      <c r="A1077" s="1"/>
      <c r="B1077" s="1"/>
      <c r="C1077" s="1526"/>
      <c r="D1077" s="1526"/>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68"/>
    </row>
    <row r="1078" spans="1:51" ht="12.95" customHeight="1">
      <c r="A1078" s="1"/>
      <c r="B1078" s="1"/>
      <c r="C1078" s="1526"/>
      <c r="D1078" s="1526"/>
      <c r="E1078" s="1343"/>
      <c r="F1078" s="1343"/>
      <c r="G1078" s="1343"/>
      <c r="H1078" s="1343"/>
      <c r="I1078" s="1343"/>
      <c r="J1078" s="1343"/>
      <c r="K1078" s="1343"/>
      <c r="L1078" s="1343"/>
      <c r="M1078" s="1343"/>
      <c r="N1078" s="1343"/>
      <c r="O1078" s="1343"/>
      <c r="P1078" s="1343"/>
      <c r="Q1078" s="1343"/>
      <c r="R1078" s="1343"/>
      <c r="S1078" s="1343"/>
      <c r="T1078" s="1343"/>
      <c r="U1078" s="1343"/>
      <c r="V1078" s="1343"/>
      <c r="W1078" s="1343"/>
      <c r="X1078" s="1343"/>
      <c r="Y1078" s="1343"/>
      <c r="Z1078" s="1343"/>
      <c r="AA1078" s="1343"/>
      <c r="AB1078" s="1343"/>
      <c r="AC1078" s="1343"/>
      <c r="AD1078" s="1343"/>
      <c r="AE1078" s="1343"/>
      <c r="AF1078" s="1343"/>
      <c r="AG1078" s="1343"/>
      <c r="AH1078" s="1343"/>
      <c r="AI1078" s="1343"/>
      <c r="AJ1078" s="1343"/>
      <c r="AK1078" s="1343"/>
      <c r="AL1078" s="1343"/>
      <c r="AM1078" s="1343"/>
      <c r="AN1078" s="1343"/>
      <c r="AO1078" s="1343"/>
      <c r="AP1078" s="1343"/>
      <c r="AQ1078" s="1343"/>
      <c r="AR1078" s="1343"/>
      <c r="AS1078" s="14"/>
      <c r="AT1078" s="68"/>
    </row>
    <row r="1079" spans="1:51" ht="12.95" customHeight="1">
      <c r="A1079" s="1"/>
      <c r="B1079" s="1"/>
      <c r="C1079" s="1526"/>
      <c r="D1079" s="1526"/>
      <c r="E1079" s="1343"/>
      <c r="F1079" s="1343"/>
      <c r="G1079" s="1343"/>
      <c r="H1079" s="1343"/>
      <c r="I1079" s="1343"/>
      <c r="J1079" s="1343"/>
      <c r="K1079" s="1343"/>
      <c r="L1079" s="1343"/>
      <c r="M1079" s="1343"/>
      <c r="N1079" s="1343"/>
      <c r="O1079" s="1343"/>
      <c r="P1079" s="1343"/>
      <c r="Q1079" s="1343"/>
      <c r="R1079" s="1343"/>
      <c r="S1079" s="1343"/>
      <c r="T1079" s="1343"/>
      <c r="U1079" s="1343"/>
      <c r="V1079" s="1343"/>
      <c r="W1079" s="1343"/>
      <c r="X1079" s="1343"/>
      <c r="Y1079" s="1343"/>
      <c r="Z1079" s="1343"/>
      <c r="AA1079" s="1343"/>
      <c r="AB1079" s="1343"/>
      <c r="AC1079" s="1343"/>
      <c r="AD1079" s="1343"/>
      <c r="AE1079" s="1343"/>
      <c r="AF1079" s="1343"/>
      <c r="AG1079" s="1343"/>
      <c r="AH1079" s="1343"/>
      <c r="AI1079" s="1343"/>
      <c r="AJ1079" s="1343"/>
      <c r="AK1079" s="1343"/>
      <c r="AL1079" s="1343"/>
      <c r="AM1079" s="1343"/>
      <c r="AN1079" s="1343"/>
      <c r="AO1079" s="1343"/>
      <c r="AP1079" s="1343"/>
      <c r="AQ1079" s="1343"/>
      <c r="AR1079" s="1343"/>
      <c r="AS1079" s="14"/>
      <c r="AT1079" s="68"/>
    </row>
    <row r="1080" spans="1:51" ht="12.95" customHeight="1">
      <c r="A1080" s="1"/>
      <c r="B1080" s="1"/>
      <c r="C1080" s="1526"/>
      <c r="D1080" s="152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98" t="s">
        <v>591</v>
      </c>
      <c r="B1081" s="1398"/>
      <c r="C1081" s="1526">
        <v>5</v>
      </c>
      <c r="D1081" s="1526"/>
      <c r="E1081" s="1343" t="s">
        <v>2245</v>
      </c>
      <c r="F1081" s="1343"/>
      <c r="G1081" s="1343"/>
      <c r="H1081" s="1343"/>
      <c r="I1081" s="1343"/>
      <c r="J1081" s="1343"/>
      <c r="K1081" s="1343"/>
      <c r="L1081" s="1343"/>
      <c r="M1081" s="1343"/>
      <c r="N1081" s="1343"/>
      <c r="O1081" s="1343"/>
      <c r="P1081" s="1343"/>
      <c r="Q1081" s="1343"/>
      <c r="R1081" s="1343"/>
      <c r="S1081" s="1343"/>
      <c r="T1081" s="1343"/>
      <c r="U1081" s="1343"/>
      <c r="V1081" s="1343"/>
      <c r="W1081" s="1343"/>
      <c r="X1081" s="1343"/>
      <c r="Y1081" s="1343"/>
      <c r="Z1081" s="1343"/>
      <c r="AA1081" s="1343"/>
      <c r="AB1081" s="1343"/>
      <c r="AC1081" s="1343"/>
      <c r="AD1081" s="1343"/>
      <c r="AE1081" s="1343"/>
      <c r="AF1081" s="1343"/>
      <c r="AG1081" s="1343"/>
      <c r="AH1081" s="1343"/>
      <c r="AI1081" s="1343"/>
      <c r="AJ1081" s="1343"/>
      <c r="AK1081" s="1343"/>
      <c r="AL1081" s="1343"/>
      <c r="AM1081" s="1343"/>
      <c r="AN1081" s="1343"/>
      <c r="AO1081" s="1343"/>
      <c r="AP1081" s="1343"/>
      <c r="AQ1081" s="1343"/>
      <c r="AR1081" s="1343"/>
      <c r="AS1081" s="14"/>
    </row>
    <row r="1082" spans="1:51" ht="12.95" customHeight="1">
      <c r="A1082" s="4"/>
      <c r="B1082" s="4"/>
      <c r="C1082" s="1526"/>
      <c r="D1082" s="1526"/>
      <c r="E1082" s="1343"/>
      <c r="F1082" s="1343"/>
      <c r="G1082" s="1343"/>
      <c r="H1082" s="1343"/>
      <c r="I1082" s="1343"/>
      <c r="J1082" s="1343"/>
      <c r="K1082" s="1343"/>
      <c r="L1082" s="1343"/>
      <c r="M1082" s="1343"/>
      <c r="N1082" s="1343"/>
      <c r="O1082" s="1343"/>
      <c r="P1082" s="1343"/>
      <c r="Q1082" s="1343"/>
      <c r="R1082" s="1343"/>
      <c r="S1082" s="1343"/>
      <c r="T1082" s="1343"/>
      <c r="U1082" s="1343"/>
      <c r="V1082" s="1343"/>
      <c r="W1082" s="1343"/>
      <c r="X1082" s="1343"/>
      <c r="Y1082" s="1343"/>
      <c r="Z1082" s="1343"/>
      <c r="AA1082" s="1343"/>
      <c r="AB1082" s="1343"/>
      <c r="AC1082" s="1343"/>
      <c r="AD1082" s="1343"/>
      <c r="AE1082" s="1343"/>
      <c r="AF1082" s="1343"/>
      <c r="AG1082" s="1343"/>
      <c r="AH1082" s="1343"/>
      <c r="AI1082" s="1343"/>
      <c r="AJ1082" s="1343"/>
      <c r="AK1082" s="1343"/>
      <c r="AL1082" s="1343"/>
      <c r="AM1082" s="1343"/>
      <c r="AN1082" s="1343"/>
      <c r="AO1082" s="1343"/>
      <c r="AP1082" s="1343"/>
      <c r="AQ1082" s="1343"/>
      <c r="AR1082" s="1343"/>
      <c r="AS1082" s="14"/>
    </row>
    <row r="1083" spans="1:51" ht="12.95" customHeight="1">
      <c r="A1083" s="4"/>
      <c r="B1083" s="4"/>
      <c r="C1083" s="1526"/>
      <c r="D1083" s="1526"/>
      <c r="E1083" s="1343"/>
      <c r="F1083" s="1343"/>
      <c r="G1083" s="1343"/>
      <c r="H1083" s="1343"/>
      <c r="I1083" s="1343"/>
      <c r="J1083" s="1343"/>
      <c r="K1083" s="1343"/>
      <c r="L1083" s="1343"/>
      <c r="M1083" s="1343"/>
      <c r="N1083" s="1343"/>
      <c r="O1083" s="1343"/>
      <c r="P1083" s="1343"/>
      <c r="Q1083" s="1343"/>
      <c r="R1083" s="1343"/>
      <c r="S1083" s="1343"/>
      <c r="T1083" s="1343"/>
      <c r="U1083" s="1343"/>
      <c r="V1083" s="1343"/>
      <c r="W1083" s="1343"/>
      <c r="X1083" s="1343"/>
      <c r="Y1083" s="1343"/>
      <c r="Z1083" s="1343"/>
      <c r="AA1083" s="1343"/>
      <c r="AB1083" s="1343"/>
      <c r="AC1083" s="1343"/>
      <c r="AD1083" s="1343"/>
      <c r="AE1083" s="1343"/>
      <c r="AF1083" s="1343"/>
      <c r="AG1083" s="1343"/>
      <c r="AH1083" s="1343"/>
      <c r="AI1083" s="1343"/>
      <c r="AJ1083" s="1343"/>
      <c r="AK1083" s="1343"/>
      <c r="AL1083" s="1343"/>
      <c r="AM1083" s="1343"/>
      <c r="AN1083" s="1343"/>
      <c r="AO1083" s="1343"/>
      <c r="AP1083" s="1343"/>
      <c r="AQ1083" s="1343"/>
      <c r="AR1083" s="1343"/>
      <c r="AS1083" s="14"/>
    </row>
    <row r="1084" spans="1:51" ht="12.95" customHeight="1">
      <c r="A1084" s="35"/>
      <c r="B1084" s="25"/>
      <c r="C1084" s="1526"/>
      <c r="D1084" s="152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98" t="s">
        <v>591</v>
      </c>
      <c r="B1085" s="1398"/>
      <c r="C1085" s="1526">
        <v>6</v>
      </c>
      <c r="D1085" s="1526"/>
      <c r="E1085" s="1343" t="s">
        <v>2246</v>
      </c>
      <c r="F1085" s="1343"/>
      <c r="G1085" s="1343"/>
      <c r="H1085" s="1343"/>
      <c r="I1085" s="1343"/>
      <c r="J1085" s="1343"/>
      <c r="K1085" s="1343"/>
      <c r="L1085" s="1343"/>
      <c r="M1085" s="1343"/>
      <c r="N1085" s="1343"/>
      <c r="O1085" s="1343"/>
      <c r="P1085" s="1343"/>
      <c r="Q1085" s="1343"/>
      <c r="R1085" s="1343"/>
      <c r="S1085" s="1343"/>
      <c r="T1085" s="1343"/>
      <c r="U1085" s="1343"/>
      <c r="V1085" s="1343"/>
      <c r="W1085" s="1343"/>
      <c r="X1085" s="1343"/>
      <c r="Y1085" s="1343"/>
      <c r="Z1085" s="1343"/>
      <c r="AA1085" s="1343"/>
      <c r="AB1085" s="1343"/>
      <c r="AC1085" s="1343"/>
      <c r="AD1085" s="1343"/>
      <c r="AE1085" s="1343"/>
      <c r="AF1085" s="1343"/>
      <c r="AG1085" s="1343"/>
      <c r="AH1085" s="1343"/>
      <c r="AI1085" s="1343"/>
      <c r="AJ1085" s="1343"/>
      <c r="AK1085" s="1343"/>
      <c r="AL1085" s="1343"/>
      <c r="AM1085" s="1343"/>
      <c r="AN1085" s="1343"/>
      <c r="AO1085" s="1343"/>
      <c r="AP1085" s="1343"/>
      <c r="AQ1085" s="1343"/>
      <c r="AR1085" s="1343"/>
      <c r="AS1085" s="14"/>
    </row>
    <row r="1086" spans="1:51" ht="12.95" customHeight="1">
      <c r="A1086" s="1"/>
      <c r="B1086" s="1"/>
      <c r="C1086" s="1"/>
      <c r="D1086" s="1"/>
      <c r="E1086" s="1343"/>
      <c r="F1086" s="1343"/>
      <c r="G1086" s="1343"/>
      <c r="H1086" s="1343"/>
      <c r="I1086" s="1343"/>
      <c r="J1086" s="1343"/>
      <c r="K1086" s="1343"/>
      <c r="L1086" s="1343"/>
      <c r="M1086" s="1343"/>
      <c r="N1086" s="1343"/>
      <c r="O1086" s="1343"/>
      <c r="P1086" s="1343"/>
      <c r="Q1086" s="1343"/>
      <c r="R1086" s="1343"/>
      <c r="S1086" s="1343"/>
      <c r="T1086" s="1343"/>
      <c r="U1086" s="1343"/>
      <c r="V1086" s="1343"/>
      <c r="W1086" s="1343"/>
      <c r="X1086" s="1343"/>
      <c r="Y1086" s="1343"/>
      <c r="Z1086" s="1343"/>
      <c r="AA1086" s="1343"/>
      <c r="AB1086" s="1343"/>
      <c r="AC1086" s="1343"/>
      <c r="AD1086" s="1343"/>
      <c r="AE1086" s="1343"/>
      <c r="AF1086" s="1343"/>
      <c r="AG1086" s="1343"/>
      <c r="AH1086" s="1343"/>
      <c r="AI1086" s="1343"/>
      <c r="AJ1086" s="1343"/>
      <c r="AK1086" s="1343"/>
      <c r="AL1086" s="1343"/>
      <c r="AM1086" s="1343"/>
      <c r="AN1086" s="1343"/>
      <c r="AO1086" s="1343"/>
      <c r="AP1086" s="1343"/>
      <c r="AQ1086" s="1343"/>
      <c r="AR1086" s="1343"/>
      <c r="AS1086" s="14"/>
    </row>
    <row r="1087" spans="1:51" ht="12.95" customHeight="1">
      <c r="A1087" s="1"/>
      <c r="B1087" s="1"/>
      <c r="C1087" s="1526"/>
      <c r="D1087" s="1526"/>
      <c r="E1087" s="1343"/>
      <c r="F1087" s="1343"/>
      <c r="G1087" s="1343"/>
      <c r="H1087" s="1343"/>
      <c r="I1087" s="1343"/>
      <c r="J1087" s="1343"/>
      <c r="K1087" s="1343"/>
      <c r="L1087" s="1343"/>
      <c r="M1087" s="1343"/>
      <c r="N1087" s="1343"/>
      <c r="O1087" s="1343"/>
      <c r="P1087" s="1343"/>
      <c r="Q1087" s="1343"/>
      <c r="R1087" s="1343"/>
      <c r="S1087" s="1343"/>
      <c r="T1087" s="1343"/>
      <c r="U1087" s="1343"/>
      <c r="V1087" s="1343"/>
      <c r="W1087" s="1343"/>
      <c r="X1087" s="1343"/>
      <c r="Y1087" s="1343"/>
      <c r="Z1087" s="1343"/>
      <c r="AA1087" s="1343"/>
      <c r="AB1087" s="1343"/>
      <c r="AC1087" s="1343"/>
      <c r="AD1087" s="1343"/>
      <c r="AE1087" s="1343"/>
      <c r="AF1087" s="1343"/>
      <c r="AG1087" s="1343"/>
      <c r="AH1087" s="1343"/>
      <c r="AI1087" s="1343"/>
      <c r="AJ1087" s="1343"/>
      <c r="AK1087" s="1343"/>
      <c r="AL1087" s="1343"/>
      <c r="AM1087" s="1343"/>
      <c r="AN1087" s="1343"/>
      <c r="AO1087" s="1343"/>
      <c r="AP1087" s="1343"/>
      <c r="AQ1087" s="1343"/>
      <c r="AR1087" s="1343"/>
      <c r="AS1087" s="14"/>
    </row>
    <row r="1088" spans="1:51" ht="12.95" customHeight="1">
      <c r="A1088" s="35"/>
      <c r="B1088" s="25"/>
      <c r="C1088" s="1526"/>
      <c r="D1088" s="152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98" t="s">
        <v>591</v>
      </c>
      <c r="B1089" s="1398"/>
      <c r="C1089" s="1526">
        <v>7</v>
      </c>
      <c r="D1089" s="1526"/>
      <c r="E1089" s="1343" t="s">
        <v>2140</v>
      </c>
      <c r="F1089" s="1343"/>
      <c r="G1089" s="1343"/>
      <c r="H1089" s="1343"/>
      <c r="I1089" s="1343"/>
      <c r="J1089" s="1343"/>
      <c r="K1089" s="1343"/>
      <c r="L1089" s="1343"/>
      <c r="M1089" s="1343"/>
      <c r="N1089" s="1343"/>
      <c r="O1089" s="1343"/>
      <c r="P1089" s="1343"/>
      <c r="Q1089" s="1343"/>
      <c r="R1089" s="1343"/>
      <c r="S1089" s="1343"/>
      <c r="T1089" s="1343"/>
      <c r="U1089" s="1343"/>
      <c r="V1089" s="1343"/>
      <c r="W1089" s="1343"/>
      <c r="X1089" s="1343"/>
      <c r="Y1089" s="1343"/>
      <c r="Z1089" s="1343"/>
      <c r="AA1089" s="1343"/>
      <c r="AB1089" s="1343"/>
      <c r="AC1089" s="1343"/>
      <c r="AD1089" s="1343"/>
      <c r="AE1089" s="1343"/>
      <c r="AF1089" s="1343"/>
      <c r="AG1089" s="1343"/>
      <c r="AH1089" s="1343"/>
      <c r="AI1089" s="1343"/>
      <c r="AJ1089" s="1343"/>
      <c r="AK1089" s="1343"/>
      <c r="AL1089" s="1343"/>
      <c r="AM1089" s="1343"/>
      <c r="AN1089" s="1343"/>
      <c r="AO1089" s="1343"/>
      <c r="AP1089" s="1343"/>
      <c r="AQ1089" s="1343"/>
      <c r="AR1089" s="1343"/>
      <c r="AS1089" s="14"/>
    </row>
    <row r="1090" spans="1:45" ht="12.95" customHeight="1">
      <c r="A1090" s="1"/>
      <c r="B1090" s="1"/>
      <c r="C1090" s="1526"/>
      <c r="D1090" s="1526"/>
      <c r="E1090" s="1343"/>
      <c r="F1090" s="1343"/>
      <c r="G1090" s="1343"/>
      <c r="H1090" s="1343"/>
      <c r="I1090" s="1343"/>
      <c r="J1090" s="1343"/>
      <c r="K1090" s="1343"/>
      <c r="L1090" s="1343"/>
      <c r="M1090" s="1343"/>
      <c r="N1090" s="1343"/>
      <c r="O1090" s="1343"/>
      <c r="P1090" s="1343"/>
      <c r="Q1090" s="1343"/>
      <c r="R1090" s="1343"/>
      <c r="S1090" s="1343"/>
      <c r="T1090" s="1343"/>
      <c r="U1090" s="1343"/>
      <c r="V1090" s="1343"/>
      <c r="W1090" s="1343"/>
      <c r="X1090" s="1343"/>
      <c r="Y1090" s="1343"/>
      <c r="Z1090" s="1343"/>
      <c r="AA1090" s="1343"/>
      <c r="AB1090" s="1343"/>
      <c r="AC1090" s="1343"/>
      <c r="AD1090" s="1343"/>
      <c r="AE1090" s="1343"/>
      <c r="AF1090" s="1343"/>
      <c r="AG1090" s="1343"/>
      <c r="AH1090" s="1343"/>
      <c r="AI1090" s="1343"/>
      <c r="AJ1090" s="1343"/>
      <c r="AK1090" s="1343"/>
      <c r="AL1090" s="1343"/>
      <c r="AM1090" s="1343"/>
      <c r="AN1090" s="1343"/>
      <c r="AO1090" s="1343"/>
      <c r="AP1090" s="1343"/>
      <c r="AQ1090" s="1343"/>
      <c r="AR1090" s="1343"/>
      <c r="AS1090" s="14"/>
    </row>
    <row r="1091" spans="1:45" ht="12.95" customHeight="1">
      <c r="A1091" s="1"/>
      <c r="B1091" s="1"/>
      <c r="C1091" s="1526"/>
      <c r="D1091" s="1526"/>
      <c r="E1091" s="1343"/>
      <c r="F1091" s="1343"/>
      <c r="G1091" s="1343"/>
      <c r="H1091" s="1343"/>
      <c r="I1091" s="1343"/>
      <c r="J1091" s="1343"/>
      <c r="K1091" s="1343"/>
      <c r="L1091" s="1343"/>
      <c r="M1091" s="1343"/>
      <c r="N1091" s="1343"/>
      <c r="O1091" s="1343"/>
      <c r="P1091" s="1343"/>
      <c r="Q1091" s="1343"/>
      <c r="R1091" s="1343"/>
      <c r="S1091" s="1343"/>
      <c r="T1091" s="1343"/>
      <c r="U1091" s="1343"/>
      <c r="V1091" s="1343"/>
      <c r="W1091" s="1343"/>
      <c r="X1091" s="1343"/>
      <c r="Y1091" s="1343"/>
      <c r="Z1091" s="1343"/>
      <c r="AA1091" s="1343"/>
      <c r="AB1091" s="1343"/>
      <c r="AC1091" s="1343"/>
      <c r="AD1091" s="1343"/>
      <c r="AE1091" s="1343"/>
      <c r="AF1091" s="1343"/>
      <c r="AG1091" s="1343"/>
      <c r="AH1091" s="1343"/>
      <c r="AI1091" s="1343"/>
      <c r="AJ1091" s="1343"/>
      <c r="AK1091" s="1343"/>
      <c r="AL1091" s="1343"/>
      <c r="AM1091" s="1343"/>
      <c r="AN1091" s="1343"/>
      <c r="AO1091" s="1343"/>
      <c r="AP1091" s="1343"/>
      <c r="AQ1091" s="1343"/>
      <c r="AR1091" s="1343"/>
      <c r="AS1091" s="14"/>
    </row>
    <row r="1092" spans="1:45" ht="12.95" customHeight="1">
      <c r="A1092" s="1"/>
      <c r="B1092" s="1"/>
      <c r="C1092" s="1526"/>
      <c r="D1092" s="152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526"/>
      <c r="D1093" s="152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98" t="s">
        <v>591</v>
      </c>
      <c r="B1094" s="1398"/>
      <c r="C1094" s="1526">
        <v>8</v>
      </c>
      <c r="D1094" s="1526"/>
      <c r="E1094" s="1343" t="s">
        <v>1073</v>
      </c>
      <c r="F1094" s="1343"/>
      <c r="G1094" s="1343"/>
      <c r="H1094" s="1343"/>
      <c r="I1094" s="1343"/>
      <c r="J1094" s="1343"/>
      <c r="K1094" s="1343"/>
      <c r="L1094" s="1343"/>
      <c r="M1094" s="1343"/>
      <c r="N1094" s="1343"/>
      <c r="O1094" s="1343"/>
      <c r="P1094" s="1343"/>
      <c r="Q1094" s="1343"/>
      <c r="R1094" s="1343"/>
      <c r="S1094" s="1343"/>
      <c r="T1094" s="1343"/>
      <c r="U1094" s="1343"/>
      <c r="V1094" s="1343"/>
      <c r="W1094" s="1343"/>
      <c r="X1094" s="1343"/>
      <c r="Y1094" s="1343"/>
      <c r="Z1094" s="1343"/>
      <c r="AA1094" s="1343"/>
      <c r="AB1094" s="1343"/>
      <c r="AC1094" s="1343"/>
      <c r="AD1094" s="1343"/>
      <c r="AE1094" s="1343"/>
      <c r="AF1094" s="1343"/>
      <c r="AG1094" s="1343"/>
      <c r="AH1094" s="1343"/>
      <c r="AI1094" s="1343"/>
      <c r="AJ1094" s="1343"/>
      <c r="AK1094" s="1343"/>
      <c r="AL1094" s="1343"/>
      <c r="AM1094" s="1343"/>
      <c r="AN1094" s="1343"/>
      <c r="AO1094" s="1343"/>
      <c r="AP1094" s="1343"/>
      <c r="AQ1094" s="1343"/>
      <c r="AR1094" s="1343"/>
    </row>
    <row r="1095" spans="1:45" ht="12.95" customHeight="1">
      <c r="A1095" s="35"/>
      <c r="B1095" s="25"/>
      <c r="C1095" s="1526"/>
      <c r="D1095" s="1526"/>
      <c r="E1095" s="1343"/>
      <c r="F1095" s="1343"/>
      <c r="G1095" s="1343"/>
      <c r="H1095" s="1343"/>
      <c r="I1095" s="1343"/>
      <c r="J1095" s="1343"/>
      <c r="K1095" s="1343"/>
      <c r="L1095" s="1343"/>
      <c r="M1095" s="1343"/>
      <c r="N1095" s="1343"/>
      <c r="O1095" s="1343"/>
      <c r="P1095" s="1343"/>
      <c r="Q1095" s="1343"/>
      <c r="R1095" s="1343"/>
      <c r="S1095" s="1343"/>
      <c r="T1095" s="1343"/>
      <c r="U1095" s="1343"/>
      <c r="V1095" s="1343"/>
      <c r="W1095" s="1343"/>
      <c r="X1095" s="1343"/>
      <c r="Y1095" s="1343"/>
      <c r="Z1095" s="1343"/>
      <c r="AA1095" s="1343"/>
      <c r="AB1095" s="1343"/>
      <c r="AC1095" s="1343"/>
      <c r="AD1095" s="1343"/>
      <c r="AE1095" s="1343"/>
      <c r="AF1095" s="1343"/>
      <c r="AG1095" s="1343"/>
      <c r="AH1095" s="1343"/>
      <c r="AI1095" s="1343"/>
      <c r="AJ1095" s="1343"/>
      <c r="AK1095" s="1343"/>
      <c r="AL1095" s="1343"/>
      <c r="AM1095" s="1343"/>
      <c r="AN1095" s="1343"/>
      <c r="AO1095" s="1343"/>
      <c r="AP1095" s="1343"/>
      <c r="AQ1095" s="1343"/>
      <c r="AR1095" s="1343"/>
    </row>
    <row r="1096" spans="1:45" ht="12.95" customHeight="1">
      <c r="A1096" s="35"/>
      <c r="B1096" s="25"/>
      <c r="C1096" s="1526"/>
      <c r="D1096" s="152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98" t="s">
        <v>591</v>
      </c>
      <c r="B1097" s="1398"/>
      <c r="C1097" s="1856">
        <v>9</v>
      </c>
      <c r="D1097" s="1856"/>
      <c r="E1097" s="1343" t="s">
        <v>1075</v>
      </c>
      <c r="F1097" s="1343"/>
      <c r="G1097" s="1343"/>
      <c r="H1097" s="1343"/>
      <c r="I1097" s="1343"/>
      <c r="J1097" s="1343"/>
      <c r="K1097" s="1343"/>
      <c r="L1097" s="1343"/>
      <c r="M1097" s="1343"/>
      <c r="N1097" s="1343"/>
      <c r="O1097" s="1343"/>
      <c r="P1097" s="1343"/>
      <c r="Q1097" s="1343"/>
      <c r="R1097" s="1343"/>
      <c r="S1097" s="1343"/>
      <c r="T1097" s="1343"/>
      <c r="U1097" s="1343"/>
      <c r="V1097" s="1343"/>
      <c r="W1097" s="1343"/>
      <c r="X1097" s="1343"/>
      <c r="Y1097" s="1343"/>
      <c r="Z1097" s="1343"/>
      <c r="AA1097" s="1343"/>
      <c r="AB1097" s="1343"/>
      <c r="AC1097" s="1343"/>
      <c r="AD1097" s="1343"/>
      <c r="AE1097" s="1343"/>
      <c r="AF1097" s="1343"/>
      <c r="AG1097" s="1343"/>
      <c r="AH1097" s="1343"/>
      <c r="AI1097" s="1343"/>
      <c r="AJ1097" s="1343"/>
      <c r="AK1097" s="1343"/>
      <c r="AL1097" s="1343"/>
      <c r="AM1097" s="1343"/>
      <c r="AN1097" s="1343"/>
      <c r="AO1097" s="1343"/>
      <c r="AP1097" s="1343"/>
      <c r="AQ1097" s="1343"/>
      <c r="AR1097" s="1343"/>
    </row>
    <row r="1098" spans="1:45" ht="12.95" customHeight="1">
      <c r="A1098" s="1"/>
      <c r="B1098" s="1"/>
      <c r="C1098" s="1856"/>
      <c r="D1098" s="1856"/>
      <c r="E1098" s="1343"/>
      <c r="F1098" s="1343"/>
      <c r="G1098" s="1343"/>
      <c r="H1098" s="1343"/>
      <c r="I1098" s="1343"/>
      <c r="J1098" s="1343"/>
      <c r="K1098" s="1343"/>
      <c r="L1098" s="1343"/>
      <c r="M1098" s="1343"/>
      <c r="N1098" s="1343"/>
      <c r="O1098" s="1343"/>
      <c r="P1098" s="1343"/>
      <c r="Q1098" s="1343"/>
      <c r="R1098" s="1343"/>
      <c r="S1098" s="1343"/>
      <c r="T1098" s="1343"/>
      <c r="U1098" s="1343"/>
      <c r="V1098" s="1343"/>
      <c r="W1098" s="1343"/>
      <c r="X1098" s="1343"/>
      <c r="Y1098" s="1343"/>
      <c r="Z1098" s="1343"/>
      <c r="AA1098" s="1343"/>
      <c r="AB1098" s="1343"/>
      <c r="AC1098" s="1343"/>
      <c r="AD1098" s="1343"/>
      <c r="AE1098" s="1343"/>
      <c r="AF1098" s="1343"/>
      <c r="AG1098" s="1343"/>
      <c r="AH1098" s="1343"/>
      <c r="AI1098" s="1343"/>
      <c r="AJ1098" s="1343"/>
      <c r="AK1098" s="1343"/>
      <c r="AL1098" s="1343"/>
      <c r="AM1098" s="1343"/>
      <c r="AN1098" s="1343"/>
      <c r="AO1098" s="1343"/>
      <c r="AP1098" s="1343"/>
      <c r="AQ1098" s="1343"/>
      <c r="AR1098" s="1343"/>
    </row>
    <row r="1099" spans="1:45" ht="12.95"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98" t="s">
        <v>591</v>
      </c>
      <c r="B1100" s="1398"/>
      <c r="C1100" s="1856">
        <v>10</v>
      </c>
      <c r="D1100" s="1856"/>
      <c r="E1100" s="1863" t="s">
        <v>2242</v>
      </c>
      <c r="F1100" s="1863"/>
      <c r="G1100" s="1863"/>
      <c r="H1100" s="1863"/>
      <c r="I1100" s="1863"/>
      <c r="J1100" s="1863"/>
      <c r="K1100" s="1863"/>
      <c r="L1100" s="1863"/>
      <c r="M1100" s="1863"/>
      <c r="N1100" s="1863"/>
      <c r="O1100" s="1863"/>
      <c r="P1100" s="1863"/>
      <c r="Q1100" s="1863"/>
      <c r="R1100" s="1863"/>
      <c r="S1100" s="1863"/>
      <c r="T1100" s="1863"/>
      <c r="U1100" s="1863"/>
      <c r="V1100" s="1863"/>
      <c r="W1100" s="1863"/>
      <c r="X1100" s="1863"/>
      <c r="Y1100" s="1863"/>
      <c r="Z1100" s="1863"/>
      <c r="AA1100" s="1863"/>
      <c r="AB1100" s="1863"/>
      <c r="AC1100" s="1863"/>
      <c r="AD1100" s="1863"/>
      <c r="AE1100" s="1863"/>
      <c r="AF1100" s="1863"/>
      <c r="AG1100" s="1863"/>
      <c r="AH1100" s="1863"/>
      <c r="AI1100" s="1863"/>
      <c r="AJ1100" s="1863"/>
      <c r="AK1100" s="1863"/>
      <c r="AL1100" s="1863"/>
      <c r="AM1100" s="1863"/>
      <c r="AN1100" s="1863"/>
      <c r="AO1100" s="1863"/>
      <c r="AP1100" s="1863"/>
      <c r="AQ1100" s="1863"/>
      <c r="AR1100" s="1863"/>
    </row>
    <row r="1101" spans="1:45" ht="12.95" customHeight="1">
      <c r="A1101" s="1"/>
      <c r="B1101" s="1"/>
      <c r="C1101" s="199"/>
      <c r="D1101" s="1163"/>
      <c r="E1101" s="1863"/>
      <c r="F1101" s="1863"/>
      <c r="G1101" s="1863"/>
      <c r="H1101" s="1863"/>
      <c r="I1101" s="1863"/>
      <c r="J1101" s="1863"/>
      <c r="K1101" s="1863"/>
      <c r="L1101" s="1863"/>
      <c r="M1101" s="1863"/>
      <c r="N1101" s="1863"/>
      <c r="O1101" s="1863"/>
      <c r="P1101" s="1863"/>
      <c r="Q1101" s="1863"/>
      <c r="R1101" s="1863"/>
      <c r="S1101" s="1863"/>
      <c r="T1101" s="1863"/>
      <c r="U1101" s="1863"/>
      <c r="V1101" s="1863"/>
      <c r="W1101" s="1863"/>
      <c r="X1101" s="1863"/>
      <c r="Y1101" s="1863"/>
      <c r="Z1101" s="1863"/>
      <c r="AA1101" s="1863"/>
      <c r="AB1101" s="1863"/>
      <c r="AC1101" s="1863"/>
      <c r="AD1101" s="1863"/>
      <c r="AE1101" s="1863"/>
      <c r="AF1101" s="1863"/>
      <c r="AG1101" s="1863"/>
      <c r="AH1101" s="1863"/>
      <c r="AI1101" s="1863"/>
      <c r="AJ1101" s="1863"/>
      <c r="AK1101" s="1863"/>
      <c r="AL1101" s="1863"/>
      <c r="AM1101" s="1863"/>
      <c r="AN1101" s="1863"/>
      <c r="AO1101" s="1863"/>
      <c r="AP1101" s="1863"/>
      <c r="AQ1101" s="1863"/>
      <c r="AR1101" s="186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98" t="s">
        <v>591</v>
      </c>
      <c r="B1103" s="1398"/>
      <c r="C1103" s="1856">
        <v>11</v>
      </c>
      <c r="D1103" s="1856"/>
      <c r="E1103" s="1863" t="s">
        <v>2244</v>
      </c>
      <c r="F1103" s="1863"/>
      <c r="G1103" s="1863"/>
      <c r="H1103" s="1863"/>
      <c r="I1103" s="1863"/>
      <c r="J1103" s="1863"/>
      <c r="K1103" s="1863"/>
      <c r="L1103" s="1863"/>
      <c r="M1103" s="1863"/>
      <c r="N1103" s="1863"/>
      <c r="O1103" s="1863"/>
      <c r="P1103" s="1863"/>
      <c r="Q1103" s="1863"/>
      <c r="R1103" s="1863"/>
      <c r="S1103" s="1863"/>
      <c r="T1103" s="1863"/>
      <c r="U1103" s="1863"/>
      <c r="V1103" s="1863"/>
      <c r="W1103" s="1863"/>
      <c r="X1103" s="1863"/>
      <c r="Y1103" s="1863"/>
      <c r="Z1103" s="1863"/>
      <c r="AA1103" s="1863"/>
      <c r="AB1103" s="1863"/>
      <c r="AC1103" s="1863"/>
      <c r="AD1103" s="1863"/>
      <c r="AE1103" s="1863"/>
      <c r="AF1103" s="1863"/>
      <c r="AG1103" s="1863"/>
      <c r="AH1103" s="1863"/>
      <c r="AI1103" s="1863"/>
      <c r="AJ1103" s="1863"/>
      <c r="AK1103" s="1863"/>
      <c r="AL1103" s="1863"/>
      <c r="AM1103" s="1863"/>
      <c r="AN1103" s="1863"/>
      <c r="AO1103" s="1863"/>
      <c r="AP1103" s="1863"/>
      <c r="AQ1103" s="1863"/>
      <c r="AR1103" s="1863"/>
    </row>
    <row r="1104" spans="1:45" ht="12.95" customHeight="1">
      <c r="A1104" s="1"/>
      <c r="B1104" s="1"/>
      <c r="C1104" s="199"/>
      <c r="D1104" s="1163"/>
      <c r="E1104" s="1863"/>
      <c r="F1104" s="1863"/>
      <c r="G1104" s="1863"/>
      <c r="H1104" s="1863"/>
      <c r="I1104" s="1863"/>
      <c r="J1104" s="1863"/>
      <c r="K1104" s="1863"/>
      <c r="L1104" s="1863"/>
      <c r="M1104" s="1863"/>
      <c r="N1104" s="1863"/>
      <c r="O1104" s="1863"/>
      <c r="P1104" s="1863"/>
      <c r="Q1104" s="1863"/>
      <c r="R1104" s="1863"/>
      <c r="S1104" s="1863"/>
      <c r="T1104" s="1863"/>
      <c r="U1104" s="1863"/>
      <c r="V1104" s="1863"/>
      <c r="W1104" s="1863"/>
      <c r="X1104" s="1863"/>
      <c r="Y1104" s="1863"/>
      <c r="Z1104" s="1863"/>
      <c r="AA1104" s="1863"/>
      <c r="AB1104" s="1863"/>
      <c r="AC1104" s="1863"/>
      <c r="AD1104" s="1863"/>
      <c r="AE1104" s="1863"/>
      <c r="AF1104" s="1863"/>
      <c r="AG1104" s="1863"/>
      <c r="AH1104" s="1863"/>
      <c r="AI1104" s="1863"/>
      <c r="AJ1104" s="1863"/>
      <c r="AK1104" s="1863"/>
      <c r="AL1104" s="1863"/>
      <c r="AM1104" s="1863"/>
      <c r="AN1104" s="1863"/>
      <c r="AO1104" s="1863"/>
      <c r="AP1104" s="1863"/>
      <c r="AQ1104" s="1863"/>
      <c r="AR1104" s="186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98" t="s">
        <v>591</v>
      </c>
      <c r="B1125" s="1398"/>
      <c r="C1125" s="199">
        <v>9</v>
      </c>
      <c r="D1125" s="1275" t="s">
        <v>1074</v>
      </c>
      <c r="E1125" s="1275"/>
      <c r="F1125" s="1275"/>
      <c r="G1125" s="1275"/>
      <c r="H1125" s="1275"/>
      <c r="I1125" s="1275"/>
      <c r="J1125" s="1275"/>
      <c r="K1125" s="1275"/>
      <c r="L1125" s="1275"/>
      <c r="M1125" s="1275"/>
      <c r="N1125" s="1275"/>
      <c r="O1125" s="1275"/>
      <c r="P1125" s="1275"/>
      <c r="Q1125" s="1275"/>
      <c r="R1125" s="1275"/>
      <c r="S1125" s="1275"/>
      <c r="T1125" s="1275"/>
      <c r="U1125" s="1275"/>
      <c r="V1125" s="1275"/>
      <c r="W1125" s="1275"/>
      <c r="X1125" s="1275"/>
      <c r="Y1125" s="1275"/>
      <c r="Z1125" s="1275"/>
      <c r="AA1125" s="1275"/>
      <c r="AB1125" s="1275"/>
      <c r="AC1125" s="1275"/>
      <c r="AD1125" s="1275"/>
      <c r="AE1125" s="1275"/>
      <c r="AF1125" s="1275"/>
      <c r="AG1125" s="1275"/>
      <c r="AH1125" s="1275"/>
      <c r="AI1125" s="1275"/>
      <c r="AJ1125" s="1275"/>
      <c r="AK1125" s="1275"/>
    </row>
    <row r="1126" spans="1:37" ht="0" hidden="1" customHeight="1">
      <c r="A1126" s="35"/>
      <c r="B1126" s="25"/>
      <c r="C1126" s="199"/>
      <c r="D1126" s="1275"/>
      <c r="E1126" s="1275"/>
      <c r="F1126" s="1275"/>
      <c r="G1126" s="1275"/>
      <c r="H1126" s="1275"/>
      <c r="I1126" s="1275"/>
      <c r="J1126" s="1275"/>
      <c r="K1126" s="1275"/>
      <c r="L1126" s="1275"/>
      <c r="M1126" s="1275"/>
      <c r="N1126" s="1275"/>
      <c r="O1126" s="1275"/>
      <c r="P1126" s="1275"/>
      <c r="Q1126" s="1275"/>
      <c r="R1126" s="1275"/>
      <c r="S1126" s="1275"/>
      <c r="T1126" s="1275"/>
      <c r="U1126" s="1275"/>
      <c r="V1126" s="1275"/>
      <c r="W1126" s="1275"/>
      <c r="X1126" s="1275"/>
      <c r="Y1126" s="1275"/>
      <c r="Z1126" s="1275"/>
      <c r="AA1126" s="1275"/>
      <c r="AB1126" s="1275"/>
      <c r="AC1126" s="1275"/>
      <c r="AD1126" s="1275"/>
      <c r="AE1126" s="1275"/>
      <c r="AF1126" s="1275"/>
      <c r="AG1126" s="1275"/>
      <c r="AH1126" s="1275"/>
      <c r="AI1126" s="1275"/>
      <c r="AJ1126" s="1275"/>
      <c r="AK1126" s="1275"/>
    </row>
    <row r="1127" spans="1:37" ht="0" hidden="1" customHeight="1">
      <c r="D1127" s="1275"/>
      <c r="E1127" s="1275"/>
      <c r="F1127" s="1275"/>
      <c r="G1127" s="1275"/>
      <c r="H1127" s="1275"/>
      <c r="I1127" s="1275"/>
      <c r="J1127" s="1275"/>
      <c r="K1127" s="1275"/>
      <c r="L1127" s="1275"/>
      <c r="M1127" s="1275"/>
      <c r="N1127" s="1275"/>
      <c r="O1127" s="1275"/>
      <c r="P1127" s="1275"/>
      <c r="Q1127" s="1275"/>
      <c r="R1127" s="1275"/>
      <c r="S1127" s="1275"/>
      <c r="T1127" s="1275"/>
      <c r="U1127" s="1275"/>
      <c r="V1127" s="1275"/>
      <c r="W1127" s="1275"/>
      <c r="X1127" s="1275"/>
      <c r="Y1127" s="1275"/>
      <c r="Z1127" s="1275"/>
      <c r="AA1127" s="1275"/>
      <c r="AB1127" s="1275"/>
      <c r="AC1127" s="1275"/>
      <c r="AD1127" s="1275"/>
      <c r="AE1127" s="1275"/>
      <c r="AF1127" s="1275"/>
      <c r="AG1127" s="1275"/>
      <c r="AH1127" s="1275"/>
      <c r="AI1127" s="1275"/>
      <c r="AJ1127" s="1275"/>
      <c r="AK1127" s="1275"/>
    </row>
    <row r="1137" ht="15" hidden="1" customHeight="1"/>
    <row r="2017" ht="9.9499999999999993" hidden="1" customHeight="1"/>
  </sheetData>
  <sheetProtection algorithmName="SHA-512" hashValue="tMSyG2fMJajj45V2yUgiXMEjERTCJn0D0b8Rj56QWWoic6t55kic1Hbv9c5xbNYVbKFo+kzr4d8YZtN817Rllw==" saltValue="N6zDAUmuvgot4IweVxs11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67">
    <mergeCell ref="H304:R304"/>
    <mergeCell ref="H303:R303"/>
    <mergeCell ref="H305:R305"/>
    <mergeCell ref="H306:R306"/>
    <mergeCell ref="H312:R312"/>
    <mergeCell ref="H314:R314"/>
    <mergeCell ref="H313:R313"/>
    <mergeCell ref="H311:R311"/>
    <mergeCell ref="H293:R293"/>
    <mergeCell ref="AA304:AK304"/>
    <mergeCell ref="AA309:AK309"/>
    <mergeCell ref="AA307:AF307"/>
    <mergeCell ref="AA305:AK305"/>
    <mergeCell ref="AA339:AF339"/>
    <mergeCell ref="H339:M339"/>
    <mergeCell ref="H331:M331"/>
    <mergeCell ref="H319:R319"/>
    <mergeCell ref="H320:R320"/>
    <mergeCell ref="H321:R321"/>
    <mergeCell ref="H322:R322"/>
    <mergeCell ref="AA321:AK321"/>
    <mergeCell ref="AA319:AK319"/>
    <mergeCell ref="AA322:AK322"/>
    <mergeCell ref="AA320:AK320"/>
    <mergeCell ref="H330:R330"/>
    <mergeCell ref="H329:R329"/>
    <mergeCell ref="H316:M316"/>
    <mergeCell ref="AA306:AK306"/>
    <mergeCell ref="AA303:AK303"/>
    <mergeCell ref="AA296:AK296"/>
    <mergeCell ref="AA336:AK336"/>
    <mergeCell ref="A1061:AQ1061"/>
    <mergeCell ref="AF1017:AI101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7:D1087"/>
    <mergeCell ref="C1088:D1088"/>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K751:AO751"/>
    <mergeCell ref="C766:AR768"/>
    <mergeCell ref="Z809:AE809"/>
    <mergeCell ref="O791:S791"/>
    <mergeCell ref="J783:N786"/>
    <mergeCell ref="T790:W790"/>
    <mergeCell ref="T793:W793"/>
    <mergeCell ref="O775:S775"/>
    <mergeCell ref="J792:N792"/>
    <mergeCell ref="Z806:AE806"/>
    <mergeCell ref="X791:AB791"/>
    <mergeCell ref="C826:H826"/>
    <mergeCell ref="A910:AT911"/>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H328:R328"/>
    <mergeCell ref="H327:R327"/>
    <mergeCell ref="H337:R337"/>
    <mergeCell ref="H338:R338"/>
    <mergeCell ref="H336:R336"/>
    <mergeCell ref="H335:R335"/>
    <mergeCell ref="AA338:AK338"/>
    <mergeCell ref="AA335:AK335"/>
    <mergeCell ref="EM636:EQ636"/>
    <mergeCell ref="DX637:EB637"/>
    <mergeCell ref="AC633:AE633"/>
    <mergeCell ref="B639:AN639"/>
    <mergeCell ref="B640:AN640"/>
    <mergeCell ref="B719:F719"/>
    <mergeCell ref="EH647:EL647"/>
    <mergeCell ref="EM647:EQ647"/>
    <mergeCell ref="DX648:EB648"/>
    <mergeCell ref="DX651:EB651"/>
    <mergeCell ref="EC651:EG651"/>
    <mergeCell ref="EM648:EQ648"/>
    <mergeCell ref="DX649:EB649"/>
    <mergeCell ref="DX655:EB655"/>
    <mergeCell ref="EE729:EI729"/>
    <mergeCell ref="DZ724:ED724"/>
    <mergeCell ref="EE734:EI734"/>
    <mergeCell ref="AC731:AG731"/>
    <mergeCell ref="B731:F731"/>
    <mergeCell ref="B730:F730"/>
    <mergeCell ref="B725:F725"/>
    <mergeCell ref="AH733:AJ733"/>
    <mergeCell ref="X721:AB721"/>
    <mergeCell ref="AH732:AJ732"/>
    <mergeCell ref="W563:Y563"/>
    <mergeCell ref="W564:Y564"/>
    <mergeCell ref="W565:Y565"/>
    <mergeCell ref="W635:Y635"/>
    <mergeCell ref="Z597:AE597"/>
    <mergeCell ref="G605:L605"/>
    <mergeCell ref="G604:R604"/>
    <mergeCell ref="AF629:AJ629"/>
    <mergeCell ref="AI613:AK613"/>
    <mergeCell ref="AA614:AK614"/>
    <mergeCell ref="AC624:AE626"/>
    <mergeCell ref="AC635:AE635"/>
    <mergeCell ref="N615:O615"/>
    <mergeCell ref="AA337:AK337"/>
    <mergeCell ref="W555:Y555"/>
    <mergeCell ref="AK734:AO734"/>
    <mergeCell ref="AK735:AO735"/>
    <mergeCell ref="AK730:AO730"/>
    <mergeCell ref="AC730:AG730"/>
    <mergeCell ref="X725:AB725"/>
    <mergeCell ref="X727:AB727"/>
    <mergeCell ref="G728:J728"/>
    <mergeCell ref="O731:S731"/>
    <mergeCell ref="AK731:AO731"/>
    <mergeCell ref="K735:N735"/>
    <mergeCell ref="AI339:AK339"/>
    <mergeCell ref="CI753:CJ753"/>
    <mergeCell ref="CM753:CN753"/>
    <mergeCell ref="CK751:CL751"/>
    <mergeCell ref="AO637:AS637"/>
    <mergeCell ref="AK736:AO736"/>
    <mergeCell ref="CI730:CJ730"/>
    <mergeCell ref="CI736:CJ736"/>
    <mergeCell ref="CI751:CJ751"/>
    <mergeCell ref="CP735:CT735"/>
    <mergeCell ref="DJ736:DN736"/>
    <mergeCell ref="DE736:DI736"/>
    <mergeCell ref="CM740:CN740"/>
    <mergeCell ref="AK749:AO749"/>
    <mergeCell ref="EJ739:EN739"/>
    <mergeCell ref="K736:N736"/>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Z629:AB629"/>
    <mergeCell ref="AC638:AE63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J738:EN738"/>
    <mergeCell ref="DE735:DI735"/>
    <mergeCell ref="EM651:EQ651"/>
    <mergeCell ref="DX645:EB645"/>
    <mergeCell ref="ER649:EV649"/>
    <mergeCell ref="DU719:DY719"/>
    <mergeCell ref="EE717:EI717"/>
    <mergeCell ref="EJ720:EN720"/>
    <mergeCell ref="EC661:EG661"/>
    <mergeCell ref="EH661:EL661"/>
    <mergeCell ref="EO740:ES740"/>
    <mergeCell ref="ER669:EV669"/>
    <mergeCell ref="ER668:EV668"/>
    <mergeCell ref="EH654:EL654"/>
    <mergeCell ref="EH668:EL668"/>
    <mergeCell ref="DX657:EB657"/>
    <mergeCell ref="EC657:EG657"/>
    <mergeCell ref="EH657:EL657"/>
    <mergeCell ref="EM657:EQ657"/>
    <mergeCell ref="ET717:EX717"/>
    <mergeCell ref="CP794:CT794"/>
    <mergeCell ref="EW660:FA660"/>
    <mergeCell ref="CP753:CT753"/>
    <mergeCell ref="DO732:DS732"/>
    <mergeCell ref="CP775:CT775"/>
    <mergeCell ref="CP776:CT776"/>
    <mergeCell ref="DJ734:DN734"/>
    <mergeCell ref="EH651:EL651"/>
    <mergeCell ref="EH650:EL650"/>
    <mergeCell ref="EO736:ES736"/>
    <mergeCell ref="DO735:DS735"/>
    <mergeCell ref="DO736:DS736"/>
    <mergeCell ref="CZ737:DD737"/>
    <mergeCell ref="DE733:DI733"/>
    <mergeCell ref="CU735:CY735"/>
    <mergeCell ref="CZ751:DD751"/>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AC724:AG724"/>
    <mergeCell ref="AE693:AF693"/>
    <mergeCell ref="AH727:AJ727"/>
    <mergeCell ref="DU729:DY729"/>
    <mergeCell ref="AK729:AO729"/>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X661:EB661"/>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DX668:EB668"/>
    <mergeCell ref="EC668:EG668"/>
    <mergeCell ref="EW661:FA661"/>
    <mergeCell ref="EM662:EQ662"/>
    <mergeCell ref="ER662:EV662"/>
    <mergeCell ref="EM641:EQ641"/>
    <mergeCell ref="ER655:EV655"/>
    <mergeCell ref="EH648:EL648"/>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DX662:EB662"/>
    <mergeCell ref="EC662:EG662"/>
    <mergeCell ref="EH662:EL662"/>
    <mergeCell ref="DX659:EB659"/>
    <mergeCell ref="DX652:EB652"/>
    <mergeCell ref="EC652:EG652"/>
    <mergeCell ref="EH652:EL652"/>
    <mergeCell ref="ER650:EV650"/>
    <mergeCell ref="EM650:EQ650"/>
    <mergeCell ref="DX653:EB653"/>
    <mergeCell ref="EC653:EG653"/>
    <mergeCell ref="EJ725:EN725"/>
    <mergeCell ref="DZ728:ED728"/>
    <mergeCell ref="ER660:EV660"/>
    <mergeCell ref="EH666:EL666"/>
    <mergeCell ref="EC654:EG654"/>
    <mergeCell ref="ET723:EX723"/>
    <mergeCell ref="EE725:EI725"/>
    <mergeCell ref="EO731:ES731"/>
    <mergeCell ref="ET731:EX731"/>
    <mergeCell ref="EJ727:EN727"/>
    <mergeCell ref="EO729:ES729"/>
    <mergeCell ref="ET729:EX729"/>
    <mergeCell ref="EO719:ES719"/>
    <mergeCell ref="EE724:EI724"/>
    <mergeCell ref="EW657:FA657"/>
    <mergeCell ref="EH659:EL659"/>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Z729:ED729"/>
    <mergeCell ref="ET727:EX727"/>
    <mergeCell ref="DZ727:ED727"/>
    <mergeCell ref="EE727:EI727"/>
    <mergeCell ref="EE723:EI723"/>
    <mergeCell ref="EJ723:EN723"/>
    <mergeCell ref="EO725:ES725"/>
    <mergeCell ref="DU731:DY731"/>
    <mergeCell ref="ET722:EX722"/>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DU733:DY733"/>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EJ724:EN724"/>
    <mergeCell ref="EO723:ES723"/>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M959:S959"/>
    <mergeCell ref="D1030:AE1031"/>
    <mergeCell ref="B993:AE993"/>
    <mergeCell ref="AJ1029:AQ1031"/>
    <mergeCell ref="D1029:AE1029"/>
    <mergeCell ref="B991:AA991"/>
    <mergeCell ref="D994:AE994"/>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AJ1041:AQ1044"/>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AB917:AE917"/>
    <mergeCell ref="AA922:AF922"/>
    <mergeCell ref="M958:S958"/>
    <mergeCell ref="AA972:AG972"/>
    <mergeCell ref="AO630:AS630"/>
    <mergeCell ref="G669:R669"/>
    <mergeCell ref="K728:N728"/>
    <mergeCell ref="K731:N731"/>
    <mergeCell ref="G729:J729"/>
    <mergeCell ref="T735:W735"/>
    <mergeCell ref="T734:W734"/>
    <mergeCell ref="G732:J732"/>
    <mergeCell ref="M635:P635"/>
    <mergeCell ref="W637:Y637"/>
    <mergeCell ref="G683:R683"/>
    <mergeCell ref="N681:O681"/>
    <mergeCell ref="AK750:AO750"/>
    <mergeCell ref="AK748:AO748"/>
    <mergeCell ref="K737:N737"/>
    <mergeCell ref="AH735:AJ735"/>
    <mergeCell ref="K747:N747"/>
    <mergeCell ref="AF638:AJ638"/>
    <mergeCell ref="O737:S737"/>
    <mergeCell ref="O736:S736"/>
    <mergeCell ref="AH737:AJ737"/>
    <mergeCell ref="G736:J736"/>
    <mergeCell ref="B740:F740"/>
    <mergeCell ref="O739:S739"/>
    <mergeCell ref="O740:S740"/>
    <mergeCell ref="K741:N741"/>
    <mergeCell ref="Q823:T824"/>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C739:AG739"/>
    <mergeCell ref="G752:J752"/>
    <mergeCell ref="B752:F752"/>
    <mergeCell ref="K752:N752"/>
    <mergeCell ref="J774:N774"/>
    <mergeCell ref="X792:AB792"/>
    <mergeCell ref="AH748:AJ748"/>
    <mergeCell ref="O722:S722"/>
    <mergeCell ref="G723:J723"/>
    <mergeCell ref="O725:S725"/>
    <mergeCell ref="O726:S726"/>
    <mergeCell ref="AC733:AG733"/>
    <mergeCell ref="X735:AB735"/>
    <mergeCell ref="D1000:AE1000"/>
    <mergeCell ref="J776:N776"/>
    <mergeCell ref="B739:F739"/>
    <mergeCell ref="AH751:AJ751"/>
    <mergeCell ref="G753:J753"/>
    <mergeCell ref="AD759:AF759"/>
    <mergeCell ref="K739:N739"/>
    <mergeCell ref="AC734:AG734"/>
    <mergeCell ref="AC735:AG735"/>
    <mergeCell ref="B751:F751"/>
    <mergeCell ref="O732:S732"/>
    <mergeCell ref="G737:J737"/>
    <mergeCell ref="G735:J735"/>
    <mergeCell ref="K743:N743"/>
    <mergeCell ref="O743:S743"/>
    <mergeCell ref="T743:W743"/>
    <mergeCell ref="K744:N744"/>
    <mergeCell ref="O744:S744"/>
    <mergeCell ref="K746:N746"/>
    <mergeCell ref="Z818:AE818"/>
    <mergeCell ref="T795:W795"/>
    <mergeCell ref="T776:W776"/>
    <mergeCell ref="T774:W774"/>
    <mergeCell ref="Y801:AC801"/>
    <mergeCell ref="Y800:AC800"/>
    <mergeCell ref="J788:N788"/>
    <mergeCell ref="T741:W741"/>
    <mergeCell ref="O794:S794"/>
    <mergeCell ref="X769:AB772"/>
    <mergeCell ref="T769:W772"/>
    <mergeCell ref="AC793:AG793"/>
    <mergeCell ref="X775:AB775"/>
    <mergeCell ref="X776:AB776"/>
    <mergeCell ref="O776:S776"/>
    <mergeCell ref="O769:S772"/>
    <mergeCell ref="B754:AH755"/>
    <mergeCell ref="T751:W751"/>
    <mergeCell ref="K748:N748"/>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7:AB747"/>
    <mergeCell ref="AH752:AJ752"/>
    <mergeCell ref="U823:X824"/>
    <mergeCell ref="G739:J739"/>
    <mergeCell ref="X741:AB741"/>
    <mergeCell ref="O747:S747"/>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A920:AF920"/>
    <mergeCell ref="AA919:AF919"/>
    <mergeCell ref="U925:Z925"/>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20:Z920"/>
    <mergeCell ref="M968:S968"/>
    <mergeCell ref="F932:T932"/>
    <mergeCell ref="AA939:AF939"/>
    <mergeCell ref="AA940:AF940"/>
    <mergeCell ref="W853:AC853"/>
    <mergeCell ref="F944:T944"/>
    <mergeCell ref="U944:Z944"/>
    <mergeCell ref="W845:AC845"/>
    <mergeCell ref="M846:V846"/>
    <mergeCell ref="J849:V849"/>
    <mergeCell ref="W846:AC846"/>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U926:Z926"/>
    <mergeCell ref="AA926:AF926"/>
    <mergeCell ref="U927:Z927"/>
    <mergeCell ref="AA927:AF927"/>
    <mergeCell ref="F929:T929"/>
    <mergeCell ref="AC887:AH887"/>
    <mergeCell ref="W866:AC866"/>
    <mergeCell ref="W859:AC859"/>
    <mergeCell ref="W849:AC849"/>
    <mergeCell ref="M877:V877"/>
    <mergeCell ref="W869:AC869"/>
    <mergeCell ref="W842:AC842"/>
    <mergeCell ref="W847:AC847"/>
    <mergeCell ref="W876:AC876"/>
    <mergeCell ref="M861:V861"/>
    <mergeCell ref="C830:H830"/>
    <mergeCell ref="F831:L831"/>
    <mergeCell ref="U827:X827"/>
    <mergeCell ref="C827:H827"/>
    <mergeCell ref="I949:T949"/>
    <mergeCell ref="U938:Z938"/>
    <mergeCell ref="M955:S955"/>
    <mergeCell ref="U928:Z928"/>
    <mergeCell ref="U948:Z948"/>
    <mergeCell ref="U935:Z935"/>
    <mergeCell ref="AA923:AF923"/>
    <mergeCell ref="D1046:AE1047"/>
    <mergeCell ref="M826:P826"/>
    <mergeCell ref="M871:V871"/>
    <mergeCell ref="M878:V878"/>
    <mergeCell ref="Q825:T825"/>
    <mergeCell ref="W870:AC870"/>
    <mergeCell ref="U946:Z946"/>
    <mergeCell ref="AA944:AF944"/>
    <mergeCell ref="AA928:AF928"/>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AE956:AK956"/>
    <mergeCell ref="P945:T945"/>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DE739:DI739"/>
    <mergeCell ref="AH750:AJ750"/>
    <mergeCell ref="CK752:CL752"/>
    <mergeCell ref="W843:AC843"/>
    <mergeCell ref="Q832:T832"/>
    <mergeCell ref="AG830:AJ830"/>
    <mergeCell ref="U832:X832"/>
    <mergeCell ref="M832:P832"/>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Z734:ED734"/>
    <mergeCell ref="DU726:DY726"/>
    <mergeCell ref="EO721:ES721"/>
    <mergeCell ref="EE722:EI722"/>
    <mergeCell ref="DZ733:ED733"/>
    <mergeCell ref="DU734:DY734"/>
    <mergeCell ref="EO732:ES732"/>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0:EX720"/>
    <mergeCell ref="K730:N730"/>
    <mergeCell ref="EO728:ES728"/>
    <mergeCell ref="ET728:EX728"/>
    <mergeCell ref="EJ729:EN729"/>
    <mergeCell ref="DZ731:ED731"/>
    <mergeCell ref="DZ726:ED726"/>
    <mergeCell ref="DU728:DY728"/>
    <mergeCell ref="DU722:DY722"/>
    <mergeCell ref="DO725:DS725"/>
    <mergeCell ref="DO721:DS721"/>
    <mergeCell ref="Z671:AE671"/>
    <mergeCell ref="CP721:CT721"/>
    <mergeCell ref="AF631:AJ631"/>
    <mergeCell ref="AK633:AN633"/>
    <mergeCell ref="Z645:AK645"/>
    <mergeCell ref="AE699:AI699"/>
    <mergeCell ref="DE720:DI720"/>
    <mergeCell ref="DE724:DI724"/>
    <mergeCell ref="AA672:AK672"/>
    <mergeCell ref="Z684:AK684"/>
    <mergeCell ref="Z687:AE687"/>
    <mergeCell ref="AH718:AJ718"/>
    <mergeCell ref="AC718:AG718"/>
    <mergeCell ref="AK714:AO717"/>
    <mergeCell ref="AK718:AO718"/>
    <mergeCell ref="G684:R684"/>
    <mergeCell ref="T721:W721"/>
    <mergeCell ref="T727:W727"/>
    <mergeCell ref="DX654:EB654"/>
    <mergeCell ref="DX643:EB643"/>
    <mergeCell ref="G671:L671"/>
    <mergeCell ref="Z588:AK588"/>
    <mergeCell ref="Z578:AK578"/>
    <mergeCell ref="AK726:AO726"/>
    <mergeCell ref="AC630:AE630"/>
    <mergeCell ref="Z667:AK667"/>
    <mergeCell ref="Z686:AK686"/>
    <mergeCell ref="Z675:AK675"/>
    <mergeCell ref="AO640:AS640"/>
    <mergeCell ref="AO633:AS633"/>
    <mergeCell ref="AO632:AS632"/>
    <mergeCell ref="AC628:AE628"/>
    <mergeCell ref="AK719:AO719"/>
    <mergeCell ref="E707:AK707"/>
    <mergeCell ref="W706:AK706"/>
    <mergeCell ref="H680:R680"/>
    <mergeCell ref="B714:F717"/>
    <mergeCell ref="B726:F726"/>
    <mergeCell ref="H688:R688"/>
    <mergeCell ref="K721:N721"/>
    <mergeCell ref="O721:S721"/>
    <mergeCell ref="K722:N722"/>
    <mergeCell ref="K723:N723"/>
    <mergeCell ref="T723:W723"/>
    <mergeCell ref="AA598:AK598"/>
    <mergeCell ref="G593:R593"/>
    <mergeCell ref="Z610:AK610"/>
    <mergeCell ref="AC629:AE629"/>
    <mergeCell ref="Z652:AK652"/>
    <mergeCell ref="G661:R661"/>
    <mergeCell ref="Z659:AK659"/>
    <mergeCell ref="N657:O657"/>
    <mergeCell ref="Z660:AK660"/>
    <mergeCell ref="DO727:DS727"/>
    <mergeCell ref="DO728:DS728"/>
    <mergeCell ref="DO722:DS722"/>
    <mergeCell ref="DO723:DS723"/>
    <mergeCell ref="DO724:DS724"/>
    <mergeCell ref="DJ721:DN721"/>
    <mergeCell ref="DO726:DS726"/>
    <mergeCell ref="AK728:AO728"/>
    <mergeCell ref="G659:R659"/>
    <mergeCell ref="G675:R675"/>
    <mergeCell ref="T718:W718"/>
    <mergeCell ref="G719:J719"/>
    <mergeCell ref="AK630:AN630"/>
    <mergeCell ref="AK631:AN631"/>
    <mergeCell ref="AK632:AN632"/>
    <mergeCell ref="AI671:AK671"/>
    <mergeCell ref="AE696:AI696"/>
    <mergeCell ref="AC727:AG727"/>
    <mergeCell ref="AC728:AG728"/>
    <mergeCell ref="AI687:AK687"/>
    <mergeCell ref="AK637:AN637"/>
    <mergeCell ref="M634:P634"/>
    <mergeCell ref="Z661:AK661"/>
    <mergeCell ref="AG681:AH681"/>
    <mergeCell ref="T633:V633"/>
    <mergeCell ref="Z662:AK662"/>
    <mergeCell ref="G654:R654"/>
    <mergeCell ref="G653:R653"/>
    <mergeCell ref="G670:R670"/>
    <mergeCell ref="Z669:AK669"/>
    <mergeCell ref="AA680:AK680"/>
    <mergeCell ref="Z685:AK685"/>
    <mergeCell ref="W554:Y554"/>
    <mergeCell ref="AM559:AS559"/>
    <mergeCell ref="CG725:CH725"/>
    <mergeCell ref="Z594:AK594"/>
    <mergeCell ref="AC632:AE632"/>
    <mergeCell ref="H672:R672"/>
    <mergeCell ref="AO636:AS636"/>
    <mergeCell ref="G667:R667"/>
    <mergeCell ref="G647:L647"/>
    <mergeCell ref="C638:L638"/>
    <mergeCell ref="G655:L655"/>
    <mergeCell ref="H656:R656"/>
    <mergeCell ref="AG649:AH649"/>
    <mergeCell ref="AE565:AH565"/>
    <mergeCell ref="G587:R587"/>
    <mergeCell ref="G578:R578"/>
    <mergeCell ref="Z670:AK670"/>
    <mergeCell ref="Q624:S626"/>
    <mergeCell ref="AF633:AJ633"/>
    <mergeCell ref="P589:R589"/>
    <mergeCell ref="G581:L581"/>
    <mergeCell ref="G668:R668"/>
    <mergeCell ref="G603:R603"/>
    <mergeCell ref="P597:R597"/>
    <mergeCell ref="G597:L597"/>
    <mergeCell ref="AG591:AH591"/>
    <mergeCell ref="G602:R602"/>
    <mergeCell ref="N599:O599"/>
    <mergeCell ref="Z563:AD563"/>
    <mergeCell ref="AE698:AI698"/>
    <mergeCell ref="AC714:AG717"/>
    <mergeCell ref="AE702:AF702"/>
    <mergeCell ref="DX640:EB640"/>
    <mergeCell ref="ER639:EV639"/>
    <mergeCell ref="DX644:EB644"/>
    <mergeCell ref="DX642:EB642"/>
    <mergeCell ref="ER651:EV651"/>
    <mergeCell ref="ER652:EV652"/>
    <mergeCell ref="EM670:EQ670"/>
    <mergeCell ref="Z589:AE589"/>
    <mergeCell ref="DO729:DS729"/>
    <mergeCell ref="T561:V561"/>
    <mergeCell ref="AG379:AH379"/>
    <mergeCell ref="AM558:AS558"/>
    <mergeCell ref="AM566:AS566"/>
    <mergeCell ref="AM556:AS556"/>
    <mergeCell ref="Z434:AA434"/>
    <mergeCell ref="DO717:DS717"/>
    <mergeCell ref="DO718:DS718"/>
    <mergeCell ref="DO719:DS719"/>
    <mergeCell ref="T638:V638"/>
    <mergeCell ref="T628:V628"/>
    <mergeCell ref="AK628:AN628"/>
    <mergeCell ref="AM564:AS564"/>
    <mergeCell ref="AI581:AK581"/>
    <mergeCell ref="Z601:AK601"/>
    <mergeCell ref="W556:Y556"/>
    <mergeCell ref="AE564:AH564"/>
    <mergeCell ref="W469:Y469"/>
    <mergeCell ref="AH515:AK515"/>
    <mergeCell ref="AC516:AF516"/>
    <mergeCell ref="AH509:AK509"/>
    <mergeCell ref="CU722:CY722"/>
    <mergeCell ref="CZ722:DD722"/>
    <mergeCell ref="EE718:EI718"/>
    <mergeCell ref="EJ718:EN718"/>
    <mergeCell ref="CZ721:DD721"/>
    <mergeCell ref="DJ718:DN718"/>
    <mergeCell ref="CZ719:DD719"/>
    <mergeCell ref="DJ719:DN719"/>
    <mergeCell ref="CU717:CY717"/>
    <mergeCell ref="DJ720:DN720"/>
    <mergeCell ref="DJ717:DN717"/>
    <mergeCell ref="DJ722:DN722"/>
    <mergeCell ref="EJ717:EN717"/>
    <mergeCell ref="EO720:ES720"/>
    <mergeCell ref="EO722:ES722"/>
    <mergeCell ref="EO717:ES717"/>
    <mergeCell ref="DE717:DI717"/>
    <mergeCell ref="CU721:CY721"/>
    <mergeCell ref="CU719:CY719"/>
    <mergeCell ref="CU718:CY718"/>
    <mergeCell ref="CZ718:DD718"/>
    <mergeCell ref="DZ717:ED717"/>
    <mergeCell ref="DZ718:ED718"/>
    <mergeCell ref="DE719:DI719"/>
    <mergeCell ref="CZ720:DD720"/>
    <mergeCell ref="DE721:DI721"/>
    <mergeCell ref="DO730:DS7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M561:P561"/>
    <mergeCell ref="DJ731:DN731"/>
    <mergeCell ref="DJ729:DN729"/>
    <mergeCell ref="G572:L572"/>
    <mergeCell ref="Z581:AE581"/>
    <mergeCell ref="Z586:AK586"/>
    <mergeCell ref="CM723:CN723"/>
    <mergeCell ref="G596:R596"/>
    <mergeCell ref="Z595:AK595"/>
    <mergeCell ref="AM561:AS561"/>
    <mergeCell ref="T563:V563"/>
    <mergeCell ref="DE731:DI731"/>
    <mergeCell ref="AK627:AN627"/>
    <mergeCell ref="AF632:AJ632"/>
    <mergeCell ref="AI561:AL561"/>
    <mergeCell ref="DJ723:DN723"/>
    <mergeCell ref="DJ724:DN724"/>
    <mergeCell ref="T560:V560"/>
    <mergeCell ref="G570:R570"/>
    <mergeCell ref="Z561:AD561"/>
    <mergeCell ref="G586:R586"/>
    <mergeCell ref="W560:Y560"/>
    <mergeCell ref="Z577:AK577"/>
    <mergeCell ref="AF574:AK574"/>
    <mergeCell ref="Z585:AK585"/>
    <mergeCell ref="AI564:AL564"/>
    <mergeCell ref="AC503:AF503"/>
    <mergeCell ref="AC513:AF513"/>
    <mergeCell ref="Q389:U389"/>
    <mergeCell ref="AJ357:AK357"/>
    <mergeCell ref="D444:AF444"/>
    <mergeCell ref="M554:P554"/>
    <mergeCell ref="W465:Y465"/>
    <mergeCell ref="M358:N358"/>
    <mergeCell ref="Z564:AD564"/>
    <mergeCell ref="Z565:AD565"/>
    <mergeCell ref="Z572:AE572"/>
    <mergeCell ref="AI562:AL562"/>
    <mergeCell ref="AG390:AJ390"/>
    <mergeCell ref="M562:P562"/>
    <mergeCell ref="M563:P563"/>
    <mergeCell ref="T555:V555"/>
    <mergeCell ref="Z558:AD558"/>
    <mergeCell ref="G579:R579"/>
    <mergeCell ref="C563:L563"/>
    <mergeCell ref="AG448:AJ448"/>
    <mergeCell ref="AH528:AK528"/>
    <mergeCell ref="AH519:AK519"/>
    <mergeCell ref="AH536:AK536"/>
    <mergeCell ref="M564:P564"/>
    <mergeCell ref="G676:R676"/>
    <mergeCell ref="G646:R646"/>
    <mergeCell ref="AF624:AJ626"/>
    <mergeCell ref="Q638:S638"/>
    <mergeCell ref="Z635:AB635"/>
    <mergeCell ref="G609:R609"/>
    <mergeCell ref="T630:V630"/>
    <mergeCell ref="AA573:AK573"/>
    <mergeCell ref="H590:R590"/>
    <mergeCell ref="G594:R594"/>
    <mergeCell ref="G645:R645"/>
    <mergeCell ref="W629:Y629"/>
    <mergeCell ref="G601:R601"/>
    <mergeCell ref="W634:Y634"/>
    <mergeCell ref="H648:R648"/>
    <mergeCell ref="Z613:AE613"/>
    <mergeCell ref="C637:L637"/>
    <mergeCell ref="M633:P633"/>
    <mergeCell ref="AC631:AE631"/>
    <mergeCell ref="Z605:AE605"/>
    <mergeCell ref="Z609:AK609"/>
    <mergeCell ref="M636:P636"/>
    <mergeCell ref="Q634:S634"/>
    <mergeCell ref="P647:R647"/>
    <mergeCell ref="AI647:AK647"/>
    <mergeCell ref="AA606:AK606"/>
    <mergeCell ref="G662:R662"/>
    <mergeCell ref="AA664:AK664"/>
    <mergeCell ref="T635:V635"/>
    <mergeCell ref="T636:V636"/>
    <mergeCell ref="T637:V637"/>
    <mergeCell ref="C556:L556"/>
    <mergeCell ref="P572:R572"/>
    <mergeCell ref="Z603:AK603"/>
    <mergeCell ref="AI605:AK605"/>
    <mergeCell ref="G589:L589"/>
    <mergeCell ref="G569:R569"/>
    <mergeCell ref="H582:R582"/>
    <mergeCell ref="Z579:AK579"/>
    <mergeCell ref="G577:R577"/>
    <mergeCell ref="N575:O575"/>
    <mergeCell ref="H614:R614"/>
    <mergeCell ref="M565:P565"/>
    <mergeCell ref="B641:AN641"/>
    <mergeCell ref="G643:R643"/>
    <mergeCell ref="Z647:AE647"/>
    <mergeCell ref="AM562:AS562"/>
    <mergeCell ref="Z559:AD559"/>
    <mergeCell ref="Z562:AD562"/>
    <mergeCell ref="AO624:AS626"/>
    <mergeCell ref="M627:P627"/>
    <mergeCell ref="M629:P629"/>
    <mergeCell ref="W624:Y626"/>
    <mergeCell ref="W628:Y628"/>
    <mergeCell ref="Z571:AK571"/>
    <mergeCell ref="W558:Y558"/>
    <mergeCell ref="AE558:AH558"/>
    <mergeCell ref="C557:L557"/>
    <mergeCell ref="Z570:AK570"/>
    <mergeCell ref="C564:L564"/>
    <mergeCell ref="AE557:AH557"/>
    <mergeCell ref="G613:L613"/>
    <mergeCell ref="C629:L629"/>
    <mergeCell ref="DJ725:DN725"/>
    <mergeCell ref="DE725:DI725"/>
    <mergeCell ref="CP726:CT726"/>
    <mergeCell ref="DE729:DI729"/>
    <mergeCell ref="CM725:CN725"/>
    <mergeCell ref="DJ730:DN730"/>
    <mergeCell ref="CZ726:DD726"/>
    <mergeCell ref="CI732:CJ732"/>
    <mergeCell ref="DJ728:DN728"/>
    <mergeCell ref="CK727:CL727"/>
    <mergeCell ref="DE730:DI730"/>
    <mergeCell ref="AO641:AS641"/>
    <mergeCell ref="AO628:AS628"/>
    <mergeCell ref="AO631:AS631"/>
    <mergeCell ref="Z651:AK651"/>
    <mergeCell ref="AK638:AN638"/>
    <mergeCell ref="Q632:S632"/>
    <mergeCell ref="X719:AB719"/>
    <mergeCell ref="G686:R686"/>
    <mergeCell ref="N689:O689"/>
    <mergeCell ref="G651:R651"/>
    <mergeCell ref="G652:R652"/>
    <mergeCell ref="T629:V629"/>
    <mergeCell ref="M630:P630"/>
    <mergeCell ref="M631:P631"/>
    <mergeCell ref="M632:P632"/>
    <mergeCell ref="Q633:S633"/>
    <mergeCell ref="AC634:AE634"/>
    <mergeCell ref="Q631:S631"/>
    <mergeCell ref="T632:V632"/>
    <mergeCell ref="P655:R655"/>
    <mergeCell ref="J704:X704"/>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P737:CT737"/>
    <mergeCell ref="CZ734:DD734"/>
    <mergeCell ref="CI735:CJ735"/>
    <mergeCell ref="DJ733:DN733"/>
    <mergeCell ref="CU733:CY733"/>
    <mergeCell ref="CM731:CN731"/>
    <mergeCell ref="CP730:CT730"/>
    <mergeCell ref="CU731:CY731"/>
    <mergeCell ref="CI726:CJ726"/>
    <mergeCell ref="CG726:CH726"/>
    <mergeCell ref="CM727:CN727"/>
    <mergeCell ref="CK726:CL726"/>
    <mergeCell ref="DE732:DI732"/>
    <mergeCell ref="CM732:CN732"/>
    <mergeCell ref="CK737:CL737"/>
    <mergeCell ref="CG732:CH732"/>
    <mergeCell ref="CP734:CT734"/>
    <mergeCell ref="CM737:CN737"/>
    <mergeCell ref="CU737:CY737"/>
    <mergeCell ref="CM728:CN728"/>
    <mergeCell ref="DE728:DI728"/>
    <mergeCell ref="CU729:CY729"/>
    <mergeCell ref="CP733:CT733"/>
    <mergeCell ref="CK735:CL735"/>
    <mergeCell ref="CU740:CY740"/>
    <mergeCell ref="CI739:CJ739"/>
    <mergeCell ref="CK725:CL725"/>
    <mergeCell ref="CP741:CT741"/>
    <mergeCell ref="CM733:CN733"/>
    <mergeCell ref="CI733:CJ733"/>
    <mergeCell ref="CG719:CH719"/>
    <mergeCell ref="CI721:CJ721"/>
    <mergeCell ref="CM736:CN736"/>
    <mergeCell ref="CI738:CJ738"/>
    <mergeCell ref="CI723:CJ723"/>
    <mergeCell ref="CZ740:DD740"/>
    <mergeCell ref="CU736:CY736"/>
    <mergeCell ref="CU724:CY724"/>
    <mergeCell ref="CU725:CY725"/>
    <mergeCell ref="CI725:CJ725"/>
    <mergeCell ref="CI731:CJ731"/>
    <mergeCell ref="CI728:CJ728"/>
    <mergeCell ref="CP725:CT725"/>
    <mergeCell ref="CK736:CL736"/>
    <mergeCell ref="DE734:DI734"/>
    <mergeCell ref="CG739:CH739"/>
    <mergeCell ref="CG740:CH740"/>
    <mergeCell ref="CZ723:DD723"/>
    <mergeCell ref="CK724:CL724"/>
    <mergeCell ref="DE726:DI726"/>
    <mergeCell ref="CM721:CN721"/>
    <mergeCell ref="CI719:CJ719"/>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K724:N724"/>
    <mergeCell ref="CK730:CL730"/>
    <mergeCell ref="CP731:CT731"/>
    <mergeCell ref="CU741:CY741"/>
    <mergeCell ref="CZ739:DD739"/>
    <mergeCell ref="CK734:CL734"/>
    <mergeCell ref="CM734:CN734"/>
    <mergeCell ref="DE723:DI723"/>
    <mergeCell ref="CZ724:DD724"/>
    <mergeCell ref="CK744:CL744"/>
    <mergeCell ref="CM744:CN744"/>
    <mergeCell ref="CP747:CT747"/>
    <mergeCell ref="CG748:CH748"/>
    <mergeCell ref="CP729:CT729"/>
    <mergeCell ref="CM717:CN717"/>
    <mergeCell ref="CM742:CN742"/>
    <mergeCell ref="CG718:CH718"/>
    <mergeCell ref="CP723:CT723"/>
    <mergeCell ref="CG742:CH742"/>
    <mergeCell ref="CG743:CH743"/>
    <mergeCell ref="CG737:CH737"/>
    <mergeCell ref="T742:W742"/>
    <mergeCell ref="X745:AB745"/>
    <mergeCell ref="X746:AB746"/>
    <mergeCell ref="G679:L679"/>
    <mergeCell ref="O745:S745"/>
    <mergeCell ref="K718:N718"/>
    <mergeCell ref="G718:J718"/>
    <mergeCell ref="CG741:CH741"/>
    <mergeCell ref="CI741:CJ741"/>
    <mergeCell ref="CK741:CL741"/>
    <mergeCell ref="CM741:CN741"/>
    <mergeCell ref="CP724:CT724"/>
    <mergeCell ref="CP727:CT727"/>
    <mergeCell ref="CI727:CJ727"/>
    <mergeCell ref="CM719:CN719"/>
    <mergeCell ref="CK746:CL746"/>
    <mergeCell ref="CM746:CN746"/>
    <mergeCell ref="AK727:AO727"/>
    <mergeCell ref="AH724:AJ724"/>
    <mergeCell ref="AK738:AO738"/>
    <mergeCell ref="AC720:AG720"/>
    <mergeCell ref="AC747:AG747"/>
    <mergeCell ref="CP751:CT751"/>
    <mergeCell ref="T732:W732"/>
    <mergeCell ref="T731:W731"/>
    <mergeCell ref="N649:O649"/>
    <mergeCell ref="AH719:AJ719"/>
    <mergeCell ref="G644:R644"/>
    <mergeCell ref="H664:R664"/>
    <mergeCell ref="AA648:AK648"/>
    <mergeCell ref="CM739:CN739"/>
    <mergeCell ref="X722:AB722"/>
    <mergeCell ref="CG735:CH735"/>
    <mergeCell ref="CI737:CJ737"/>
    <mergeCell ref="CM730:CN730"/>
    <mergeCell ref="CG738:CH738"/>
    <mergeCell ref="AC721:AG721"/>
    <mergeCell ref="AC722:AG722"/>
    <mergeCell ref="N673:O673"/>
    <mergeCell ref="G687:L687"/>
    <mergeCell ref="Z677:AK677"/>
    <mergeCell ref="CI729:CJ729"/>
    <mergeCell ref="X718:AB718"/>
    <mergeCell ref="T720:W720"/>
    <mergeCell ref="P687:R687"/>
    <mergeCell ref="J705:O705"/>
    <mergeCell ref="Z655:AE655"/>
    <mergeCell ref="CG734:CH734"/>
    <mergeCell ref="P671:R671"/>
    <mergeCell ref="O720:S720"/>
    <mergeCell ref="K719:N719"/>
    <mergeCell ref="AI655:AK655"/>
    <mergeCell ref="CK739:CL739"/>
    <mergeCell ref="CM738:CN738"/>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U936:Z936"/>
    <mergeCell ref="F940:T940"/>
    <mergeCell ref="U939:Z939"/>
    <mergeCell ref="U940:Z940"/>
    <mergeCell ref="AA938:AF938"/>
    <mergeCell ref="BD902:BE902"/>
    <mergeCell ref="BD900:BE900"/>
    <mergeCell ref="BD899:BE899"/>
    <mergeCell ref="BD901:BE901"/>
    <mergeCell ref="AA931:AF931"/>
    <mergeCell ref="U932:Z932"/>
    <mergeCell ref="AA932:AF932"/>
    <mergeCell ref="F938:T938"/>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23:Z923"/>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AC886:AH886"/>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U828:X828"/>
    <mergeCell ref="AG828:AJ828"/>
    <mergeCell ref="Z807:AE807"/>
    <mergeCell ref="O774:S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6:X826"/>
    <mergeCell ref="X794:AB794"/>
    <mergeCell ref="O714:S717"/>
    <mergeCell ref="M828:P828"/>
    <mergeCell ref="J779:K779"/>
    <mergeCell ref="J787:N787"/>
    <mergeCell ref="T796:W796"/>
    <mergeCell ref="M823:P824"/>
    <mergeCell ref="Y827:AB827"/>
    <mergeCell ref="AG827:AJ827"/>
    <mergeCell ref="Z817:AE817"/>
    <mergeCell ref="G734:J734"/>
    <mergeCell ref="X740:AB740"/>
    <mergeCell ref="O729:S729"/>
    <mergeCell ref="X748:AB748"/>
    <mergeCell ref="X749:AB749"/>
    <mergeCell ref="X750:AB750"/>
    <mergeCell ref="AC749:AG749"/>
    <mergeCell ref="M825:P825"/>
    <mergeCell ref="O735:S735"/>
    <mergeCell ref="T738:W738"/>
    <mergeCell ref="C825:H825"/>
    <mergeCell ref="G727:J727"/>
    <mergeCell ref="O718:S718"/>
    <mergeCell ref="B742:F742"/>
    <mergeCell ref="B743:F743"/>
    <mergeCell ref="AC750:AG750"/>
    <mergeCell ref="AC751:AG751"/>
    <mergeCell ref="K720:N720"/>
    <mergeCell ref="T714:W717"/>
    <mergeCell ref="G714:J717"/>
    <mergeCell ref="AH747:AJ747"/>
    <mergeCell ref="O738:S738"/>
    <mergeCell ref="T740:W740"/>
    <mergeCell ref="G741:J741"/>
    <mergeCell ref="T748:W748"/>
    <mergeCell ref="AH738:AJ738"/>
    <mergeCell ref="AH736:AJ736"/>
    <mergeCell ref="AK737:AO737"/>
    <mergeCell ref="X736:AB736"/>
    <mergeCell ref="AC732:AG732"/>
    <mergeCell ref="X733:AB733"/>
    <mergeCell ref="AC775:AG775"/>
    <mergeCell ref="AC783:AG786"/>
    <mergeCell ref="J791:N791"/>
    <mergeCell ref="X774:AB774"/>
    <mergeCell ref="T773:W773"/>
    <mergeCell ref="J773:N773"/>
    <mergeCell ref="O773:S773"/>
    <mergeCell ref="T752:W752"/>
    <mergeCell ref="T737:W737"/>
    <mergeCell ref="X739:AB739"/>
    <mergeCell ref="G740:J740"/>
    <mergeCell ref="T733:W733"/>
    <mergeCell ref="O734:S734"/>
    <mergeCell ref="T747:W747"/>
    <mergeCell ref="AC748:AG748"/>
    <mergeCell ref="X732:AB732"/>
    <mergeCell ref="O750:S750"/>
    <mergeCell ref="O746:S746"/>
    <mergeCell ref="AH739:AJ739"/>
    <mergeCell ref="AH740:AJ740"/>
    <mergeCell ref="T739:W739"/>
    <mergeCell ref="O790:S790"/>
    <mergeCell ref="O730:S730"/>
    <mergeCell ref="AG689:AH689"/>
    <mergeCell ref="R705:T705"/>
    <mergeCell ref="K714:N717"/>
    <mergeCell ref="AH720:AJ720"/>
    <mergeCell ref="B728:F728"/>
    <mergeCell ref="AK742:AO742"/>
    <mergeCell ref="T722:W722"/>
    <mergeCell ref="K729:N729"/>
    <mergeCell ref="B718:F718"/>
    <mergeCell ref="G720:J720"/>
    <mergeCell ref="B721:F721"/>
    <mergeCell ref="B727:F727"/>
    <mergeCell ref="AH745:AJ745"/>
    <mergeCell ref="AH746:AJ746"/>
    <mergeCell ref="AK722:AO722"/>
    <mergeCell ref="AK720:AO720"/>
    <mergeCell ref="AK721:AO721"/>
    <mergeCell ref="G730:J730"/>
    <mergeCell ref="X730:AB730"/>
    <mergeCell ref="X731:AB731"/>
    <mergeCell ref="T746:W746"/>
    <mergeCell ref="K738:N738"/>
    <mergeCell ref="T736:W736"/>
    <mergeCell ref="O733:S733"/>
    <mergeCell ref="B736:F736"/>
    <mergeCell ref="B733:F733"/>
    <mergeCell ref="K734:N734"/>
    <mergeCell ref="T744:W744"/>
    <mergeCell ref="X734:AB734"/>
    <mergeCell ref="AK746:AO746"/>
    <mergeCell ref="K745:N745"/>
    <mergeCell ref="Z568:AK56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AC796:AG796"/>
    <mergeCell ref="AC788:AG788"/>
    <mergeCell ref="G738:J738"/>
    <mergeCell ref="O783:S786"/>
    <mergeCell ref="B753:F753"/>
    <mergeCell ref="O752:S752"/>
    <mergeCell ref="Z668:AK668"/>
    <mergeCell ref="G685:R685"/>
    <mergeCell ref="B720:F720"/>
    <mergeCell ref="AH749:AJ749"/>
    <mergeCell ref="Z604:AK604"/>
    <mergeCell ref="AC539:AF539"/>
    <mergeCell ref="L508:AB508"/>
    <mergeCell ref="AC456:AF456"/>
    <mergeCell ref="Z654:AK654"/>
    <mergeCell ref="AG599:AH599"/>
    <mergeCell ref="G595:R595"/>
    <mergeCell ref="AH527:AK527"/>
    <mergeCell ref="AC517:AF517"/>
    <mergeCell ref="D473:V473"/>
    <mergeCell ref="AC504:AF504"/>
    <mergeCell ref="T565:V565"/>
    <mergeCell ref="C560:L560"/>
    <mergeCell ref="Z560:AD560"/>
    <mergeCell ref="AI563:AL563"/>
    <mergeCell ref="D470:V470"/>
    <mergeCell ref="AE556:AH556"/>
    <mergeCell ref="AE559:AH559"/>
    <mergeCell ref="AI559:AL559"/>
    <mergeCell ref="T558:V558"/>
    <mergeCell ref="W561:Y561"/>
    <mergeCell ref="W562:Y562"/>
    <mergeCell ref="AI556:AL556"/>
    <mergeCell ref="AH501:AK501"/>
    <mergeCell ref="T559:V559"/>
    <mergeCell ref="G474:V474"/>
    <mergeCell ref="AH526:AK526"/>
    <mergeCell ref="T557:V557"/>
    <mergeCell ref="AC518:AF518"/>
    <mergeCell ref="Q551:S553"/>
    <mergeCell ref="T551:V553"/>
    <mergeCell ref="AC502:AF502"/>
    <mergeCell ref="B514:H516"/>
    <mergeCell ref="AC499:AK499"/>
    <mergeCell ref="W468:Y468"/>
    <mergeCell ref="B503:H508"/>
    <mergeCell ref="D450:AF450"/>
    <mergeCell ref="N370:Q370"/>
    <mergeCell ref="AH500:AK500"/>
    <mergeCell ref="H341:R341"/>
    <mergeCell ref="AA333:AK333"/>
    <mergeCell ref="AH512:AK512"/>
    <mergeCell ref="AH520:AK520"/>
    <mergeCell ref="AC537:AF537"/>
    <mergeCell ref="O526:AA526"/>
    <mergeCell ref="AC529:AF529"/>
    <mergeCell ref="AH530:AK530"/>
    <mergeCell ref="D469:V469"/>
    <mergeCell ref="W473:Y473"/>
    <mergeCell ref="Q394:U394"/>
    <mergeCell ref="AD412:AE412"/>
    <mergeCell ref="H414:AE415"/>
    <mergeCell ref="AE425:AF425"/>
    <mergeCell ref="AC520:AF520"/>
    <mergeCell ref="AC527:AF527"/>
    <mergeCell ref="AH521:AK521"/>
    <mergeCell ref="P339:R339"/>
    <mergeCell ref="AC530:AF530"/>
    <mergeCell ref="S405:AJ405"/>
    <mergeCell ref="B517:H519"/>
    <mergeCell ref="AJ356:AK356"/>
    <mergeCell ref="AD377:AE377"/>
    <mergeCell ref="AC371:AF371"/>
    <mergeCell ref="M356:N356"/>
    <mergeCell ref="H333:R333"/>
    <mergeCell ref="H325:R325"/>
    <mergeCell ref="H307:M307"/>
    <mergeCell ref="M263:R263"/>
    <mergeCell ref="M265:T265"/>
    <mergeCell ref="AA314:AK314"/>
    <mergeCell ref="AA313:AK313"/>
    <mergeCell ref="AA316:AF316"/>
    <mergeCell ref="M253:T253"/>
    <mergeCell ref="L274:AJ274"/>
    <mergeCell ref="H291:M291"/>
    <mergeCell ref="H300:M300"/>
    <mergeCell ref="AA257:AK257"/>
    <mergeCell ref="M260:AE260"/>
    <mergeCell ref="AA265:AK265"/>
    <mergeCell ref="M261:T261"/>
    <mergeCell ref="AI307:AK307"/>
    <mergeCell ref="H288:R288"/>
    <mergeCell ref="H289:R289"/>
    <mergeCell ref="H287:R287"/>
    <mergeCell ref="H290:R290"/>
    <mergeCell ref="AA290:AK290"/>
    <mergeCell ref="AA289:AK289"/>
    <mergeCell ref="AA287:AK287"/>
    <mergeCell ref="AA308:AF308"/>
    <mergeCell ref="M254:AE254"/>
    <mergeCell ref="H292:M292"/>
    <mergeCell ref="H309:R309"/>
    <mergeCell ref="D270:H270"/>
    <mergeCell ref="X270:AC270"/>
    <mergeCell ref="Z263:AE263"/>
    <mergeCell ref="H308:M308"/>
    <mergeCell ref="P307:R307"/>
    <mergeCell ref="AA330:AK330"/>
    <mergeCell ref="H324:M324"/>
    <mergeCell ref="AA325:AK325"/>
    <mergeCell ref="H315:M315"/>
    <mergeCell ref="AA331:AF331"/>
    <mergeCell ref="P315:R315"/>
    <mergeCell ref="N363:O363"/>
    <mergeCell ref="AH262:AK262"/>
    <mergeCell ref="T267:X267"/>
    <mergeCell ref="AA291:AF291"/>
    <mergeCell ref="AI291:AK291"/>
    <mergeCell ref="L276:S276"/>
    <mergeCell ref="L278:Q278"/>
    <mergeCell ref="AH254:AK254"/>
    <mergeCell ref="AA317:AK317"/>
    <mergeCell ref="AA332:AF332"/>
    <mergeCell ref="AA328:AK328"/>
    <mergeCell ref="AA327:AK327"/>
    <mergeCell ref="H332:M332"/>
    <mergeCell ref="AI315:AK315"/>
    <mergeCell ref="AA312:AK312"/>
    <mergeCell ref="AA329:AK329"/>
    <mergeCell ref="P331:R331"/>
    <mergeCell ref="AA324:AF324"/>
    <mergeCell ref="AI323:AK323"/>
    <mergeCell ref="H317:R317"/>
    <mergeCell ref="P323:R323"/>
    <mergeCell ref="AA315:AF315"/>
    <mergeCell ref="L277:AD277"/>
    <mergeCell ref="AA311:AK311"/>
    <mergeCell ref="AA341:AK341"/>
    <mergeCell ref="H340:M340"/>
    <mergeCell ref="P299:R299"/>
    <mergeCell ref="M245:T245"/>
    <mergeCell ref="M255:R255"/>
    <mergeCell ref="A282:AT283"/>
    <mergeCell ref="AB276:AD276"/>
    <mergeCell ref="Y278:AD278"/>
    <mergeCell ref="AA299:AF299"/>
    <mergeCell ref="AI299:AK299"/>
    <mergeCell ref="AA300:AF300"/>
    <mergeCell ref="AA293:AK293"/>
    <mergeCell ref="L279:AD279"/>
    <mergeCell ref="L280:AD280"/>
    <mergeCell ref="L275:AD275"/>
    <mergeCell ref="V276:W276"/>
    <mergeCell ref="AA301:AK301"/>
    <mergeCell ref="H301:R301"/>
    <mergeCell ref="AA292:AF292"/>
    <mergeCell ref="T278:V278"/>
    <mergeCell ref="P291:R291"/>
    <mergeCell ref="AA288:AK288"/>
    <mergeCell ref="H296:R296"/>
    <mergeCell ref="H297:R297"/>
    <mergeCell ref="H298:R298"/>
    <mergeCell ref="H295:R295"/>
    <mergeCell ref="AA297:AK297"/>
    <mergeCell ref="AA298:AK298"/>
    <mergeCell ref="AA295:AK295"/>
    <mergeCell ref="AA238:AK238"/>
    <mergeCell ref="M251:AE251"/>
    <mergeCell ref="X180:Y180"/>
    <mergeCell ref="AP205:AQ205"/>
    <mergeCell ref="AI229:AJ229"/>
    <mergeCell ref="M235:AE235"/>
    <mergeCell ref="U175:V175"/>
    <mergeCell ref="R177:S177"/>
    <mergeCell ref="U236:W236"/>
    <mergeCell ref="M243:AE243"/>
    <mergeCell ref="D204:M204"/>
    <mergeCell ref="M238:T238"/>
    <mergeCell ref="T197:U197"/>
    <mergeCell ref="W253:X253"/>
    <mergeCell ref="M252:AE252"/>
    <mergeCell ref="W261:X261"/>
    <mergeCell ref="M264:AE264"/>
    <mergeCell ref="AF259:AK259"/>
    <mergeCell ref="AC261:AE261"/>
    <mergeCell ref="M262:AE262"/>
    <mergeCell ref="M259:AE259"/>
    <mergeCell ref="M246:AE246"/>
    <mergeCell ref="AC245:AE245"/>
    <mergeCell ref="Z255:AE255"/>
    <mergeCell ref="AF251:AK251"/>
    <mergeCell ref="M244:AE244"/>
    <mergeCell ref="M247:R247"/>
    <mergeCell ref="U263:W263"/>
    <mergeCell ref="M257:T257"/>
    <mergeCell ref="M256:AE256"/>
    <mergeCell ref="AC253:AE253"/>
    <mergeCell ref="U255:W255"/>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AF243:AK243"/>
    <mergeCell ref="M237:AE237"/>
    <mergeCell ref="P113:S113"/>
    <mergeCell ref="AA249:AK249"/>
    <mergeCell ref="M248:AE248"/>
    <mergeCell ref="AH246:AK246"/>
    <mergeCell ref="O159:T159"/>
    <mergeCell ref="P205:U205"/>
    <mergeCell ref="M239:AE239"/>
    <mergeCell ref="AF178:AG178"/>
    <mergeCell ref="I190:N19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T189:AE189"/>
    <mergeCell ref="I185:AE185"/>
    <mergeCell ref="AH194:AI194"/>
    <mergeCell ref="AC220:AQ220"/>
    <mergeCell ref="D205:M205"/>
    <mergeCell ref="J174:AB174"/>
    <mergeCell ref="A86:AT87"/>
    <mergeCell ref="Y120:AK120"/>
    <mergeCell ref="O160:T160"/>
    <mergeCell ref="AI178:AK178"/>
    <mergeCell ref="M234:T234"/>
    <mergeCell ref="W234:X234"/>
    <mergeCell ref="T212:U212"/>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X176:Y176"/>
    <mergeCell ref="AI226:AJ226"/>
    <mergeCell ref="AC528:AF528"/>
    <mergeCell ref="AC512:AF512"/>
    <mergeCell ref="C554:L554"/>
    <mergeCell ref="C555:L555"/>
    <mergeCell ref="AC347:AE347"/>
    <mergeCell ref="P343:AE343"/>
    <mergeCell ref="AA340:AF340"/>
    <mergeCell ref="P346:AE346"/>
    <mergeCell ref="P344:AE344"/>
    <mergeCell ref="AG380:AH380"/>
    <mergeCell ref="M355:N355"/>
    <mergeCell ref="AG394:AJ394"/>
    <mergeCell ref="E420:AJ420"/>
    <mergeCell ref="AE402:AJ402"/>
    <mergeCell ref="AC385:AJ385"/>
    <mergeCell ref="D441:AF441"/>
    <mergeCell ref="AC507:AF507"/>
    <mergeCell ref="D445:AF445"/>
    <mergeCell ref="D451:AJ452"/>
    <mergeCell ref="D438:AF438"/>
    <mergeCell ref="S392:U392"/>
    <mergeCell ref="W418:Y418"/>
    <mergeCell ref="AG438:AJ438"/>
    <mergeCell ref="P425:Q425"/>
    <mergeCell ref="I418:K418"/>
    <mergeCell ref="S413:T413"/>
    <mergeCell ref="AG393:AJ393"/>
    <mergeCell ref="AC533:AF533"/>
    <mergeCell ref="D468:V468"/>
    <mergeCell ref="B520:H542"/>
    <mergeCell ref="Z432:AA432"/>
    <mergeCell ref="AH502:AK502"/>
    <mergeCell ref="AC505:AF505"/>
    <mergeCell ref="AH517:AK517"/>
    <mergeCell ref="AH505:AK505"/>
    <mergeCell ref="AC542:AF542"/>
    <mergeCell ref="B489:P490"/>
    <mergeCell ref="AC506:AF506"/>
    <mergeCell ref="AH535:AK535"/>
    <mergeCell ref="AC532:AF532"/>
    <mergeCell ref="O535:AA535"/>
    <mergeCell ref="AH523:AK523"/>
    <mergeCell ref="AE554:AH554"/>
    <mergeCell ref="AH524:AK524"/>
    <mergeCell ref="AH525:AK525"/>
    <mergeCell ref="M556:P556"/>
    <mergeCell ref="C559:L559"/>
    <mergeCell ref="M557:P557"/>
    <mergeCell ref="AC534:AF534"/>
    <mergeCell ref="AH542:AK542"/>
    <mergeCell ref="AH507:AK507"/>
    <mergeCell ref="AC538:AF538"/>
    <mergeCell ref="Z554:AD554"/>
    <mergeCell ref="AH531:AK531"/>
    <mergeCell ref="AH540:AK540"/>
    <mergeCell ref="AC515:AF515"/>
    <mergeCell ref="O532:AA532"/>
    <mergeCell ref="M551:P553"/>
    <mergeCell ref="AC536:AF536"/>
    <mergeCell ref="AH538:AK538"/>
    <mergeCell ref="Z551:AD553"/>
    <mergeCell ref="AC521:AF521"/>
    <mergeCell ref="Q557:S557"/>
    <mergeCell ref="Z557:AD557"/>
    <mergeCell ref="D471:V471"/>
    <mergeCell ref="O529:AA529"/>
    <mergeCell ref="AH533:AK533"/>
    <mergeCell ref="Z555:AD555"/>
    <mergeCell ref="M555:P555"/>
    <mergeCell ref="B551:L553"/>
    <mergeCell ref="Q558:S558"/>
    <mergeCell ref="AH504:AK504"/>
    <mergeCell ref="Q564:S564"/>
    <mergeCell ref="AE561:AH561"/>
    <mergeCell ref="M560:P560"/>
    <mergeCell ref="Q563:S563"/>
    <mergeCell ref="AE562:AH562"/>
    <mergeCell ref="Q562:S562"/>
    <mergeCell ref="AI565:AL565"/>
    <mergeCell ref="M637:P637"/>
    <mergeCell ref="M638:P638"/>
    <mergeCell ref="W638:Y638"/>
    <mergeCell ref="G585:R585"/>
    <mergeCell ref="AG575:AH575"/>
    <mergeCell ref="Z580:AK580"/>
    <mergeCell ref="AH516:AK516"/>
    <mergeCell ref="Q554:S554"/>
    <mergeCell ref="AH529:AK529"/>
    <mergeCell ref="AH534:AK534"/>
    <mergeCell ref="AC510:AF510"/>
    <mergeCell ref="AH510:AK510"/>
    <mergeCell ref="AH506:AK506"/>
    <mergeCell ref="AH508:AK508"/>
    <mergeCell ref="AC540:AF540"/>
    <mergeCell ref="AC508:AF508"/>
    <mergeCell ref="AH537:AK537"/>
    <mergeCell ref="G663:L663"/>
    <mergeCell ref="AK624:AN626"/>
    <mergeCell ref="C630:L630"/>
    <mergeCell ref="C631:L631"/>
    <mergeCell ref="C632:L632"/>
    <mergeCell ref="Z628:AB628"/>
    <mergeCell ref="C635:L635"/>
    <mergeCell ref="AF636:AJ636"/>
    <mergeCell ref="AF637:AJ637"/>
    <mergeCell ref="AC636:AE636"/>
    <mergeCell ref="AK634:AN634"/>
    <mergeCell ref="AK635:AN635"/>
    <mergeCell ref="AK636:AN636"/>
    <mergeCell ref="T631:V631"/>
    <mergeCell ref="Z631:AB631"/>
    <mergeCell ref="Z644:AK644"/>
    <mergeCell ref="AF634:AJ634"/>
    <mergeCell ref="AI663:AK663"/>
    <mergeCell ref="Z653:AK653"/>
    <mergeCell ref="M628:P628"/>
    <mergeCell ref="CZ727:DD727"/>
    <mergeCell ref="CU726:CY726"/>
    <mergeCell ref="CP717:CT717"/>
    <mergeCell ref="CK723:CL723"/>
    <mergeCell ref="CK721:CL721"/>
    <mergeCell ref="CM726:CN726"/>
    <mergeCell ref="CU727:CY727"/>
    <mergeCell ref="CI717:CJ717"/>
    <mergeCell ref="X728:AB728"/>
    <mergeCell ref="AG657:AH657"/>
    <mergeCell ref="AK733:AO733"/>
    <mergeCell ref="CK719:CL719"/>
    <mergeCell ref="AH726:AJ726"/>
    <mergeCell ref="CG730:CH730"/>
    <mergeCell ref="CG728:CH728"/>
    <mergeCell ref="CP732:CT732"/>
    <mergeCell ref="CM729:CN729"/>
    <mergeCell ref="CK722:CL722"/>
    <mergeCell ref="Z679:AE679"/>
    <mergeCell ref="AG673:AH673"/>
    <mergeCell ref="CP739:CT739"/>
    <mergeCell ref="CZ729:DD729"/>
    <mergeCell ref="CG733:CH733"/>
    <mergeCell ref="CI734:CJ734"/>
    <mergeCell ref="AH721:AJ721"/>
    <mergeCell ref="CP797:CT79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P728:CT728"/>
    <mergeCell ref="CU728:CY728"/>
    <mergeCell ref="CZ735:DD735"/>
    <mergeCell ref="CU734:CY734"/>
    <mergeCell ref="CK732:CL732"/>
    <mergeCell ref="CP736:CT736"/>
    <mergeCell ref="CZ738:DD738"/>
    <mergeCell ref="AM555:AS555"/>
    <mergeCell ref="AI557:AL557"/>
    <mergeCell ref="Q556:S556"/>
    <mergeCell ref="T724:W724"/>
    <mergeCell ref="AM551:AS553"/>
    <mergeCell ref="O719:S719"/>
    <mergeCell ref="X724:AB724"/>
    <mergeCell ref="AH722:AJ722"/>
    <mergeCell ref="CP719:CT719"/>
    <mergeCell ref="G568:R568"/>
    <mergeCell ref="M574:R574"/>
    <mergeCell ref="C558:L558"/>
    <mergeCell ref="Z556:AD556"/>
    <mergeCell ref="AI555:AL555"/>
    <mergeCell ref="T556:V556"/>
    <mergeCell ref="W551:Y553"/>
    <mergeCell ref="Q630:S630"/>
    <mergeCell ref="Z632:AB632"/>
    <mergeCell ref="W633:Y633"/>
    <mergeCell ref="Z630:AB630"/>
    <mergeCell ref="W630:Y630"/>
    <mergeCell ref="G610:R610"/>
    <mergeCell ref="A617:AT618"/>
    <mergeCell ref="CM718:CN718"/>
    <mergeCell ref="AC637:AE637"/>
    <mergeCell ref="X714:AB717"/>
    <mergeCell ref="AE694:AF694"/>
    <mergeCell ref="A709:AT711"/>
    <mergeCell ref="G660:R660"/>
    <mergeCell ref="M559:P559"/>
    <mergeCell ref="T634:V634"/>
    <mergeCell ref="P347:Z347"/>
    <mergeCell ref="J386:U386"/>
    <mergeCell ref="G571:R571"/>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N583:O583"/>
    <mergeCell ref="AI560:AL560"/>
    <mergeCell ref="T562:V562"/>
    <mergeCell ref="Q560:S560"/>
    <mergeCell ref="Q565:S565"/>
    <mergeCell ref="Q561:S561"/>
    <mergeCell ref="H606:R606"/>
    <mergeCell ref="W636:Y636"/>
    <mergeCell ref="AI597:AK597"/>
    <mergeCell ref="C562:L562"/>
    <mergeCell ref="T564:V564"/>
    <mergeCell ref="C565:L565"/>
    <mergeCell ref="AA582:AK582"/>
    <mergeCell ref="H573:R573"/>
    <mergeCell ref="B566:AL566"/>
    <mergeCell ref="AE560:AH560"/>
    <mergeCell ref="AG607:AH607"/>
    <mergeCell ref="Y364:Z364"/>
    <mergeCell ref="N378:P378"/>
    <mergeCell ref="AG391:AJ391"/>
    <mergeCell ref="K404:AJ404"/>
    <mergeCell ref="AC386:AJ386"/>
    <mergeCell ref="Q393:U393"/>
    <mergeCell ref="D439:AF439"/>
    <mergeCell ref="AI397:AJ397"/>
    <mergeCell ref="T399:AJ399"/>
    <mergeCell ref="Q390:U390"/>
    <mergeCell ref="I410:AE410"/>
    <mergeCell ref="AI389:AJ389"/>
    <mergeCell ref="AG437:AJ437"/>
    <mergeCell ref="J388:U388"/>
    <mergeCell ref="J387:U387"/>
    <mergeCell ref="I421:K421"/>
    <mergeCell ref="P418:R418"/>
    <mergeCell ref="AF418:AH418"/>
    <mergeCell ref="V382:W382"/>
    <mergeCell ref="J367:K367"/>
    <mergeCell ref="D406:AJ407"/>
    <mergeCell ref="E368:AH369"/>
    <mergeCell ref="Q365:AG365"/>
    <mergeCell ref="S402:U402"/>
    <mergeCell ref="N371:Q371"/>
    <mergeCell ref="K403:AJ403"/>
    <mergeCell ref="N372:Q372"/>
    <mergeCell ref="P424:Q424"/>
    <mergeCell ref="Q391:U391"/>
    <mergeCell ref="V381:W381"/>
    <mergeCell ref="R411:S411"/>
    <mergeCell ref="W467:Y467"/>
    <mergeCell ref="W470:Y470"/>
    <mergeCell ref="P345:AE345"/>
    <mergeCell ref="T398:AJ398"/>
    <mergeCell ref="AG440:AJ440"/>
    <mergeCell ref="S401:U401"/>
    <mergeCell ref="AG401:AJ401"/>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H518:AK518"/>
    <mergeCell ref="AH514:AK514"/>
    <mergeCell ref="Q555:S555"/>
    <mergeCell ref="AH539:AK539"/>
    <mergeCell ref="AH541:AK541"/>
    <mergeCell ref="AC535:AF535"/>
    <mergeCell ref="AI554:AL554"/>
    <mergeCell ref="W557:Y557"/>
    <mergeCell ref="AC526:AF526"/>
    <mergeCell ref="CG724:CH724"/>
    <mergeCell ref="B724:F724"/>
    <mergeCell ref="B723:F723"/>
    <mergeCell ref="B722:F722"/>
    <mergeCell ref="AH513:AK513"/>
    <mergeCell ref="AC531:AF531"/>
    <mergeCell ref="AC525:AF525"/>
    <mergeCell ref="W474:Y474"/>
    <mergeCell ref="AH503:AK503"/>
    <mergeCell ref="AC500:AF500"/>
    <mergeCell ref="AH532:AK532"/>
    <mergeCell ref="AC522:AF522"/>
    <mergeCell ref="T554:V554"/>
    <mergeCell ref="AC524:AF524"/>
    <mergeCell ref="Z569:AK569"/>
    <mergeCell ref="C561:L561"/>
    <mergeCell ref="AC514:AF514"/>
    <mergeCell ref="P605:R605"/>
    <mergeCell ref="C628:L628"/>
    <mergeCell ref="Z611:AK611"/>
    <mergeCell ref="N607:O607"/>
    <mergeCell ref="AF628:AJ628"/>
    <mergeCell ref="B624:L626"/>
    <mergeCell ref="M558:P558"/>
    <mergeCell ref="AM557:AS557"/>
    <mergeCell ref="AH522:AK522"/>
    <mergeCell ref="AG439:AJ439"/>
    <mergeCell ref="AG443:AJ443"/>
    <mergeCell ref="AG444:AJ444"/>
    <mergeCell ref="AC541:AF541"/>
    <mergeCell ref="D440:AF440"/>
    <mergeCell ref="AM554:AS554"/>
    <mergeCell ref="M495:P495"/>
    <mergeCell ref="AC501:AF501"/>
    <mergeCell ref="AG450:AJ450"/>
    <mergeCell ref="D467:V467"/>
    <mergeCell ref="AG441:AJ441"/>
    <mergeCell ref="AO639:AS639"/>
    <mergeCell ref="AO629:AS629"/>
    <mergeCell ref="AF630:AJ630"/>
    <mergeCell ref="AO638:AS638"/>
    <mergeCell ref="Z634:AB634"/>
    <mergeCell ref="AI558:AL558"/>
    <mergeCell ref="AG447:AJ447"/>
    <mergeCell ref="AC454:AF454"/>
    <mergeCell ref="AG449:AJ449"/>
    <mergeCell ref="D446:AF446"/>
    <mergeCell ref="D447:AF447"/>
    <mergeCell ref="W466:Y466"/>
    <mergeCell ref="D472:V472"/>
    <mergeCell ref="W472:Y472"/>
    <mergeCell ref="AE551:AH553"/>
    <mergeCell ref="AI551:AL553"/>
    <mergeCell ref="O520:AA520"/>
    <mergeCell ref="AE555:AH555"/>
    <mergeCell ref="CI744:CJ744"/>
    <mergeCell ref="CG750:CH750"/>
    <mergeCell ref="D449:AF449"/>
    <mergeCell ref="B501:H502"/>
    <mergeCell ref="O523:AA523"/>
    <mergeCell ref="AC519:AF519"/>
    <mergeCell ref="AE424:AF424"/>
    <mergeCell ref="AC523:AF523"/>
    <mergeCell ref="DU741:DY741"/>
    <mergeCell ref="DZ741:ED741"/>
    <mergeCell ref="DJ747:DN747"/>
    <mergeCell ref="DO747:DS747"/>
    <mergeCell ref="CP748:CT748"/>
    <mergeCell ref="CU748:CY748"/>
    <mergeCell ref="DU745:DY745"/>
    <mergeCell ref="DZ745:ED745"/>
    <mergeCell ref="DX666:EB666"/>
    <mergeCell ref="EC666:EG666"/>
    <mergeCell ref="AC455:AF455"/>
    <mergeCell ref="F457:AB458"/>
    <mergeCell ref="D466:V466"/>
    <mergeCell ref="AH495:AK495"/>
    <mergeCell ref="D465:V465"/>
    <mergeCell ref="AC509:AF509"/>
    <mergeCell ref="Q485:AK485"/>
    <mergeCell ref="CP745:CT745"/>
    <mergeCell ref="AM560:AS560"/>
    <mergeCell ref="AG446:AJ446"/>
    <mergeCell ref="CK748:CL748"/>
    <mergeCell ref="CM748:CN748"/>
    <mergeCell ref="CG749:CH749"/>
    <mergeCell ref="Z587:AK587"/>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K738:CL738"/>
    <mergeCell ref="CM724:CN724"/>
    <mergeCell ref="CG744:CH744"/>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X742:AB742"/>
    <mergeCell ref="AH742:AJ742"/>
    <mergeCell ref="AK739:AO739"/>
    <mergeCell ref="B741:F741"/>
    <mergeCell ref="AK732:AO732"/>
    <mergeCell ref="CI743:CJ743"/>
    <mergeCell ref="CK743:CL743"/>
    <mergeCell ref="CM743:CN743"/>
    <mergeCell ref="CP740:CT740"/>
    <mergeCell ref="CZ733:DD733"/>
    <mergeCell ref="CZ736:DD736"/>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5" workbookViewId="0"/>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Application!B627&amp;Application!C627</f>
        <v xml:space="preserve">1)HUD 202 Capital Advance </v>
      </c>
      <c r="G2" s="139" t="str">
        <f>Application!B628&amp;Application!C628</f>
        <v>2)City of Oakland CDBG</v>
      </c>
      <c r="H2" s="139" t="str">
        <f>Application!B629&amp;Application!C629</f>
        <v>3)Ferguson Foundation Grant - Sponsor Loan</v>
      </c>
      <c r="I2" s="139" t="str">
        <f>Application!B630&amp;Application!C630</f>
        <v>4)GP Loan AHP</v>
      </c>
      <c r="J2" s="139" t="str">
        <f>Application!B631&amp;Application!C631</f>
        <v>5)City of Oakland Loan</v>
      </c>
      <c r="K2" s="139" t="str">
        <f>Application!B632&amp;Application!C632</f>
        <v>6)GP Contribution - Donated Land</v>
      </c>
      <c r="L2" s="139" t="str">
        <f>Application!B633&amp;Application!C633</f>
        <v>7)Deferred Developer Fee</v>
      </c>
      <c r="M2" s="139" t="str">
        <f>Application!B634&amp;Application!C634</f>
        <v>8)Accrued Deferred Interest (City of Oakland Loan, Sponsor Gap Loan)</v>
      </c>
      <c r="N2" s="139" t="str">
        <f>Application!B635&amp;Application!C635</f>
        <v xml:space="preserve">9)GP Capital </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c r="F4" s="147"/>
      <c r="G4" s="147"/>
      <c r="H4" s="147"/>
      <c r="I4" s="147"/>
      <c r="J4" s="147"/>
      <c r="K4" s="147">
        <f>K108</f>
        <v>2000000</v>
      </c>
      <c r="L4" s="147"/>
      <c r="M4" s="147"/>
      <c r="N4" s="147"/>
      <c r="O4" s="147"/>
      <c r="P4" s="147"/>
      <c r="Q4" s="147"/>
      <c r="R4" s="517">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25000</v>
      </c>
      <c r="C6" s="147">
        <v>25000</v>
      </c>
      <c r="D6" s="147"/>
      <c r="E6" s="147">
        <f>C6</f>
        <v>25000</v>
      </c>
      <c r="F6" s="147"/>
      <c r="G6" s="147"/>
      <c r="H6" s="147"/>
      <c r="I6" s="147"/>
      <c r="J6" s="147"/>
      <c r="K6" s="147"/>
      <c r="L6" s="147"/>
      <c r="M6" s="147"/>
      <c r="N6" s="147"/>
      <c r="O6" s="147"/>
      <c r="P6" s="147"/>
      <c r="Q6" s="147"/>
      <c r="R6" s="517">
        <f>SUM(E6:Q6)</f>
        <v>25000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2025000</v>
      </c>
      <c r="C8" s="146">
        <f t="shared" ref="C8:Q8" si="0">SUM(C4:C7)</f>
        <v>2025000</v>
      </c>
      <c r="D8" s="146">
        <f t="shared" si="0"/>
        <v>0</v>
      </c>
      <c r="E8" s="146">
        <f t="shared" si="0"/>
        <v>25000</v>
      </c>
      <c r="F8" s="146">
        <f t="shared" si="0"/>
        <v>0</v>
      </c>
      <c r="G8" s="146">
        <f t="shared" si="0"/>
        <v>0</v>
      </c>
      <c r="H8" s="146">
        <f t="shared" si="0"/>
        <v>0</v>
      </c>
      <c r="I8" s="146">
        <f t="shared" si="0"/>
        <v>0</v>
      </c>
      <c r="J8" s="146">
        <f t="shared" si="0"/>
        <v>0</v>
      </c>
      <c r="K8" s="146">
        <f t="shared" si="0"/>
        <v>2000000</v>
      </c>
      <c r="L8" s="146">
        <f t="shared" si="0"/>
        <v>0</v>
      </c>
      <c r="M8" s="146">
        <f t="shared" si="0"/>
        <v>0</v>
      </c>
      <c r="N8" s="146">
        <f t="shared" si="0"/>
        <v>0</v>
      </c>
      <c r="O8" s="146">
        <f t="shared" si="0"/>
        <v>0</v>
      </c>
      <c r="P8" s="146"/>
      <c r="Q8" s="146">
        <f t="shared" si="0"/>
        <v>0</v>
      </c>
      <c r="R8" s="343">
        <f>SUM(R4:R7)</f>
        <v>2025000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2025000</v>
      </c>
      <c r="C12" s="146">
        <f t="shared" si="2"/>
        <v>2025000</v>
      </c>
      <c r="D12" s="146">
        <f t="shared" si="2"/>
        <v>0</v>
      </c>
      <c r="E12" s="146">
        <f t="shared" si="2"/>
        <v>25000</v>
      </c>
      <c r="F12" s="146">
        <f t="shared" si="2"/>
        <v>0</v>
      </c>
      <c r="G12" s="146">
        <f t="shared" si="2"/>
        <v>0</v>
      </c>
      <c r="H12" s="146">
        <f t="shared" si="2"/>
        <v>0</v>
      </c>
      <c r="I12" s="146">
        <f t="shared" si="2"/>
        <v>0</v>
      </c>
      <c r="J12" s="146">
        <f t="shared" si="2"/>
        <v>0</v>
      </c>
      <c r="K12" s="146">
        <f t="shared" si="2"/>
        <v>2000000</v>
      </c>
      <c r="L12" s="146">
        <f t="shared" si="2"/>
        <v>0</v>
      </c>
      <c r="M12" s="146">
        <f t="shared" si="2"/>
        <v>0</v>
      </c>
      <c r="N12" s="146">
        <f t="shared" si="2"/>
        <v>0</v>
      </c>
      <c r="O12" s="146">
        <f t="shared" si="2"/>
        <v>0</v>
      </c>
      <c r="P12" s="146"/>
      <c r="Q12" s="146">
        <f t="shared" si="2"/>
        <v>0</v>
      </c>
      <c r="R12" s="343">
        <f>SUM(R8+R11)</f>
        <v>2025000</v>
      </c>
      <c r="S12" s="148"/>
      <c r="T12" s="148"/>
      <c r="U12" s="143"/>
    </row>
    <row r="13" spans="1:21" s="144" customFormat="1">
      <c r="A13" s="288" t="s">
        <v>902</v>
      </c>
      <c r="B13" s="146">
        <f>SUM(C13+D13)</f>
        <v>50000</v>
      </c>
      <c r="C13" s="147">
        <v>50000</v>
      </c>
      <c r="D13" s="147"/>
      <c r="E13" s="147">
        <f>C13</f>
        <v>50000</v>
      </c>
      <c r="F13" s="147"/>
      <c r="G13" s="147"/>
      <c r="H13" s="147"/>
      <c r="I13" s="147"/>
      <c r="J13" s="147"/>
      <c r="K13" s="147"/>
      <c r="L13" s="147"/>
      <c r="M13" s="147"/>
      <c r="N13" s="147"/>
      <c r="O13" s="147"/>
      <c r="P13" s="147"/>
      <c r="Q13" s="147"/>
      <c r="R13" s="517">
        <f>SUM(E13:Q13)</f>
        <v>50000</v>
      </c>
      <c r="S13" s="147">
        <f>R13</f>
        <v>50000</v>
      </c>
      <c r="T13" s="147"/>
      <c r="U13" s="143"/>
    </row>
    <row r="14" spans="1:21" s="144" customFormat="1" ht="24">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599</v>
      </c>
      <c r="B30" s="146">
        <f t="shared" si="6"/>
        <v>48440910</v>
      </c>
      <c r="C30" s="147">
        <f>47452799+988111</f>
        <v>48440910</v>
      </c>
      <c r="D30" s="147"/>
      <c r="E30" s="147">
        <f>C30-SUM(F30:N30)</f>
        <v>6190810</v>
      </c>
      <c r="F30" s="147">
        <f>Application!AO627</f>
        <v>11800000</v>
      </c>
      <c r="G30" s="147">
        <f>Application!AO628</f>
        <v>1000000</v>
      </c>
      <c r="H30" s="147">
        <f>Application!AO629</f>
        <v>8200000</v>
      </c>
      <c r="I30" s="147">
        <f>Application!AO630</f>
        <v>1250000</v>
      </c>
      <c r="J30" s="147">
        <f>Application!AO631</f>
        <v>20000000</v>
      </c>
      <c r="K30" s="147"/>
      <c r="L30" s="147"/>
      <c r="M30" s="147"/>
      <c r="N30" s="147">
        <f>Application!AO635</f>
        <v>100</v>
      </c>
      <c r="O30" s="147"/>
      <c r="P30" s="147"/>
      <c r="Q30" s="147"/>
      <c r="R30" s="517">
        <f t="shared" si="7"/>
        <v>48440910</v>
      </c>
      <c r="S30" s="147">
        <f>R30</f>
        <v>48440910</v>
      </c>
      <c r="T30" s="147"/>
      <c r="U30" s="143"/>
    </row>
    <row r="31" spans="1:21" s="144" customFormat="1">
      <c r="A31" s="145" t="s">
        <v>600</v>
      </c>
      <c r="B31" s="146">
        <f t="shared" si="6"/>
        <v>1784503</v>
      </c>
      <c r="C31" s="147">
        <v>1784503</v>
      </c>
      <c r="D31" s="147"/>
      <c r="E31" s="147">
        <f>C31</f>
        <v>1784503</v>
      </c>
      <c r="F31" s="147"/>
      <c r="G31" s="147"/>
      <c r="H31" s="147"/>
      <c r="I31" s="147"/>
      <c r="J31" s="147"/>
      <c r="K31" s="147"/>
      <c r="L31" s="147"/>
      <c r="M31" s="147"/>
      <c r="N31" s="147"/>
      <c r="O31" s="147"/>
      <c r="P31" s="147"/>
      <c r="Q31" s="147"/>
      <c r="R31" s="517">
        <f t="shared" si="7"/>
        <v>1784503</v>
      </c>
      <c r="S31" s="147">
        <f>R31</f>
        <v>1784503</v>
      </c>
      <c r="T31" s="147"/>
      <c r="U31" s="143"/>
    </row>
    <row r="32" spans="1:21" s="144" customFormat="1">
      <c r="A32" s="145" t="s">
        <v>137</v>
      </c>
      <c r="B32" s="146">
        <f t="shared" si="6"/>
        <v>860655</v>
      </c>
      <c r="C32" s="147">
        <f>1721310/2</f>
        <v>860655</v>
      </c>
      <c r="D32" s="147"/>
      <c r="E32" s="147">
        <f>C32</f>
        <v>860655</v>
      </c>
      <c r="F32" s="147"/>
      <c r="G32" s="147"/>
      <c r="H32" s="147"/>
      <c r="I32" s="147"/>
      <c r="J32" s="147"/>
      <c r="K32" s="147"/>
      <c r="L32" s="147"/>
      <c r="M32" s="147"/>
      <c r="N32" s="147"/>
      <c r="O32" s="147"/>
      <c r="P32" s="147"/>
      <c r="Q32" s="147"/>
      <c r="R32" s="517">
        <f t="shared" si="7"/>
        <v>860655</v>
      </c>
      <c r="S32" s="147">
        <f>R32</f>
        <v>860655</v>
      </c>
      <c r="T32" s="147"/>
      <c r="U32" s="143"/>
    </row>
    <row r="33" spans="1:21" s="144" customFormat="1">
      <c r="A33" s="145" t="s">
        <v>138</v>
      </c>
      <c r="B33" s="146">
        <f t="shared" si="6"/>
        <v>860655</v>
      </c>
      <c r="C33" s="147">
        <f>C32</f>
        <v>860655</v>
      </c>
      <c r="D33" s="147"/>
      <c r="E33" s="147">
        <f>C33</f>
        <v>860655</v>
      </c>
      <c r="F33" s="147"/>
      <c r="G33" s="147"/>
      <c r="H33" s="147"/>
      <c r="I33" s="147"/>
      <c r="J33" s="147"/>
      <c r="K33" s="147"/>
      <c r="L33" s="147"/>
      <c r="M33" s="147"/>
      <c r="N33" s="147"/>
      <c r="O33" s="147"/>
      <c r="P33" s="147"/>
      <c r="Q33" s="147"/>
      <c r="R33" s="517">
        <f t="shared" si="7"/>
        <v>860655</v>
      </c>
      <c r="S33" s="147">
        <f>R33</f>
        <v>860655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800965</v>
      </c>
      <c r="C35" s="147">
        <v>800965</v>
      </c>
      <c r="D35" s="147"/>
      <c r="E35" s="147">
        <f>C35</f>
        <v>800965</v>
      </c>
      <c r="F35" s="147"/>
      <c r="G35" s="147"/>
      <c r="H35" s="147"/>
      <c r="I35" s="147"/>
      <c r="J35" s="147"/>
      <c r="K35" s="147"/>
      <c r="L35" s="147"/>
      <c r="M35" s="147"/>
      <c r="N35" s="147"/>
      <c r="O35" s="147"/>
      <c r="P35" s="147"/>
      <c r="Q35" s="147"/>
      <c r="R35" s="517">
        <f t="shared" si="7"/>
        <v>800965</v>
      </c>
      <c r="S35" s="147">
        <f>R35</f>
        <v>800965</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2758</v>
      </c>
      <c r="B37" s="146">
        <f t="shared" si="6"/>
        <v>370000</v>
      </c>
      <c r="C37" s="147">
        <v>370000</v>
      </c>
      <c r="D37" s="147"/>
      <c r="E37" s="147">
        <f>C37</f>
        <v>370000</v>
      </c>
      <c r="F37" s="147"/>
      <c r="G37" s="147"/>
      <c r="H37" s="147"/>
      <c r="I37" s="147"/>
      <c r="J37" s="147"/>
      <c r="K37" s="147"/>
      <c r="L37" s="147"/>
      <c r="M37" s="147"/>
      <c r="N37" s="147"/>
      <c r="O37" s="147"/>
      <c r="P37" s="147"/>
      <c r="Q37" s="147"/>
      <c r="R37" s="517">
        <f t="shared" si="7"/>
        <v>370000</v>
      </c>
      <c r="S37" s="147">
        <f>R37</f>
        <v>370000</v>
      </c>
      <c r="T37" s="147"/>
      <c r="U37" s="143"/>
    </row>
    <row r="38" spans="1:21" s="144" customFormat="1">
      <c r="A38" s="149" t="s">
        <v>143</v>
      </c>
      <c r="B38" s="146">
        <f t="shared" si="6"/>
        <v>53117688</v>
      </c>
      <c r="C38" s="146">
        <f>SUM(C29:C37)</f>
        <v>53117688</v>
      </c>
      <c r="D38" s="146">
        <f t="shared" ref="D38:Q38" si="8">SUM(D29:D37)</f>
        <v>0</v>
      </c>
      <c r="E38" s="146">
        <f t="shared" si="8"/>
        <v>10867588</v>
      </c>
      <c r="F38" s="146">
        <f t="shared" si="8"/>
        <v>11800000</v>
      </c>
      <c r="G38" s="146">
        <f t="shared" si="8"/>
        <v>1000000</v>
      </c>
      <c r="H38" s="146">
        <f t="shared" si="8"/>
        <v>8200000</v>
      </c>
      <c r="I38" s="146">
        <f t="shared" si="8"/>
        <v>1250000</v>
      </c>
      <c r="J38" s="146">
        <f t="shared" si="8"/>
        <v>20000000</v>
      </c>
      <c r="K38" s="146">
        <f t="shared" si="8"/>
        <v>0</v>
      </c>
      <c r="L38" s="146">
        <f t="shared" si="8"/>
        <v>0</v>
      </c>
      <c r="M38" s="146">
        <f t="shared" si="8"/>
        <v>0</v>
      </c>
      <c r="N38" s="146">
        <f t="shared" si="8"/>
        <v>100</v>
      </c>
      <c r="O38" s="146">
        <f t="shared" si="8"/>
        <v>0</v>
      </c>
      <c r="P38" s="146">
        <f t="shared" si="8"/>
        <v>0</v>
      </c>
      <c r="Q38" s="146">
        <f t="shared" si="8"/>
        <v>0</v>
      </c>
      <c r="R38" s="343">
        <f>SUM(R29:R37)</f>
        <v>53117688</v>
      </c>
      <c r="S38" s="150">
        <f>SUM(S29:S37)</f>
        <v>53117688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2538312</v>
      </c>
      <c r="C40" s="147">
        <v>2538312</v>
      </c>
      <c r="D40" s="147"/>
      <c r="E40" s="147">
        <f>C40</f>
        <v>2538312</v>
      </c>
      <c r="F40" s="147"/>
      <c r="G40" s="147"/>
      <c r="H40" s="147"/>
      <c r="I40" s="147"/>
      <c r="J40" s="147"/>
      <c r="K40" s="147"/>
      <c r="L40" s="147"/>
      <c r="M40" s="147"/>
      <c r="N40" s="147"/>
      <c r="O40" s="147"/>
      <c r="P40" s="147"/>
      <c r="Q40" s="147"/>
      <c r="R40" s="517">
        <f>SUM(E40:Q40)</f>
        <v>2538312</v>
      </c>
      <c r="S40" s="147">
        <f>R40</f>
        <v>2538312</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2538312</v>
      </c>
      <c r="C42" s="146">
        <f>SUM(C39:C41)</f>
        <v>2538312</v>
      </c>
      <c r="D42" s="146">
        <f>SUM(D39:D41)</f>
        <v>0</v>
      </c>
      <c r="E42" s="146">
        <f t="shared" ref="E42:T42" si="9">SUM(E40:E41)</f>
        <v>2538312</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2538312</v>
      </c>
      <c r="S42" s="150">
        <f t="shared" si="9"/>
        <v>2538312</v>
      </c>
      <c r="T42" s="150">
        <f t="shared" si="9"/>
        <v>0</v>
      </c>
      <c r="U42" s="143"/>
    </row>
    <row r="43" spans="1:21" s="144" customFormat="1">
      <c r="A43" s="149" t="s">
        <v>148</v>
      </c>
      <c r="B43" s="146">
        <f>SUM(C43:D43)</f>
        <v>620000</v>
      </c>
      <c r="C43" s="147">
        <f>400000+220000</f>
        <v>620000</v>
      </c>
      <c r="D43" s="147"/>
      <c r="E43" s="147">
        <f>C43</f>
        <v>620000</v>
      </c>
      <c r="F43" s="147"/>
      <c r="G43" s="147"/>
      <c r="H43" s="147"/>
      <c r="I43" s="147"/>
      <c r="J43" s="147"/>
      <c r="K43" s="147"/>
      <c r="L43" s="147"/>
      <c r="M43" s="147"/>
      <c r="N43" s="147"/>
      <c r="O43" s="147"/>
      <c r="P43" s="147"/>
      <c r="Q43" s="147"/>
      <c r="R43" s="517">
        <f>SUM(E43:Q43)</f>
        <v>620000</v>
      </c>
      <c r="S43" s="147">
        <f>R43</f>
        <v>620000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4802863</v>
      </c>
      <c r="C45" s="147">
        <v>4802863</v>
      </c>
      <c r="D45" s="147"/>
      <c r="E45" s="147">
        <f>C45</f>
        <v>4802863</v>
      </c>
      <c r="F45" s="147"/>
      <c r="G45" s="147"/>
      <c r="H45" s="147"/>
      <c r="I45" s="147"/>
      <c r="J45" s="147"/>
      <c r="K45" s="147"/>
      <c r="L45" s="147"/>
      <c r="M45" s="147"/>
      <c r="N45" s="147"/>
      <c r="O45" s="147"/>
      <c r="P45" s="147"/>
      <c r="Q45" s="147"/>
      <c r="R45" s="517">
        <f t="shared" ref="R45:R53" si="11">SUM(E45:Q45)</f>
        <v>4802863</v>
      </c>
      <c r="S45" s="147">
        <v>2401431</v>
      </c>
      <c r="T45" s="147"/>
      <c r="U45" s="143"/>
    </row>
    <row r="46" spans="1:21" s="144" customFormat="1">
      <c r="A46" s="145" t="s">
        <v>151</v>
      </c>
      <c r="B46" s="146">
        <f t="shared" si="10"/>
        <v>357580</v>
      </c>
      <c r="C46" s="147">
        <v>357580</v>
      </c>
      <c r="D46" s="147"/>
      <c r="E46" s="147">
        <f>C46</f>
        <v>357580</v>
      </c>
      <c r="F46" s="147"/>
      <c r="G46" s="147"/>
      <c r="H46" s="147"/>
      <c r="I46" s="147"/>
      <c r="J46" s="147"/>
      <c r="K46" s="147"/>
      <c r="L46" s="147"/>
      <c r="M46" s="147"/>
      <c r="N46" s="147"/>
      <c r="O46" s="147"/>
      <c r="P46" s="147"/>
      <c r="Q46" s="147"/>
      <c r="R46" s="517">
        <f t="shared" si="11"/>
        <v>357580</v>
      </c>
      <c r="S46" s="147">
        <v>178790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241775</v>
      </c>
      <c r="C49" s="147">
        <v>241775</v>
      </c>
      <c r="D49" s="147"/>
      <c r="E49" s="147">
        <f>C49</f>
        <v>241775</v>
      </c>
      <c r="F49" s="147"/>
      <c r="G49" s="147"/>
      <c r="H49" s="147"/>
      <c r="I49" s="147"/>
      <c r="J49" s="147"/>
      <c r="K49" s="147"/>
      <c r="L49" s="147"/>
      <c r="M49" s="147"/>
      <c r="N49" s="147"/>
      <c r="O49" s="147"/>
      <c r="P49" s="147"/>
      <c r="Q49" s="147"/>
      <c r="R49" s="517">
        <f t="shared" si="11"/>
        <v>241775</v>
      </c>
      <c r="S49" s="147">
        <v>120888</v>
      </c>
      <c r="T49" s="147"/>
      <c r="U49" s="143"/>
    </row>
    <row r="50" spans="1:21" s="144" customFormat="1">
      <c r="A50" s="145" t="s">
        <v>156</v>
      </c>
      <c r="B50" s="146">
        <f t="shared" si="10"/>
        <v>80000</v>
      </c>
      <c r="C50" s="147">
        <v>80000</v>
      </c>
      <c r="D50" s="147"/>
      <c r="E50" s="147">
        <f t="shared" ref="E50:E52" si="12">C50</f>
        <v>80000</v>
      </c>
      <c r="F50" s="147"/>
      <c r="G50" s="147"/>
      <c r="H50" s="147"/>
      <c r="I50" s="147"/>
      <c r="J50" s="147"/>
      <c r="K50" s="147"/>
      <c r="L50" s="147"/>
      <c r="M50" s="147"/>
      <c r="N50" s="147"/>
      <c r="O50" s="147"/>
      <c r="P50" s="147"/>
      <c r="Q50" s="147"/>
      <c r="R50" s="517">
        <f t="shared" si="11"/>
        <v>80000</v>
      </c>
      <c r="S50" s="147">
        <f>R50</f>
        <v>80000</v>
      </c>
      <c r="T50" s="147"/>
      <c r="U50" s="143"/>
    </row>
    <row r="51" spans="1:21" s="144" customFormat="1">
      <c r="A51" s="284" t="s">
        <v>154</v>
      </c>
      <c r="B51" s="146">
        <f t="shared" si="10"/>
        <v>38000</v>
      </c>
      <c r="C51" s="147">
        <v>38000</v>
      </c>
      <c r="D51" s="147"/>
      <c r="E51" s="147">
        <f t="shared" si="12"/>
        <v>38000</v>
      </c>
      <c r="F51" s="147"/>
      <c r="G51" s="147"/>
      <c r="H51" s="147"/>
      <c r="I51" s="147"/>
      <c r="J51" s="147"/>
      <c r="K51" s="147"/>
      <c r="L51" s="147"/>
      <c r="M51" s="147"/>
      <c r="N51" s="147"/>
      <c r="O51" s="147"/>
      <c r="P51" s="147"/>
      <c r="Q51" s="147"/>
      <c r="R51" s="517">
        <f t="shared" si="11"/>
        <v>38000</v>
      </c>
      <c r="S51" s="147">
        <f>R51</f>
        <v>38000</v>
      </c>
      <c r="T51" s="147"/>
      <c r="U51" s="143"/>
    </row>
    <row r="52" spans="1:21" s="144" customFormat="1">
      <c r="A52" s="145" t="s">
        <v>155</v>
      </c>
      <c r="B52" s="146">
        <f t="shared" si="10"/>
        <v>850000</v>
      </c>
      <c r="C52" s="147">
        <v>850000</v>
      </c>
      <c r="D52" s="147"/>
      <c r="E52" s="147">
        <f t="shared" si="12"/>
        <v>850000</v>
      </c>
      <c r="F52" s="147"/>
      <c r="G52" s="147"/>
      <c r="H52" s="147"/>
      <c r="I52" s="147"/>
      <c r="J52" s="147"/>
      <c r="K52" s="147"/>
      <c r="L52" s="147"/>
      <c r="M52" s="147"/>
      <c r="N52" s="147"/>
      <c r="O52" s="147"/>
      <c r="P52" s="147"/>
      <c r="Q52" s="147"/>
      <c r="R52" s="517">
        <f t="shared" si="11"/>
        <v>850000</v>
      </c>
      <c r="S52" s="147">
        <f>R52</f>
        <v>850000</v>
      </c>
      <c r="T52" s="147"/>
      <c r="U52" s="143"/>
    </row>
    <row r="53" spans="1:21" s="144" customFormat="1">
      <c r="A53" s="1151" t="s">
        <v>2747</v>
      </c>
      <c r="B53" s="146">
        <f t="shared" si="10"/>
        <v>1233143</v>
      </c>
      <c r="C53" s="147">
        <f>Application!AO634</f>
        <v>1233143</v>
      </c>
      <c r="D53" s="147"/>
      <c r="E53" s="147"/>
      <c r="F53" s="147"/>
      <c r="G53" s="147"/>
      <c r="H53" s="147"/>
      <c r="I53" s="147"/>
      <c r="J53" s="147"/>
      <c r="K53" s="147"/>
      <c r="L53" s="147"/>
      <c r="M53" s="147">
        <f>M108</f>
        <v>1233143</v>
      </c>
      <c r="N53" s="147"/>
      <c r="O53" s="147"/>
      <c r="P53" s="147"/>
      <c r="Q53" s="147"/>
      <c r="R53" s="517">
        <f t="shared" si="11"/>
        <v>1233143</v>
      </c>
      <c r="S53" s="147">
        <v>815961</v>
      </c>
      <c r="T53" s="147"/>
      <c r="U53" s="143"/>
    </row>
    <row r="54" spans="1:21" s="153" customFormat="1">
      <c r="A54" s="149" t="s">
        <v>157</v>
      </c>
      <c r="B54" s="150">
        <f>SUM(C54:D54)</f>
        <v>7603361</v>
      </c>
      <c r="C54" s="150">
        <f t="shared" ref="C54:T54" si="13">SUM(C45:C53)</f>
        <v>7603361</v>
      </c>
      <c r="D54" s="150">
        <f t="shared" si="13"/>
        <v>0</v>
      </c>
      <c r="E54" s="150">
        <f t="shared" si="13"/>
        <v>6370218</v>
      </c>
      <c r="F54" s="150">
        <f t="shared" si="13"/>
        <v>0</v>
      </c>
      <c r="G54" s="150">
        <f t="shared" si="13"/>
        <v>0</v>
      </c>
      <c r="H54" s="150">
        <f t="shared" si="13"/>
        <v>0</v>
      </c>
      <c r="I54" s="150">
        <f t="shared" si="13"/>
        <v>0</v>
      </c>
      <c r="J54" s="150">
        <f t="shared" si="13"/>
        <v>0</v>
      </c>
      <c r="K54" s="150">
        <f t="shared" si="13"/>
        <v>0</v>
      </c>
      <c r="L54" s="150">
        <f t="shared" si="13"/>
        <v>0</v>
      </c>
      <c r="M54" s="150">
        <f t="shared" si="13"/>
        <v>1233143</v>
      </c>
      <c r="N54" s="150">
        <f t="shared" si="13"/>
        <v>0</v>
      </c>
      <c r="O54" s="150">
        <f t="shared" si="13"/>
        <v>0</v>
      </c>
      <c r="P54" s="150">
        <f t="shared" si="13"/>
        <v>0</v>
      </c>
      <c r="Q54" s="150">
        <f t="shared" si="13"/>
        <v>0</v>
      </c>
      <c r="R54" s="343">
        <f t="shared" si="13"/>
        <v>7603361</v>
      </c>
      <c r="S54" s="150">
        <f t="shared" si="13"/>
        <v>4485070</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7">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7">
        <f t="shared" si="15"/>
        <v>0</v>
      </c>
      <c r="S57" s="194"/>
      <c r="T57" s="194"/>
      <c r="U57" s="191"/>
    </row>
    <row r="58" spans="1:21" s="144" customFormat="1">
      <c r="A58" s="145" t="s">
        <v>156</v>
      </c>
      <c r="B58" s="146">
        <f t="shared" si="14"/>
        <v>15000</v>
      </c>
      <c r="C58" s="147">
        <v>15000</v>
      </c>
      <c r="D58" s="147"/>
      <c r="E58" s="147">
        <f>C58</f>
        <v>15000</v>
      </c>
      <c r="F58" s="147"/>
      <c r="G58" s="147"/>
      <c r="H58" s="147"/>
      <c r="I58" s="147"/>
      <c r="J58" s="147"/>
      <c r="K58" s="147"/>
      <c r="L58" s="147"/>
      <c r="M58" s="147"/>
      <c r="N58" s="147"/>
      <c r="O58" s="147"/>
      <c r="P58" s="147"/>
      <c r="Q58" s="147"/>
      <c r="R58" s="517">
        <f t="shared" si="15"/>
        <v>15000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5"/>
        <v>0</v>
      </c>
      <c r="S60" s="148"/>
      <c r="T60" s="148"/>
      <c r="U60" s="143"/>
    </row>
    <row r="61" spans="1:21" s="144" customFormat="1">
      <c r="A61" s="1151" t="s">
        <v>2759</v>
      </c>
      <c r="B61" s="146">
        <f t="shared" si="14"/>
        <v>0</v>
      </c>
      <c r="C61" s="147"/>
      <c r="D61" s="147"/>
      <c r="E61" s="147"/>
      <c r="F61" s="147"/>
      <c r="G61" s="147"/>
      <c r="H61" s="147"/>
      <c r="I61" s="147"/>
      <c r="J61" s="147"/>
      <c r="K61" s="147"/>
      <c r="L61" s="147"/>
      <c r="M61" s="147"/>
      <c r="N61" s="147"/>
      <c r="O61" s="147"/>
      <c r="P61" s="147"/>
      <c r="Q61" s="147"/>
      <c r="R61" s="517">
        <f t="shared" si="15"/>
        <v>0</v>
      </c>
      <c r="S61" s="148"/>
      <c r="T61" s="148"/>
      <c r="U61" s="143"/>
    </row>
    <row r="62" spans="1:21" s="144" customFormat="1" ht="13.7" customHeight="1">
      <c r="A62" s="149" t="s">
        <v>300</v>
      </c>
      <c r="B62" s="146">
        <f>SUM(C62:D62)</f>
        <v>15000</v>
      </c>
      <c r="C62" s="146">
        <f t="shared" ref="C62:R62" si="16">SUM(C56:C61)</f>
        <v>15000</v>
      </c>
      <c r="D62" s="146">
        <f t="shared" si="16"/>
        <v>0</v>
      </c>
      <c r="E62" s="146">
        <f t="shared" si="16"/>
        <v>15000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3">
        <f t="shared" si="16"/>
        <v>15000</v>
      </c>
      <c r="S62" s="148"/>
      <c r="T62" s="148"/>
      <c r="U62" s="143"/>
    </row>
    <row r="63" spans="1:21" s="144" customFormat="1">
      <c r="A63" s="154" t="s">
        <v>301</v>
      </c>
      <c r="B63" s="146">
        <f t="shared" ref="B63:R63" si="17">SUM(B8+B11+B13+B14+B15+B26+B27+B38+B42+B43+B54+B62)</f>
        <v>65969361</v>
      </c>
      <c r="C63" s="146">
        <f t="shared" si="17"/>
        <v>65969361</v>
      </c>
      <c r="D63" s="146">
        <f t="shared" si="17"/>
        <v>0</v>
      </c>
      <c r="E63" s="146">
        <f t="shared" si="17"/>
        <v>20486118</v>
      </c>
      <c r="F63" s="146">
        <f t="shared" si="17"/>
        <v>11800000</v>
      </c>
      <c r="G63" s="146">
        <f t="shared" si="17"/>
        <v>1000000</v>
      </c>
      <c r="H63" s="146">
        <f t="shared" si="17"/>
        <v>8200000</v>
      </c>
      <c r="I63" s="146">
        <f t="shared" si="17"/>
        <v>1250000</v>
      </c>
      <c r="J63" s="146">
        <f t="shared" si="17"/>
        <v>20000000</v>
      </c>
      <c r="K63" s="146">
        <f t="shared" si="17"/>
        <v>2000000</v>
      </c>
      <c r="L63" s="146">
        <f t="shared" si="17"/>
        <v>0</v>
      </c>
      <c r="M63" s="146">
        <f t="shared" si="17"/>
        <v>1233143</v>
      </c>
      <c r="N63" s="146">
        <f t="shared" si="17"/>
        <v>100</v>
      </c>
      <c r="O63" s="146">
        <f t="shared" si="17"/>
        <v>0</v>
      </c>
      <c r="P63" s="146">
        <f t="shared" si="17"/>
        <v>0</v>
      </c>
      <c r="Q63" s="146">
        <f t="shared" si="17"/>
        <v>0</v>
      </c>
      <c r="R63" s="343">
        <f t="shared" si="17"/>
        <v>65969361</v>
      </c>
      <c r="S63" s="146">
        <f>SUM(S10+S13+S14+S15+S26+S27+S38+S42+S43+S54)</f>
        <v>60811070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f>C65</f>
        <v>65000</v>
      </c>
      <c r="F65" s="147"/>
      <c r="G65" s="147"/>
      <c r="H65" s="147"/>
      <c r="I65" s="147"/>
      <c r="J65" s="147"/>
      <c r="K65" s="147"/>
      <c r="L65" s="147"/>
      <c r="M65" s="147"/>
      <c r="N65" s="147"/>
      <c r="O65" s="147"/>
      <c r="P65" s="147"/>
      <c r="Q65" s="147"/>
      <c r="R65" s="517">
        <f>SUM(E65:Q65)</f>
        <v>65000</v>
      </c>
      <c r="S65" s="147">
        <v>32500</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2750</v>
      </c>
      <c r="B69" s="146">
        <f>SUM(C69+D69)</f>
        <v>55000</v>
      </c>
      <c r="C69" s="147">
        <v>55000</v>
      </c>
      <c r="D69" s="147"/>
      <c r="E69" s="147">
        <f>C69</f>
        <v>55000</v>
      </c>
      <c r="F69" s="147"/>
      <c r="G69" s="147"/>
      <c r="H69" s="147"/>
      <c r="I69" s="147"/>
      <c r="J69" s="147"/>
      <c r="K69" s="147"/>
      <c r="L69" s="147"/>
      <c r="M69" s="147"/>
      <c r="N69" s="147"/>
      <c r="O69" s="147"/>
      <c r="P69" s="147"/>
      <c r="Q69" s="147"/>
      <c r="R69" s="517">
        <f>SUM(E69:Q69)</f>
        <v>55000</v>
      </c>
      <c r="S69" s="147">
        <v>40000</v>
      </c>
      <c r="T69" s="147"/>
      <c r="U69" s="143"/>
    </row>
    <row r="70" spans="1:21" s="144" customFormat="1">
      <c r="A70" s="149" t="s">
        <v>1645</v>
      </c>
      <c r="B70" s="146">
        <f>SUM(C70:D70)</f>
        <v>120000</v>
      </c>
      <c r="C70" s="146">
        <f>SUM(C65:C69)</f>
        <v>120000</v>
      </c>
      <c r="D70" s="146">
        <f>SUM(D65:D69)</f>
        <v>0</v>
      </c>
      <c r="E70" s="146">
        <f t="shared" ref="E70:T70" si="18">SUM(E65:E69)</f>
        <v>120000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3">
        <f t="shared" si="18"/>
        <v>120000</v>
      </c>
      <c r="S70" s="150">
        <f t="shared" si="18"/>
        <v>72500</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205708</v>
      </c>
      <c r="C73" s="147">
        <v>205708</v>
      </c>
      <c r="D73" s="147"/>
      <c r="E73" s="147">
        <f>C73</f>
        <v>205708</v>
      </c>
      <c r="F73" s="147"/>
      <c r="G73" s="147"/>
      <c r="H73" s="147"/>
      <c r="I73" s="147"/>
      <c r="J73" s="147"/>
      <c r="K73" s="147"/>
      <c r="L73" s="147"/>
      <c r="M73" s="147"/>
      <c r="N73" s="147"/>
      <c r="O73" s="147"/>
      <c r="P73" s="147"/>
      <c r="Q73" s="147"/>
      <c r="R73" s="517">
        <f>SUM(E73:Q73)</f>
        <v>205708</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611743</v>
      </c>
      <c r="C75" s="147">
        <v>611743</v>
      </c>
      <c r="D75" s="147"/>
      <c r="E75" s="147">
        <f>C75</f>
        <v>611743</v>
      </c>
      <c r="F75" s="147"/>
      <c r="G75" s="147"/>
      <c r="H75" s="147"/>
      <c r="I75" s="147"/>
      <c r="J75" s="147"/>
      <c r="K75" s="147"/>
      <c r="L75" s="147"/>
      <c r="M75" s="147"/>
      <c r="N75" s="147"/>
      <c r="O75" s="147"/>
      <c r="P75" s="147"/>
      <c r="Q75" s="147"/>
      <c r="R75" s="517">
        <f>SUM(E75:Q75)</f>
        <v>611743</v>
      </c>
      <c r="S75" s="148"/>
      <c r="T75" s="148"/>
      <c r="U75" s="143"/>
    </row>
    <row r="76" spans="1:21" s="144" customFormat="1">
      <c r="A76" s="1151" t="s">
        <v>2748</v>
      </c>
      <c r="B76" s="146">
        <f>SUM(C76+D76)</f>
        <v>1868884</v>
      </c>
      <c r="C76" s="147">
        <f>10000+112500+375000+1371384</f>
        <v>1868884</v>
      </c>
      <c r="D76" s="147"/>
      <c r="E76" s="147">
        <f>C76</f>
        <v>1868884</v>
      </c>
      <c r="F76" s="147"/>
      <c r="G76" s="147"/>
      <c r="H76" s="147"/>
      <c r="I76" s="147"/>
      <c r="J76" s="147"/>
      <c r="K76" s="147"/>
      <c r="L76" s="147"/>
      <c r="M76" s="147"/>
      <c r="N76" s="147"/>
      <c r="O76" s="147"/>
      <c r="P76" s="147"/>
      <c r="Q76" s="147"/>
      <c r="R76" s="517">
        <f>SUM(E76:Q76)</f>
        <v>1868884</v>
      </c>
      <c r="S76" s="148"/>
      <c r="T76" s="148"/>
      <c r="U76" s="143"/>
    </row>
    <row r="77" spans="1:21" s="144" customFormat="1">
      <c r="A77" s="149" t="s">
        <v>606</v>
      </c>
      <c r="B77" s="146">
        <f>SUM(C77:D77)</f>
        <v>2686335</v>
      </c>
      <c r="C77" s="146">
        <f>SUM(C72:C76)</f>
        <v>2686335</v>
      </c>
      <c r="D77" s="146">
        <f>SUM(D72:D76)</f>
        <v>0</v>
      </c>
      <c r="E77" s="146">
        <f t="shared" ref="E77:Q77" si="19">SUM(E72:E76)</f>
        <v>2686335</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3">
        <f>SUM(R72:R76)</f>
        <v>2686335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5311769</v>
      </c>
      <c r="C79" s="147">
        <v>5311769</v>
      </c>
      <c r="D79" s="147"/>
      <c r="E79" s="147">
        <f>C79</f>
        <v>5311769</v>
      </c>
      <c r="F79" s="147"/>
      <c r="G79" s="147"/>
      <c r="H79" s="147"/>
      <c r="I79" s="147"/>
      <c r="J79" s="147"/>
      <c r="K79" s="147"/>
      <c r="L79" s="147"/>
      <c r="M79" s="147"/>
      <c r="N79" s="147"/>
      <c r="O79" s="147"/>
      <c r="P79" s="147"/>
      <c r="Q79" s="147"/>
      <c r="R79" s="517">
        <f>SUM(E79:Q79)</f>
        <v>5311769</v>
      </c>
      <c r="S79" s="147">
        <f>R79</f>
        <v>5311769</v>
      </c>
      <c r="T79" s="147"/>
      <c r="U79" s="143"/>
    </row>
    <row r="80" spans="1:21" s="144" customFormat="1">
      <c r="A80" s="284" t="s">
        <v>58</v>
      </c>
      <c r="B80" s="146">
        <f>SUM(C80:D80)</f>
        <v>799299</v>
      </c>
      <c r="C80" s="147">
        <v>799299</v>
      </c>
      <c r="D80" s="147"/>
      <c r="E80" s="147">
        <f>C80</f>
        <v>799299</v>
      </c>
      <c r="F80" s="147"/>
      <c r="G80" s="147"/>
      <c r="H80" s="147"/>
      <c r="I80" s="147"/>
      <c r="J80" s="147"/>
      <c r="K80" s="147"/>
      <c r="L80" s="147"/>
      <c r="M80" s="147"/>
      <c r="N80" s="147"/>
      <c r="O80" s="147"/>
      <c r="P80" s="147"/>
      <c r="Q80" s="147"/>
      <c r="R80" s="517">
        <f>SUM(E80:Q80)</f>
        <v>799299</v>
      </c>
      <c r="S80" s="147">
        <f>R80</f>
        <v>799299</v>
      </c>
      <c r="T80" s="147"/>
      <c r="U80" s="143"/>
    </row>
    <row r="81" spans="1:21" s="144" customFormat="1">
      <c r="A81" s="149" t="s">
        <v>1209</v>
      </c>
      <c r="B81" s="146">
        <f>SUM(C81:D81)</f>
        <v>6111068</v>
      </c>
      <c r="C81" s="510">
        <f>SUM(C79:C80)</f>
        <v>6111068</v>
      </c>
      <c r="D81" s="510">
        <f t="shared" ref="D81:T81" si="20">SUM(D79:D80)</f>
        <v>0</v>
      </c>
      <c r="E81" s="510">
        <f t="shared" si="20"/>
        <v>6111068</v>
      </c>
      <c r="F81" s="510">
        <f t="shared" si="20"/>
        <v>0</v>
      </c>
      <c r="G81" s="510">
        <f t="shared" si="20"/>
        <v>0</v>
      </c>
      <c r="H81" s="510">
        <f t="shared" si="20"/>
        <v>0</v>
      </c>
      <c r="I81" s="510">
        <f t="shared" si="20"/>
        <v>0</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6111068</v>
      </c>
      <c r="S81" s="510">
        <f t="shared" si="20"/>
        <v>6111068</v>
      </c>
      <c r="T81" s="510">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21">SUM(C83+D83)</f>
        <v>108839</v>
      </c>
      <c r="C83" s="147">
        <v>108839</v>
      </c>
      <c r="D83" s="147"/>
      <c r="E83" s="147">
        <f>C83</f>
        <v>108839</v>
      </c>
      <c r="F83" s="147"/>
      <c r="G83" s="147"/>
      <c r="H83" s="147"/>
      <c r="I83" s="147"/>
      <c r="J83" s="147"/>
      <c r="K83" s="147"/>
      <c r="L83" s="147"/>
      <c r="M83" s="147"/>
      <c r="N83" s="147"/>
      <c r="O83" s="147"/>
      <c r="P83" s="147"/>
      <c r="Q83" s="147"/>
      <c r="R83" s="517">
        <f t="shared" ref="R83:R95" si="22">SUM(E83:Q83)</f>
        <v>108839</v>
      </c>
      <c r="S83" s="148"/>
      <c r="T83" s="148"/>
      <c r="U83" s="143"/>
    </row>
    <row r="84" spans="1:21" s="144" customFormat="1">
      <c r="A84" s="145" t="s">
        <v>767</v>
      </c>
      <c r="B84" s="146">
        <f t="shared" si="21"/>
        <v>50000</v>
      </c>
      <c r="C84" s="147">
        <v>50000</v>
      </c>
      <c r="D84" s="147"/>
      <c r="E84" s="147">
        <f t="shared" ref="E84:E95" si="23">C84</f>
        <v>50000</v>
      </c>
      <c r="F84" s="147"/>
      <c r="G84" s="147"/>
      <c r="H84" s="147"/>
      <c r="I84" s="147"/>
      <c r="J84" s="147"/>
      <c r="K84" s="147"/>
      <c r="L84" s="147"/>
      <c r="M84" s="147"/>
      <c r="N84" s="147"/>
      <c r="O84" s="147"/>
      <c r="P84" s="147"/>
      <c r="Q84" s="147"/>
      <c r="R84" s="517">
        <f t="shared" si="22"/>
        <v>50000</v>
      </c>
      <c r="S84" s="147">
        <f>R84</f>
        <v>50000</v>
      </c>
      <c r="T84" s="147"/>
      <c r="U84" s="143"/>
    </row>
    <row r="85" spans="1:21" s="144" customFormat="1">
      <c r="A85" s="145" t="s">
        <v>768</v>
      </c>
      <c r="B85" s="146">
        <f t="shared" si="21"/>
        <v>470930</v>
      </c>
      <c r="C85" s="147">
        <v>470930</v>
      </c>
      <c r="D85" s="147"/>
      <c r="E85" s="147">
        <f t="shared" si="23"/>
        <v>470930</v>
      </c>
      <c r="F85" s="147"/>
      <c r="G85" s="147"/>
      <c r="H85" s="147"/>
      <c r="I85" s="147"/>
      <c r="J85" s="147"/>
      <c r="K85" s="147"/>
      <c r="L85" s="147"/>
      <c r="M85" s="147"/>
      <c r="N85" s="147"/>
      <c r="O85" s="147"/>
      <c r="P85" s="147"/>
      <c r="Q85" s="147"/>
      <c r="R85" s="517">
        <f t="shared" si="22"/>
        <v>470930</v>
      </c>
      <c r="S85" s="147">
        <f>R85</f>
        <v>470930</v>
      </c>
      <c r="T85" s="147"/>
      <c r="U85" s="143"/>
    </row>
    <row r="86" spans="1:21" s="144" customFormat="1">
      <c r="A86" s="145" t="s">
        <v>769</v>
      </c>
      <c r="B86" s="146">
        <f t="shared" si="21"/>
        <v>1258930</v>
      </c>
      <c r="C86" s="147">
        <v>1258930</v>
      </c>
      <c r="D86" s="147"/>
      <c r="E86" s="147">
        <f t="shared" si="23"/>
        <v>1258930</v>
      </c>
      <c r="F86" s="147"/>
      <c r="G86" s="147"/>
      <c r="H86" s="147"/>
      <c r="I86" s="147"/>
      <c r="J86" s="147"/>
      <c r="K86" s="147"/>
      <c r="L86" s="147"/>
      <c r="M86" s="147"/>
      <c r="N86" s="147"/>
      <c r="O86" s="147"/>
      <c r="P86" s="147"/>
      <c r="Q86" s="147"/>
      <c r="R86" s="517">
        <f t="shared" si="22"/>
        <v>1258930</v>
      </c>
      <c r="S86" s="147">
        <f>R86</f>
        <v>1258930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7">
        <f t="shared" si="22"/>
        <v>0</v>
      </c>
      <c r="S87" s="147"/>
      <c r="T87" s="147"/>
      <c r="U87" s="143"/>
    </row>
    <row r="88" spans="1:21" s="144" customFormat="1">
      <c r="A88" s="145" t="s">
        <v>771</v>
      </c>
      <c r="B88" s="146">
        <f t="shared" si="21"/>
        <v>450000</v>
      </c>
      <c r="C88" s="147">
        <v>450000</v>
      </c>
      <c r="D88" s="147"/>
      <c r="E88" s="147">
        <f t="shared" si="23"/>
        <v>450000</v>
      </c>
      <c r="F88" s="147"/>
      <c r="G88" s="147"/>
      <c r="H88" s="147"/>
      <c r="I88" s="147"/>
      <c r="J88" s="147"/>
      <c r="K88" s="147"/>
      <c r="L88" s="147"/>
      <c r="M88" s="147"/>
      <c r="N88" s="147"/>
      <c r="O88" s="147"/>
      <c r="P88" s="147"/>
      <c r="Q88" s="147"/>
      <c r="R88" s="517">
        <f t="shared" si="22"/>
        <v>450000</v>
      </c>
      <c r="S88" s="148"/>
      <c r="T88" s="148"/>
      <c r="U88" s="143"/>
    </row>
    <row r="89" spans="1:21" s="144" customFormat="1">
      <c r="A89" s="145" t="s">
        <v>772</v>
      </c>
      <c r="B89" s="146">
        <f t="shared" si="21"/>
        <v>150000</v>
      </c>
      <c r="C89" s="147">
        <v>150000</v>
      </c>
      <c r="D89" s="147"/>
      <c r="E89" s="147">
        <f t="shared" si="23"/>
        <v>150000</v>
      </c>
      <c r="F89" s="147"/>
      <c r="G89" s="147"/>
      <c r="H89" s="147"/>
      <c r="I89" s="147"/>
      <c r="J89" s="147"/>
      <c r="K89" s="147"/>
      <c r="L89" s="147"/>
      <c r="M89" s="147"/>
      <c r="N89" s="147"/>
      <c r="O89" s="147"/>
      <c r="P89" s="147"/>
      <c r="Q89" s="147"/>
      <c r="R89" s="517">
        <f t="shared" si="22"/>
        <v>150000</v>
      </c>
      <c r="S89" s="147">
        <f>R89</f>
        <v>150000</v>
      </c>
      <c r="T89" s="147"/>
      <c r="U89" s="143"/>
    </row>
    <row r="90" spans="1:21" s="144" customFormat="1">
      <c r="A90" s="145" t="s">
        <v>773</v>
      </c>
      <c r="B90" s="146">
        <f t="shared" si="21"/>
        <v>16000</v>
      </c>
      <c r="C90" s="147">
        <v>16000</v>
      </c>
      <c r="D90" s="147"/>
      <c r="E90" s="147">
        <f t="shared" si="23"/>
        <v>16000</v>
      </c>
      <c r="F90" s="147"/>
      <c r="G90" s="147"/>
      <c r="H90" s="147"/>
      <c r="I90" s="147"/>
      <c r="J90" s="147"/>
      <c r="K90" s="147"/>
      <c r="L90" s="147"/>
      <c r="M90" s="147"/>
      <c r="N90" s="147"/>
      <c r="O90" s="147"/>
      <c r="P90" s="147"/>
      <c r="Q90" s="147"/>
      <c r="R90" s="517">
        <f t="shared" si="22"/>
        <v>16000</v>
      </c>
      <c r="S90" s="147"/>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7">
        <f t="shared" si="22"/>
        <v>0</v>
      </c>
      <c r="S91" s="147"/>
      <c r="T91" s="147"/>
      <c r="U91" s="143"/>
    </row>
    <row r="92" spans="1:21" s="144" customFormat="1">
      <c r="A92" s="284" t="s">
        <v>1211</v>
      </c>
      <c r="B92" s="146">
        <f t="shared" si="21"/>
        <v>15000</v>
      </c>
      <c r="C92" s="147">
        <v>15000</v>
      </c>
      <c r="D92" s="147"/>
      <c r="E92" s="147">
        <f t="shared" si="23"/>
        <v>15000</v>
      </c>
      <c r="F92" s="147"/>
      <c r="G92" s="147"/>
      <c r="H92" s="147"/>
      <c r="I92" s="147"/>
      <c r="J92" s="147"/>
      <c r="K92" s="147"/>
      <c r="L92" s="147"/>
      <c r="M92" s="147"/>
      <c r="N92" s="147"/>
      <c r="O92" s="147"/>
      <c r="P92" s="147"/>
      <c r="Q92" s="147"/>
      <c r="R92" s="517">
        <f t="shared" si="22"/>
        <v>15000</v>
      </c>
      <c r="S92" s="147">
        <v>15000</v>
      </c>
      <c r="T92" s="147"/>
      <c r="U92" s="143"/>
    </row>
    <row r="93" spans="1:21" s="144" customFormat="1" ht="24">
      <c r="A93" s="1151" t="s">
        <v>2751</v>
      </c>
      <c r="B93" s="146">
        <f t="shared" si="21"/>
        <v>140000</v>
      </c>
      <c r="C93" s="147">
        <f>40000+100000</f>
        <v>140000</v>
      </c>
      <c r="D93" s="147"/>
      <c r="E93" s="147">
        <f t="shared" si="23"/>
        <v>140000</v>
      </c>
      <c r="F93" s="147"/>
      <c r="G93" s="147"/>
      <c r="H93" s="147"/>
      <c r="I93" s="147"/>
      <c r="J93" s="147"/>
      <c r="K93" s="147"/>
      <c r="L93" s="147"/>
      <c r="M93" s="147"/>
      <c r="N93" s="147"/>
      <c r="O93" s="147"/>
      <c r="P93" s="147"/>
      <c r="Q93" s="147"/>
      <c r="R93" s="517">
        <f t="shared" si="22"/>
        <v>140000</v>
      </c>
      <c r="S93" s="147">
        <f>R93</f>
        <v>140000</v>
      </c>
      <c r="T93" s="147"/>
      <c r="U93" s="143"/>
    </row>
    <row r="94" spans="1:21" s="144" customFormat="1" ht="24">
      <c r="A94" s="1151" t="s">
        <v>2752</v>
      </c>
      <c r="B94" s="146">
        <f t="shared" si="21"/>
        <v>1100000</v>
      </c>
      <c r="C94" s="147">
        <v>1100000</v>
      </c>
      <c r="D94" s="147"/>
      <c r="E94" s="147">
        <f t="shared" si="23"/>
        <v>1100000</v>
      </c>
      <c r="F94" s="147"/>
      <c r="G94" s="147"/>
      <c r="H94" s="147"/>
      <c r="I94" s="147"/>
      <c r="J94" s="147"/>
      <c r="K94" s="147"/>
      <c r="L94" s="147"/>
      <c r="M94" s="147"/>
      <c r="N94" s="147"/>
      <c r="O94" s="147"/>
      <c r="P94" s="147"/>
      <c r="Q94" s="147"/>
      <c r="R94" s="517">
        <f t="shared" si="22"/>
        <v>1100000</v>
      </c>
      <c r="S94" s="147">
        <f>R94</f>
        <v>1100000</v>
      </c>
      <c r="T94" s="147"/>
      <c r="U94" s="143"/>
    </row>
    <row r="95" spans="1:21" s="144" customFormat="1">
      <c r="A95" s="1151" t="s">
        <v>2749</v>
      </c>
      <c r="B95" s="146">
        <f t="shared" si="21"/>
        <v>400000</v>
      </c>
      <c r="C95" s="147">
        <v>400000</v>
      </c>
      <c r="D95" s="147"/>
      <c r="E95" s="147">
        <f t="shared" si="23"/>
        <v>400000</v>
      </c>
      <c r="F95" s="147"/>
      <c r="G95" s="147"/>
      <c r="H95" s="147"/>
      <c r="I95" s="147"/>
      <c r="J95" s="147"/>
      <c r="K95" s="147"/>
      <c r="L95" s="147"/>
      <c r="M95" s="147"/>
      <c r="N95" s="147"/>
      <c r="O95" s="147"/>
      <c r="P95" s="147"/>
      <c r="Q95" s="147"/>
      <c r="R95" s="517">
        <f t="shared" si="22"/>
        <v>400000</v>
      </c>
      <c r="S95" s="147">
        <v>11765</v>
      </c>
      <c r="T95" s="147"/>
      <c r="U95" s="143"/>
    </row>
    <row r="96" spans="1:21" s="144" customFormat="1">
      <c r="A96" s="149" t="s">
        <v>774</v>
      </c>
      <c r="B96" s="146">
        <f>SUM(C96:D96)</f>
        <v>4159699</v>
      </c>
      <c r="C96" s="146">
        <f t="shared" ref="C96:R96" si="24">SUM(C83:C95)</f>
        <v>4159699</v>
      </c>
      <c r="D96" s="146">
        <f t="shared" si="24"/>
        <v>0</v>
      </c>
      <c r="E96" s="146">
        <f t="shared" si="24"/>
        <v>4159699</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3">
        <f t="shared" si="24"/>
        <v>4159699</v>
      </c>
      <c r="S96" s="150">
        <f>SUM(S84:S87,S89:S95)</f>
        <v>3196625</v>
      </c>
      <c r="T96" s="146">
        <f>SUM(T84:T87,T89:T95)</f>
        <v>0</v>
      </c>
      <c r="U96" s="143"/>
    </row>
    <row r="97" spans="1:21" s="144" customFormat="1">
      <c r="A97" s="149" t="s">
        <v>775</v>
      </c>
      <c r="B97" s="146">
        <f>SUM(C97:D97)</f>
        <v>79046463</v>
      </c>
      <c r="C97" s="146">
        <f t="shared" ref="C97:R97" si="25">SUM(C63+C70+C77+C81+C96)</f>
        <v>79046463</v>
      </c>
      <c r="D97" s="146">
        <f t="shared" si="25"/>
        <v>0</v>
      </c>
      <c r="E97" s="146">
        <f t="shared" si="25"/>
        <v>33563220</v>
      </c>
      <c r="F97" s="146">
        <f t="shared" si="25"/>
        <v>11800000</v>
      </c>
      <c r="G97" s="146">
        <f t="shared" si="25"/>
        <v>1000000</v>
      </c>
      <c r="H97" s="146">
        <f t="shared" si="25"/>
        <v>8200000</v>
      </c>
      <c r="I97" s="146">
        <f t="shared" si="25"/>
        <v>1250000</v>
      </c>
      <c r="J97" s="146">
        <f t="shared" si="25"/>
        <v>20000000</v>
      </c>
      <c r="K97" s="146">
        <f t="shared" si="25"/>
        <v>2000000</v>
      </c>
      <c r="L97" s="146">
        <f t="shared" si="25"/>
        <v>0</v>
      </c>
      <c r="M97" s="146">
        <f t="shared" si="25"/>
        <v>1233143</v>
      </c>
      <c r="N97" s="146">
        <f t="shared" si="25"/>
        <v>100</v>
      </c>
      <c r="O97" s="146">
        <f t="shared" si="25"/>
        <v>0</v>
      </c>
      <c r="P97" s="146">
        <f t="shared" si="25"/>
        <v>0</v>
      </c>
      <c r="Q97" s="146">
        <f t="shared" si="25"/>
        <v>0</v>
      </c>
      <c r="R97" s="146">
        <f t="shared" si="25"/>
        <v>79046463</v>
      </c>
      <c r="S97" s="146">
        <f>SUM(S63+S70+S81+S96)</f>
        <v>70191263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7000000</v>
      </c>
      <c r="C99" s="980">
        <v>7000000</v>
      </c>
      <c r="D99" s="980"/>
      <c r="E99" s="980">
        <f>C99-SUM(F99:P99)</f>
        <v>3500000</v>
      </c>
      <c r="F99" s="147"/>
      <c r="G99" s="147"/>
      <c r="H99" s="147"/>
      <c r="I99" s="147"/>
      <c r="J99" s="147"/>
      <c r="K99" s="147"/>
      <c r="L99" s="147">
        <f>L108</f>
        <v>3500000</v>
      </c>
      <c r="M99" s="147"/>
      <c r="N99" s="147"/>
      <c r="O99" s="147"/>
      <c r="P99" s="147"/>
      <c r="Q99" s="147"/>
      <c r="R99" s="517">
        <f>SUM(E99:Q99)</f>
        <v>7000000</v>
      </c>
      <c r="S99" s="147">
        <f>R99</f>
        <v>7000000</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7000000</v>
      </c>
      <c r="C104" s="146">
        <f>SUM(C99:C103)</f>
        <v>7000000</v>
      </c>
      <c r="D104" s="146">
        <f t="shared" ref="D104:T104" si="26">SUM(D99:D103)</f>
        <v>0</v>
      </c>
      <c r="E104" s="146">
        <f t="shared" si="26"/>
        <v>3500000</v>
      </c>
      <c r="F104" s="146">
        <f t="shared" si="26"/>
        <v>0</v>
      </c>
      <c r="G104" s="146">
        <f t="shared" si="26"/>
        <v>0</v>
      </c>
      <c r="H104" s="146">
        <f t="shared" si="26"/>
        <v>0</v>
      </c>
      <c r="I104" s="146">
        <f t="shared" si="26"/>
        <v>0</v>
      </c>
      <c r="J104" s="146">
        <f t="shared" si="26"/>
        <v>0</v>
      </c>
      <c r="K104" s="146">
        <f t="shared" si="26"/>
        <v>0</v>
      </c>
      <c r="L104" s="146">
        <f t="shared" si="26"/>
        <v>3500000</v>
      </c>
      <c r="M104" s="146">
        <f t="shared" si="26"/>
        <v>0</v>
      </c>
      <c r="N104" s="146">
        <f t="shared" si="26"/>
        <v>0</v>
      </c>
      <c r="O104" s="146">
        <f t="shared" si="26"/>
        <v>0</v>
      </c>
      <c r="P104" s="146">
        <f t="shared" si="26"/>
        <v>0</v>
      </c>
      <c r="Q104" s="146">
        <f t="shared" si="26"/>
        <v>0</v>
      </c>
      <c r="R104" s="343">
        <f t="shared" si="26"/>
        <v>7000000</v>
      </c>
      <c r="S104" s="150">
        <f t="shared" si="26"/>
        <v>7000000</v>
      </c>
      <c r="T104" s="150">
        <f t="shared" si="26"/>
        <v>0</v>
      </c>
      <c r="U104" s="143"/>
    </row>
    <row r="105" spans="1:21" s="144" customFormat="1">
      <c r="A105" s="149" t="s">
        <v>780</v>
      </c>
      <c r="B105" s="150">
        <f>SUM(C105:D105)</f>
        <v>86046463</v>
      </c>
      <c r="C105" s="150">
        <f t="shared" ref="C105:R105" si="27">SUM(C97+C104)</f>
        <v>86046463</v>
      </c>
      <c r="D105" s="150">
        <f t="shared" si="27"/>
        <v>0</v>
      </c>
      <c r="E105" s="150">
        <f t="shared" si="27"/>
        <v>37063220</v>
      </c>
      <c r="F105" s="150">
        <f t="shared" si="27"/>
        <v>11800000</v>
      </c>
      <c r="G105" s="150">
        <f t="shared" si="27"/>
        <v>1000000</v>
      </c>
      <c r="H105" s="150">
        <f t="shared" si="27"/>
        <v>8200000</v>
      </c>
      <c r="I105" s="150">
        <f t="shared" si="27"/>
        <v>1250000</v>
      </c>
      <c r="J105" s="150">
        <f t="shared" si="27"/>
        <v>20000000</v>
      </c>
      <c r="K105" s="150">
        <f t="shared" si="27"/>
        <v>2000000</v>
      </c>
      <c r="L105" s="150">
        <f t="shared" si="27"/>
        <v>3500000</v>
      </c>
      <c r="M105" s="150">
        <f t="shared" si="27"/>
        <v>1233143</v>
      </c>
      <c r="N105" s="150">
        <f t="shared" si="27"/>
        <v>100</v>
      </c>
      <c r="O105" s="150">
        <f t="shared" si="27"/>
        <v>0</v>
      </c>
      <c r="P105" s="150">
        <f t="shared" si="27"/>
        <v>0</v>
      </c>
      <c r="Q105" s="150">
        <f t="shared" si="27"/>
        <v>0</v>
      </c>
      <c r="R105" s="343">
        <f t="shared" si="27"/>
        <v>86046463</v>
      </c>
      <c r="S105" s="150">
        <f>S97+S104</f>
        <v>77191263</v>
      </c>
      <c r="T105" s="150">
        <f>T97+T104</f>
        <v>0</v>
      </c>
      <c r="U105" s="143"/>
    </row>
    <row r="106" spans="1:21">
      <c r="A106" s="515"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77191263</v>
      </c>
      <c r="T107" s="150">
        <f>T105+T106</f>
        <v>0</v>
      </c>
    </row>
    <row r="108" spans="1:21" s="189" customFormat="1">
      <c r="A108" s="162" t="s">
        <v>879</v>
      </c>
      <c r="B108" s="157"/>
      <c r="C108" s="157"/>
      <c r="D108" s="157"/>
      <c r="E108" s="302">
        <f>Application!AO640</f>
        <v>37063220</v>
      </c>
      <c r="F108" s="302">
        <f>Application!AO627</f>
        <v>11800000</v>
      </c>
      <c r="G108" s="302">
        <f>Application!AO628</f>
        <v>1000000</v>
      </c>
      <c r="H108" s="302">
        <f>Application!AO629</f>
        <v>8200000</v>
      </c>
      <c r="I108" s="302">
        <f>Application!AO630</f>
        <v>1250000</v>
      </c>
      <c r="J108" s="302">
        <f>Application!AO631</f>
        <v>20000000</v>
      </c>
      <c r="K108" s="302">
        <f>Application!AO632</f>
        <v>2000000</v>
      </c>
      <c r="L108" s="302">
        <f>Application!AO633</f>
        <v>3500000</v>
      </c>
      <c r="M108" s="302">
        <f>Application!AO634</f>
        <v>1233143</v>
      </c>
      <c r="N108" s="302">
        <f>Application!AO635</f>
        <v>100</v>
      </c>
      <c r="O108" s="302">
        <f>Application!AO636</f>
        <v>0</v>
      </c>
      <c r="P108" s="302">
        <f>Application!AO637</f>
        <v>0</v>
      </c>
      <c r="Q108" s="302">
        <f>Application!AO638</f>
        <v>0</v>
      </c>
      <c r="R108" s="158"/>
      <c r="S108" s="158"/>
      <c r="T108" s="158"/>
      <c r="U108" s="188"/>
    </row>
    <row r="109" spans="1:21" ht="10.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75" t="s">
        <v>990</v>
      </c>
      <c r="E122" s="1875"/>
      <c r="F122" s="187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7" t="s">
        <v>1224</v>
      </c>
      <c r="E123" s="1569"/>
      <c r="F123" s="1569"/>
      <c r="G123" s="1569"/>
      <c r="H123" s="1569"/>
      <c r="I123" s="1569"/>
      <c r="J123" s="1569"/>
      <c r="K123" s="1569"/>
      <c r="L123" s="1569"/>
      <c r="M123" s="1569"/>
      <c r="N123" s="1569"/>
      <c r="O123" s="1569"/>
      <c r="P123" s="1569"/>
      <c r="Q123" s="1569"/>
      <c r="R123" s="1569"/>
      <c r="S123" s="1569"/>
      <c r="T123" s="325"/>
      <c r="U123" s="327"/>
    </row>
    <row r="124" spans="1:21" ht="12.75">
      <c r="A124" s="117" t="s">
        <v>992</v>
      </c>
      <c r="B124" s="334"/>
      <c r="C124" s="117"/>
      <c r="D124" s="1569"/>
      <c r="E124" s="1569"/>
      <c r="F124" s="1569"/>
      <c r="G124" s="1569"/>
      <c r="H124" s="1569"/>
      <c r="I124" s="1569"/>
      <c r="J124" s="1569"/>
      <c r="K124" s="1569"/>
      <c r="L124" s="1569"/>
      <c r="M124" s="1569"/>
      <c r="N124" s="1569"/>
      <c r="O124" s="1569"/>
      <c r="P124" s="1569"/>
      <c r="Q124" s="1569"/>
      <c r="R124" s="1569"/>
      <c r="S124" s="1569"/>
      <c r="T124" s="325"/>
      <c r="U124" s="327"/>
    </row>
    <row r="125" spans="1:21" ht="12.75">
      <c r="A125" s="117" t="s">
        <v>993</v>
      </c>
      <c r="B125" s="334"/>
      <c r="C125" s="117"/>
      <c r="D125" s="1569"/>
      <c r="E125" s="1569"/>
      <c r="F125" s="1569"/>
      <c r="G125" s="1569"/>
      <c r="H125" s="1569"/>
      <c r="I125" s="1569"/>
      <c r="J125" s="1569"/>
      <c r="K125" s="1569"/>
      <c r="L125" s="1569"/>
      <c r="M125" s="1569"/>
      <c r="N125" s="1569"/>
      <c r="O125" s="1569"/>
      <c r="P125" s="1569"/>
      <c r="Q125" s="1569"/>
      <c r="R125" s="1569"/>
      <c r="S125" s="1569"/>
      <c r="T125" s="325"/>
      <c r="U125" s="327"/>
    </row>
    <row r="126" spans="1:21" ht="12.7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70"/>
      <c r="E128" s="1870"/>
      <c r="F128" s="1870"/>
      <c r="G128" s="1870"/>
      <c r="H128" s="1870"/>
      <c r="I128" s="117"/>
      <c r="J128" s="1866"/>
      <c r="K128" s="1866"/>
      <c r="L128" s="117"/>
      <c r="M128" s="117"/>
      <c r="N128" s="117"/>
      <c r="O128" s="117"/>
      <c r="P128" s="117"/>
      <c r="Q128" s="117"/>
      <c r="R128" s="117"/>
      <c r="S128" s="117"/>
      <c r="T128" s="325"/>
      <c r="U128" s="327"/>
    </row>
    <row r="129" spans="1:21" ht="12.75">
      <c r="A129" s="117" t="s">
        <v>299</v>
      </c>
      <c r="B129" s="334"/>
      <c r="C129" s="117"/>
      <c r="D129" s="1874" t="s">
        <v>997</v>
      </c>
      <c r="E129" s="1874"/>
      <c r="F129" s="1874"/>
      <c r="G129" s="1874"/>
      <c r="H129" s="187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466"/>
      <c r="E131" s="1466"/>
      <c r="F131" s="1466"/>
      <c r="G131" s="1466"/>
      <c r="H131" s="1466"/>
      <c r="I131" s="117"/>
      <c r="J131" s="1466"/>
      <c r="K131" s="1466"/>
      <c r="L131" s="1466"/>
      <c r="M131" s="1466"/>
      <c r="N131" s="117"/>
      <c r="O131" s="117"/>
      <c r="P131" s="117"/>
      <c r="Q131" s="117"/>
      <c r="R131" s="117"/>
      <c r="S131" s="117"/>
      <c r="T131" s="325"/>
      <c r="U131" s="327"/>
    </row>
    <row r="132" spans="1:21" ht="12" customHeight="1">
      <c r="A132" s="337"/>
      <c r="B132" s="117"/>
      <c r="C132" s="117"/>
      <c r="D132" s="1868" t="s">
        <v>1000</v>
      </c>
      <c r="E132" s="1868"/>
      <c r="F132" s="1868"/>
      <c r="G132" s="1868"/>
      <c r="H132" s="1868"/>
      <c r="I132" s="117"/>
      <c r="J132" s="1868" t="s">
        <v>1001</v>
      </c>
      <c r="K132" s="1868"/>
      <c r="L132" s="1868"/>
      <c r="M132" s="186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9"/>
      <c r="B138" s="1870"/>
      <c r="C138" s="1870"/>
      <c r="D138" s="329"/>
      <c r="E138" s="1866"/>
      <c r="F138" s="1866"/>
      <c r="G138" s="117"/>
      <c r="H138" s="117"/>
      <c r="I138" s="117"/>
      <c r="J138" s="117"/>
      <c r="K138" s="117"/>
      <c r="L138" s="117"/>
      <c r="M138" s="117"/>
      <c r="N138" s="117"/>
      <c r="O138" s="117"/>
      <c r="P138" s="117"/>
      <c r="Q138" s="117"/>
      <c r="R138" s="117"/>
      <c r="S138" s="117"/>
      <c r="T138" s="331"/>
      <c r="U138" s="332"/>
    </row>
    <row r="139" spans="1:21" ht="12.75">
      <c r="A139" s="1865" t="s">
        <v>1004</v>
      </c>
      <c r="B139" s="1865"/>
      <c r="C139" s="1865"/>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9" workbookViewId="0">
      <selection activeCell="E105" sqref="E105"/>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8" t="s">
        <v>1227</v>
      </c>
      <c r="B1" s="1879"/>
      <c r="C1" s="1879"/>
      <c r="D1" s="1879"/>
      <c r="E1" s="1879"/>
      <c r="F1" s="1879"/>
      <c r="G1" s="1879"/>
      <c r="H1" s="1879"/>
      <c r="I1" s="1879"/>
      <c r="J1" s="1880"/>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2000000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25000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2025000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2025000</v>
      </c>
      <c r="C12" s="362">
        <f>SUM(C8+C11)</f>
        <v>0</v>
      </c>
      <c r="D12" s="362">
        <f>SUM(D8+D11)</f>
        <v>0</v>
      </c>
      <c r="E12" s="364"/>
      <c r="F12" s="364"/>
      <c r="G12" s="364"/>
      <c r="H12" s="364"/>
      <c r="I12" s="364"/>
      <c r="J12" s="364"/>
      <c r="K12" s="360"/>
    </row>
    <row r="13" spans="1:11" s="361" customFormat="1">
      <c r="A13" s="367" t="s">
        <v>902</v>
      </c>
      <c r="B13" s="362">
        <f>'Sources and Uses Budget'!C13</f>
        <v>50000</v>
      </c>
      <c r="C13" s="363"/>
      <c r="D13" s="363"/>
      <c r="E13" s="362">
        <f>'Sources and Uses Budget'!S13</f>
        <v>50000</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48440910</v>
      </c>
      <c r="C30" s="363"/>
      <c r="D30" s="363"/>
      <c r="E30" s="362">
        <f>'Sources and Uses Budget'!S30</f>
        <v>48440910</v>
      </c>
      <c r="F30" s="363"/>
      <c r="G30" s="363"/>
      <c r="H30" s="362">
        <f>'Sources and Uses Budget'!T30</f>
        <v>0</v>
      </c>
      <c r="I30" s="363"/>
      <c r="J30" s="363"/>
      <c r="K30" s="360"/>
    </row>
    <row r="31" spans="1:11" s="361" customFormat="1">
      <c r="A31" s="145" t="s">
        <v>600</v>
      </c>
      <c r="B31" s="362">
        <f>'Sources and Uses Budget'!C31</f>
        <v>1784503</v>
      </c>
      <c r="C31" s="363"/>
      <c r="D31" s="363"/>
      <c r="E31" s="362">
        <f>'Sources and Uses Budget'!S31</f>
        <v>1784503</v>
      </c>
      <c r="F31" s="363"/>
      <c r="G31" s="363"/>
      <c r="H31" s="362">
        <f>'Sources and Uses Budget'!T31</f>
        <v>0</v>
      </c>
      <c r="I31" s="363"/>
      <c r="J31" s="363"/>
      <c r="K31" s="360"/>
    </row>
    <row r="32" spans="1:11" s="361" customFormat="1">
      <c r="A32" s="145" t="s">
        <v>137</v>
      </c>
      <c r="B32" s="362">
        <f>'Sources and Uses Budget'!C32</f>
        <v>860655</v>
      </c>
      <c r="C32" s="363"/>
      <c r="D32" s="363"/>
      <c r="E32" s="362">
        <f>'Sources and Uses Budget'!S32</f>
        <v>860655</v>
      </c>
      <c r="F32" s="363"/>
      <c r="G32" s="363"/>
      <c r="H32" s="362">
        <f>'Sources and Uses Budget'!T32</f>
        <v>0</v>
      </c>
      <c r="I32" s="363"/>
      <c r="J32" s="363"/>
      <c r="K32" s="360"/>
    </row>
    <row r="33" spans="1:11" s="361" customFormat="1">
      <c r="A33" s="145" t="s">
        <v>138</v>
      </c>
      <c r="B33" s="362">
        <f>'Sources and Uses Budget'!C33</f>
        <v>860655</v>
      </c>
      <c r="C33" s="363"/>
      <c r="D33" s="363"/>
      <c r="E33" s="362">
        <f>'Sources and Uses Budget'!S33</f>
        <v>860655</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800965</v>
      </c>
      <c r="C35" s="363"/>
      <c r="D35" s="363"/>
      <c r="E35" s="362">
        <f>'Sources and Uses Budget'!S35</f>
        <v>800965</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PG&amp;E Transformer</v>
      </c>
      <c r="B37" s="362">
        <f>'Sources and Uses Budget'!C37</f>
        <v>370000</v>
      </c>
      <c r="C37" s="363"/>
      <c r="D37" s="363"/>
      <c r="E37" s="362">
        <f>'Sources and Uses Budget'!S37</f>
        <v>370000</v>
      </c>
      <c r="F37" s="363"/>
      <c r="G37" s="363"/>
      <c r="H37" s="362">
        <f>'Sources and Uses Budget'!T37</f>
        <v>0</v>
      </c>
      <c r="I37" s="363"/>
      <c r="J37" s="363"/>
      <c r="K37" s="360"/>
    </row>
    <row r="38" spans="1:11" s="361" customFormat="1">
      <c r="A38" s="366" t="s">
        <v>143</v>
      </c>
      <c r="B38" s="362">
        <f>'Sources and Uses Budget'!C38</f>
        <v>53117688</v>
      </c>
      <c r="C38" s="362">
        <f>SUM(C29:C37)</f>
        <v>0</v>
      </c>
      <c r="D38" s="362">
        <f>SUM(D29:D37)</f>
        <v>0</v>
      </c>
      <c r="E38" s="362">
        <f>'Sources and Uses Budget'!S38</f>
        <v>53117688</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2538312</v>
      </c>
      <c r="C40" s="363"/>
      <c r="D40" s="363"/>
      <c r="E40" s="362">
        <f>'Sources and Uses Budget'!S40</f>
        <v>2538312</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2538312</v>
      </c>
      <c r="C42" s="362">
        <f>SUM(C39:C41)</f>
        <v>0</v>
      </c>
      <c r="D42" s="362">
        <f>SUM(D39:D41)</f>
        <v>0</v>
      </c>
      <c r="E42" s="362">
        <f>'Sources and Uses Budget'!S42</f>
        <v>2538312</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620000</v>
      </c>
      <c r="C43" s="363"/>
      <c r="D43" s="363"/>
      <c r="E43" s="362">
        <f>'Sources and Uses Budget'!S43</f>
        <v>620000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4802863</v>
      </c>
      <c r="C45" s="363"/>
      <c r="D45" s="363"/>
      <c r="E45" s="362">
        <f>'Sources and Uses Budget'!S45</f>
        <v>2401431</v>
      </c>
      <c r="F45" s="363"/>
      <c r="G45" s="363"/>
      <c r="H45" s="362">
        <f>'Sources and Uses Budget'!T45</f>
        <v>0</v>
      </c>
      <c r="I45" s="363"/>
      <c r="J45" s="363"/>
      <c r="K45" s="360"/>
    </row>
    <row r="46" spans="1:11" s="361" customFormat="1">
      <c r="A46" s="365" t="s">
        <v>151</v>
      </c>
      <c r="B46" s="362">
        <f>'Sources and Uses Budget'!C46</f>
        <v>357580</v>
      </c>
      <c r="C46" s="363"/>
      <c r="D46" s="363"/>
      <c r="E46" s="362">
        <f>'Sources and Uses Budget'!S46</f>
        <v>178790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241775</v>
      </c>
      <c r="C49" s="363"/>
      <c r="D49" s="363"/>
      <c r="E49" s="362">
        <f>'Sources and Uses Budget'!S49</f>
        <v>120888</v>
      </c>
      <c r="F49" s="363"/>
      <c r="G49" s="363"/>
      <c r="H49" s="362">
        <f>'Sources and Uses Budget'!T49</f>
        <v>0</v>
      </c>
      <c r="I49" s="363"/>
      <c r="J49" s="363"/>
      <c r="K49" s="360"/>
    </row>
    <row r="50" spans="1:11" s="361" customFormat="1">
      <c r="A50" s="365" t="s">
        <v>156</v>
      </c>
      <c r="B50" s="362">
        <f>'Sources and Uses Budget'!C50</f>
        <v>80000</v>
      </c>
      <c r="C50" s="363"/>
      <c r="D50" s="363"/>
      <c r="E50" s="362">
        <f>'Sources and Uses Budget'!S50</f>
        <v>80000</v>
      </c>
      <c r="F50" s="363"/>
      <c r="G50" s="363"/>
      <c r="H50" s="362">
        <f>'Sources and Uses Budget'!T50</f>
        <v>0</v>
      </c>
      <c r="I50" s="363"/>
      <c r="J50" s="363"/>
      <c r="K50" s="360"/>
    </row>
    <row r="51" spans="1:11" s="361" customFormat="1">
      <c r="A51" s="365" t="s">
        <v>154</v>
      </c>
      <c r="B51" s="362">
        <f>'Sources and Uses Budget'!C51</f>
        <v>38000</v>
      </c>
      <c r="C51" s="363"/>
      <c r="D51" s="363"/>
      <c r="E51" s="362">
        <f>'Sources and Uses Budget'!S51</f>
        <v>38000</v>
      </c>
      <c r="F51" s="363"/>
      <c r="G51" s="363"/>
      <c r="H51" s="362">
        <f>'Sources and Uses Budget'!T51</f>
        <v>0</v>
      </c>
      <c r="I51" s="363"/>
      <c r="J51" s="363"/>
      <c r="K51" s="360"/>
    </row>
    <row r="52" spans="1:11" s="361" customFormat="1">
      <c r="A52" s="365" t="s">
        <v>155</v>
      </c>
      <c r="B52" s="362">
        <f>'Sources and Uses Budget'!C52</f>
        <v>850000</v>
      </c>
      <c r="C52" s="363"/>
      <c r="D52" s="363"/>
      <c r="E52" s="362">
        <f>'Sources and Uses Budget'!S52</f>
        <v>850000</v>
      </c>
      <c r="F52" s="363"/>
      <c r="G52" s="363"/>
      <c r="H52" s="362">
        <f>'Sources and Uses Budget'!T52</f>
        <v>0</v>
      </c>
      <c r="I52" s="363"/>
      <c r="J52" s="363"/>
      <c r="K52" s="360"/>
    </row>
    <row r="53" spans="1:11" s="361" customFormat="1">
      <c r="A53" s="365" t="str">
        <f>'Sources and Uses Budget'!$A53</f>
        <v>Other: Accrued Deferred Interest</v>
      </c>
      <c r="B53" s="362">
        <f>'Sources and Uses Budget'!C53</f>
        <v>1233143</v>
      </c>
      <c r="C53" s="363"/>
      <c r="D53" s="363"/>
      <c r="E53" s="362">
        <f>'Sources and Uses Budget'!S53</f>
        <v>815961</v>
      </c>
      <c r="F53" s="363"/>
      <c r="G53" s="363"/>
      <c r="H53" s="362">
        <f>'Sources and Uses Budget'!T53</f>
        <v>0</v>
      </c>
      <c r="I53" s="363"/>
      <c r="J53" s="363"/>
      <c r="K53" s="360"/>
    </row>
    <row r="54" spans="1:11" s="370" customFormat="1">
      <c r="A54" s="366" t="s">
        <v>157</v>
      </c>
      <c r="B54" s="362">
        <f>'Sources and Uses Budget'!C54</f>
        <v>7603361</v>
      </c>
      <c r="C54" s="368">
        <f>SUM(C45:C53)</f>
        <v>0</v>
      </c>
      <c r="D54" s="368">
        <f>SUM(D45:D53)</f>
        <v>0</v>
      </c>
      <c r="E54" s="362">
        <f>'Sources and Uses Budget'!S54</f>
        <v>4485070</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300</v>
      </c>
      <c r="B62" s="362">
        <f>'Sources and Uses Budget'!C62</f>
        <v>15000</v>
      </c>
      <c r="C62" s="362">
        <f>SUM(C56:C61)</f>
        <v>0</v>
      </c>
      <c r="D62" s="362">
        <f>SUM(D56:D61)</f>
        <v>0</v>
      </c>
      <c r="E62" s="364"/>
      <c r="F62" s="364"/>
      <c r="G62" s="364"/>
      <c r="H62" s="364"/>
      <c r="I62" s="364"/>
      <c r="J62" s="364"/>
      <c r="K62" s="360"/>
    </row>
    <row r="63" spans="1:11" s="361" customFormat="1">
      <c r="A63" s="371" t="s">
        <v>301</v>
      </c>
      <c r="B63" s="362">
        <f>'Sources and Uses Budget'!C63</f>
        <v>65969361</v>
      </c>
      <c r="C63" s="362">
        <f>SUM(C8+C11+C13+C14+C15+C26+C27+C38+C42+C43+C54+C62)</f>
        <v>0</v>
      </c>
      <c r="D63" s="362">
        <f>SUM(D8+D11+D13+D14+D15+D26+D27+D38+D42+D43+D54+D62)</f>
        <v>0</v>
      </c>
      <c r="E63" s="362">
        <f>'Sources and Uses Budget'!S63</f>
        <v>60811070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170</v>
      </c>
      <c r="B65" s="362">
        <f>'Sources and Uses Budget'!C65</f>
        <v>65000</v>
      </c>
      <c r="C65" s="363"/>
      <c r="D65" s="363"/>
      <c r="E65" s="362">
        <f>'Sources and Uses Budget'!S65</f>
        <v>32500</v>
      </c>
      <c r="F65" s="363"/>
      <c r="G65" s="363"/>
      <c r="H65" s="362">
        <f>'Sources and Uses Budget'!T65</f>
        <v>0</v>
      </c>
      <c r="I65" s="363"/>
      <c r="J65" s="363"/>
      <c r="K65" s="360"/>
    </row>
    <row r="66" spans="1:11" s="361" customFormat="1" ht="24">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24">
      <c r="A69" s="365" t="str">
        <f>'Sources and Uses Budget'!$A69</f>
        <v>Other: Owner Legal - Construction + Perm</v>
      </c>
      <c r="B69" s="362">
        <f>'Sources and Uses Budget'!C69</f>
        <v>55000</v>
      </c>
      <c r="C69" s="363"/>
      <c r="D69" s="363"/>
      <c r="E69" s="362">
        <f>'Sources and Uses Budget'!S69</f>
        <v>40000</v>
      </c>
      <c r="F69" s="363"/>
      <c r="G69" s="363"/>
      <c r="H69" s="362">
        <f>'Sources and Uses Budget'!T69</f>
        <v>0</v>
      </c>
      <c r="I69" s="363"/>
      <c r="J69" s="363"/>
      <c r="K69" s="360"/>
    </row>
    <row r="70" spans="1:11" s="361" customFormat="1">
      <c r="A70" s="366" t="s">
        <v>601</v>
      </c>
      <c r="B70" s="362">
        <f>'Sources and Uses Budget'!C70</f>
        <v>120000</v>
      </c>
      <c r="C70" s="362">
        <f>SUM(C64:C69)</f>
        <v>0</v>
      </c>
      <c r="D70" s="362">
        <f>SUM(D64:D69)</f>
        <v>0</v>
      </c>
      <c r="E70" s="362">
        <f>'Sources and Uses Budget'!S70</f>
        <v>72500</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205708</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611743</v>
      </c>
      <c r="C75" s="363"/>
      <c r="D75" s="363"/>
      <c r="E75" s="364"/>
      <c r="F75" s="364"/>
      <c r="G75" s="364"/>
      <c r="H75" s="364"/>
      <c r="I75" s="364"/>
      <c r="J75" s="364"/>
      <c r="K75" s="360"/>
    </row>
    <row r="76" spans="1:11" s="361" customFormat="1">
      <c r="A76" s="365" t="str">
        <f>'Sources and Uses Budget'!$A76</f>
        <v>Other: HUD Reserves</v>
      </c>
      <c r="B76" s="362">
        <f>'Sources and Uses Budget'!C76</f>
        <v>1868884</v>
      </c>
      <c r="C76" s="363"/>
      <c r="D76" s="363"/>
      <c r="E76" s="364"/>
      <c r="F76" s="364"/>
      <c r="G76" s="364"/>
      <c r="H76" s="364"/>
      <c r="I76" s="364"/>
      <c r="J76" s="364"/>
      <c r="K76" s="360"/>
    </row>
    <row r="77" spans="1:11" s="361" customFormat="1">
      <c r="A77" s="366" t="s">
        <v>606</v>
      </c>
      <c r="B77" s="362">
        <f>'Sources and Uses Budget'!C77</f>
        <v>2686335</v>
      </c>
      <c r="C77" s="362">
        <f>SUM(C72:C76)</f>
        <v>0</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5311769</v>
      </c>
      <c r="C79" s="363"/>
      <c r="D79" s="363"/>
      <c r="E79" s="362">
        <f>'Sources and Uses Budget'!S79</f>
        <v>5311769</v>
      </c>
      <c r="F79" s="363"/>
      <c r="G79" s="363"/>
      <c r="H79" s="362">
        <f>'Sources and Uses Budget'!T79</f>
        <v>0</v>
      </c>
      <c r="I79" s="363"/>
      <c r="J79" s="363"/>
      <c r="K79" s="360"/>
    </row>
    <row r="80" spans="1:11" s="361" customFormat="1">
      <c r="A80" s="365" t="s">
        <v>58</v>
      </c>
      <c r="B80" s="362">
        <f>'Sources and Uses Budget'!C80</f>
        <v>799299</v>
      </c>
      <c r="C80" s="363"/>
      <c r="D80" s="363"/>
      <c r="E80" s="362">
        <f>'Sources and Uses Budget'!S80</f>
        <v>799299</v>
      </c>
      <c r="F80" s="363"/>
      <c r="G80" s="363"/>
      <c r="H80" s="362">
        <f>'Sources and Uses Budget'!T80</f>
        <v>0</v>
      </c>
      <c r="I80" s="363"/>
      <c r="J80" s="363"/>
      <c r="K80" s="360"/>
    </row>
    <row r="81" spans="1:11" s="361" customFormat="1">
      <c r="A81" s="366" t="s">
        <v>1209</v>
      </c>
      <c r="B81" s="362">
        <f>'Sources and Uses Budget'!C81</f>
        <v>6111068</v>
      </c>
      <c r="C81" s="362">
        <f>SUM(C79:C80)</f>
        <v>0</v>
      </c>
      <c r="D81" s="362">
        <f>SUM(D79:D80)</f>
        <v>0</v>
      </c>
      <c r="E81" s="362">
        <f>'Sources and Uses Budget'!S81</f>
        <v>6111068</v>
      </c>
      <c r="F81" s="362">
        <f>SUM(F79:F80)</f>
        <v>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2096</v>
      </c>
      <c r="B83" s="362">
        <f>'Sources and Uses Budget'!C83</f>
        <v>108839</v>
      </c>
      <c r="C83" s="363"/>
      <c r="D83" s="363"/>
      <c r="E83" s="364"/>
      <c r="F83" s="364"/>
      <c r="G83" s="364"/>
      <c r="H83" s="364"/>
      <c r="I83" s="364"/>
      <c r="J83" s="364"/>
      <c r="K83" s="360"/>
    </row>
    <row r="84" spans="1:11" s="361" customFormat="1">
      <c r="A84" s="145" t="s">
        <v>767</v>
      </c>
      <c r="B84" s="362">
        <f>'Sources and Uses Budget'!C84</f>
        <v>50000</v>
      </c>
      <c r="C84" s="363"/>
      <c r="D84" s="363"/>
      <c r="E84" s="362">
        <f>'Sources and Uses Budget'!S84</f>
        <v>50000</v>
      </c>
      <c r="F84" s="363"/>
      <c r="G84" s="363"/>
      <c r="H84" s="362">
        <f>'Sources and Uses Budget'!T84</f>
        <v>0</v>
      </c>
      <c r="I84" s="363"/>
      <c r="J84" s="363"/>
      <c r="K84" s="360"/>
    </row>
    <row r="85" spans="1:11" s="361" customFormat="1">
      <c r="A85" s="145" t="s">
        <v>768</v>
      </c>
      <c r="B85" s="362">
        <f>'Sources and Uses Budget'!C85</f>
        <v>470930</v>
      </c>
      <c r="C85" s="363"/>
      <c r="D85" s="363"/>
      <c r="E85" s="362">
        <f>'Sources and Uses Budget'!S85</f>
        <v>470930</v>
      </c>
      <c r="F85" s="363"/>
      <c r="G85" s="363"/>
      <c r="H85" s="362">
        <f>'Sources and Uses Budget'!T85</f>
        <v>0</v>
      </c>
      <c r="I85" s="363"/>
      <c r="J85" s="363"/>
      <c r="K85" s="360"/>
    </row>
    <row r="86" spans="1:11" s="361" customFormat="1">
      <c r="A86" s="145" t="s">
        <v>769</v>
      </c>
      <c r="B86" s="362">
        <f>'Sources and Uses Budget'!C86</f>
        <v>1258930</v>
      </c>
      <c r="C86" s="363"/>
      <c r="D86" s="363"/>
      <c r="E86" s="362">
        <f>'Sources and Uses Budget'!S86</f>
        <v>1258930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450000</v>
      </c>
      <c r="C88" s="363"/>
      <c r="D88" s="363"/>
      <c r="E88" s="364"/>
      <c r="F88" s="364"/>
      <c r="G88" s="364"/>
      <c r="H88" s="364"/>
      <c r="I88" s="364"/>
      <c r="J88" s="364"/>
      <c r="K88" s="360"/>
    </row>
    <row r="89" spans="1:11" s="361" customFormat="1">
      <c r="A89" s="145" t="s">
        <v>772</v>
      </c>
      <c r="B89" s="362">
        <f>'Sources and Uses Budget'!C89</f>
        <v>150000</v>
      </c>
      <c r="C89" s="363"/>
      <c r="D89" s="363"/>
      <c r="E89" s="362">
        <f>'Sources and Uses Budget'!S89</f>
        <v>150000</v>
      </c>
      <c r="F89" s="363"/>
      <c r="G89" s="363"/>
      <c r="H89" s="362">
        <f>'Sources and Uses Budget'!T89</f>
        <v>0</v>
      </c>
      <c r="I89" s="363"/>
      <c r="J89" s="363"/>
      <c r="K89" s="360"/>
    </row>
    <row r="90" spans="1:11" s="361" customFormat="1">
      <c r="A90" s="145" t="s">
        <v>773</v>
      </c>
      <c r="B90" s="362">
        <f>'Sources and Uses Budget'!C90</f>
        <v>16000</v>
      </c>
      <c r="C90" s="363"/>
      <c r="D90" s="363"/>
      <c r="E90" s="362">
        <f>'Sources and Uses Budget'!S90</f>
        <v>0</v>
      </c>
      <c r="F90" s="363"/>
      <c r="G90" s="363"/>
      <c r="H90" s="362">
        <f>'Sources and Uses Budget'!T90</f>
        <v>0</v>
      </c>
      <c r="I90" s="363"/>
      <c r="J90" s="363"/>
      <c r="K90" s="360"/>
    </row>
    <row r="91" spans="1:11" s="361" customFormat="1">
      <c r="A91" s="155" t="s">
        <v>371</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15000</v>
      </c>
      <c r="C92" s="363"/>
      <c r="D92" s="363"/>
      <c r="E92" s="362">
        <f>'Sources and Uses Budget'!S92</f>
        <v>15000</v>
      </c>
      <c r="F92" s="363"/>
      <c r="G92" s="363"/>
      <c r="H92" s="362">
        <f>'Sources and Uses Budget'!T92</f>
        <v>0</v>
      </c>
      <c r="I92" s="363"/>
      <c r="J92" s="363"/>
      <c r="K92" s="360"/>
    </row>
    <row r="93" spans="1:11" s="361" customFormat="1" ht="24">
      <c r="A93" s="365" t="str">
        <f>'Sources and Uses Budget'!$A93</f>
        <v>Other: Prevailing Wage Monitor + Construction Supervision</v>
      </c>
      <c r="B93" s="362">
        <f>'Sources and Uses Budget'!C93</f>
        <v>140000</v>
      </c>
      <c r="C93" s="363"/>
      <c r="D93" s="363"/>
      <c r="E93" s="362">
        <f>'Sources and Uses Budget'!S93</f>
        <v>140000</v>
      </c>
      <c r="F93" s="363"/>
      <c r="G93" s="363"/>
      <c r="H93" s="362">
        <f>'Sources and Uses Budget'!T93</f>
        <v>0</v>
      </c>
      <c r="I93" s="363"/>
      <c r="J93" s="363"/>
      <c r="K93" s="360"/>
    </row>
    <row r="94" spans="1:11" s="361" customFormat="1" ht="24">
      <c r="A94" s="365" t="str">
        <f>'Sources and Uses Budget'!$A94</f>
        <v>Other: Utility Connection Fees + BOE Waste Fees</v>
      </c>
      <c r="B94" s="362">
        <f>'Sources and Uses Budget'!C94</f>
        <v>1100000</v>
      </c>
      <c r="C94" s="363"/>
      <c r="D94" s="363"/>
      <c r="E94" s="362">
        <f>'Sources and Uses Budget'!S94</f>
        <v>1100000</v>
      </c>
      <c r="F94" s="363"/>
      <c r="G94" s="363"/>
      <c r="H94" s="362">
        <f>'Sources and Uses Budget'!T94</f>
        <v>0</v>
      </c>
      <c r="I94" s="363"/>
      <c r="J94" s="363"/>
      <c r="K94" s="360"/>
    </row>
    <row r="95" spans="1:11" s="361" customFormat="1">
      <c r="A95" s="365" t="str">
        <f>'Sources and Uses Budget'!$A95</f>
        <v>Other: City of Oakland Origination</v>
      </c>
      <c r="B95" s="362">
        <f>'Sources and Uses Budget'!C95</f>
        <v>400000</v>
      </c>
      <c r="C95" s="363"/>
      <c r="D95" s="363"/>
      <c r="E95" s="362">
        <f>'Sources and Uses Budget'!S95</f>
        <v>11765</v>
      </c>
      <c r="F95" s="363"/>
      <c r="G95" s="363"/>
      <c r="H95" s="362">
        <f>'Sources and Uses Budget'!T95</f>
        <v>0</v>
      </c>
      <c r="I95" s="363"/>
      <c r="J95" s="363"/>
      <c r="K95" s="360"/>
    </row>
    <row r="96" spans="1:11" s="361" customFormat="1">
      <c r="A96" s="366" t="s">
        <v>774</v>
      </c>
      <c r="B96" s="362">
        <f>'Sources and Uses Budget'!C96</f>
        <v>4159699</v>
      </c>
      <c r="C96" s="362">
        <f>SUM(C83:C95)</f>
        <v>0</v>
      </c>
      <c r="D96" s="362">
        <f>SUM(D83:D95)</f>
        <v>0</v>
      </c>
      <c r="E96" s="362">
        <f>'Sources and Uses Budget'!S96</f>
        <v>3196625</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79046463</v>
      </c>
      <c r="C97" s="362">
        <f>SUM(C63+C70+C77+C81+C96)</f>
        <v>0</v>
      </c>
      <c r="D97" s="362">
        <f>SUM(D63+D70+D77+D81+D96)</f>
        <v>0</v>
      </c>
      <c r="E97" s="362">
        <f>'Sources and Uses Budget'!S97</f>
        <v>70191263</v>
      </c>
      <c r="F97" s="368">
        <f>SUM(+F63+F70+F81+F96)</f>
        <v>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7000000</v>
      </c>
      <c r="C99" s="363"/>
      <c r="D99" s="363"/>
      <c r="E99" s="362">
        <f>'Sources and Uses Budget'!S99</f>
        <v>7000000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7000000</v>
      </c>
      <c r="C104" s="362">
        <f>SUM(C99:C103)</f>
        <v>0</v>
      </c>
      <c r="D104" s="362">
        <f>SUM(D99:D103)</f>
        <v>0</v>
      </c>
      <c r="E104" s="362">
        <f>'Sources and Uses Budget'!S104</f>
        <v>7000000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86046463</v>
      </c>
      <c r="C105" s="368">
        <f>SUM(C97+C104)</f>
        <v>0</v>
      </c>
      <c r="D105" s="368">
        <f>SUM(D97+D104)</f>
        <v>0</v>
      </c>
      <c r="E105" s="362">
        <f>'Sources and Uses Budget'!S105</f>
        <v>77191263</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77191263</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6"/>
      <c r="E124" s="1327"/>
      <c r="F124" s="1327"/>
      <c r="G124" s="1327"/>
      <c r="H124" s="1327"/>
      <c r="I124" s="1327"/>
      <c r="J124" s="377"/>
      <c r="K124" s="360"/>
    </row>
    <row r="125" spans="1:11" s="361" customFormat="1" ht="12.75">
      <c r="A125" s="386"/>
      <c r="B125" s="385"/>
      <c r="C125" s="386"/>
      <c r="D125" s="1327"/>
      <c r="E125" s="1327"/>
      <c r="F125" s="1327"/>
      <c r="G125" s="1327"/>
      <c r="H125" s="1327"/>
      <c r="I125" s="1327"/>
      <c r="J125" s="377"/>
      <c r="K125" s="360"/>
    </row>
    <row r="126" spans="1:11" s="361" customFormat="1" ht="12.75">
      <c r="A126" s="386"/>
      <c r="B126" s="385"/>
      <c r="C126" s="386"/>
      <c r="D126" s="1327"/>
      <c r="E126" s="1327"/>
      <c r="F126" s="1327"/>
      <c r="G126" s="1327"/>
      <c r="H126" s="1327"/>
      <c r="I126" s="1327"/>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7"/>
      <c r="B139" s="1327"/>
      <c r="C139" s="1327"/>
      <c r="D139" s="357"/>
      <c r="E139" s="386"/>
      <c r="F139" s="386"/>
      <c r="G139" s="386"/>
    </row>
    <row r="140" spans="1:11" ht="12" customHeight="1">
      <c r="A140" s="1298"/>
      <c r="B140" s="1298"/>
      <c r="C140" s="1298"/>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42578125" style="1189" bestFit="1" customWidth="1"/>
    <col min="67" max="68" width="5.42578125" style="1189" hidden="1" customWidth="1"/>
    <col min="69" max="69" width="8" style="1189" hidden="1" customWidth="1"/>
    <col min="70" max="70" width="6" style="1189" hidden="1" customWidth="1"/>
    <col min="71" max="71" width="6.140625" style="1189" hidden="1" customWidth="1"/>
    <col min="72" max="76" width="5.42578125" style="1189" hidden="1" customWidth="1"/>
    <col min="77" max="77" width="6.140625" style="1189" bestFit="1" customWidth="1"/>
    <col min="78" max="78" width="5.42578125" style="1189" bestFit="1" customWidth="1"/>
    <col min="79" max="16384" width="2.7109375" style="1189"/>
  </cols>
  <sheetData>
    <row r="1" spans="1:65" ht="15.75" customHeight="1">
      <c r="A1" s="1889" t="s">
        <v>2460</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2459</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81" t="str">
        <f>IF(Application!H18="","",Application!H18)</f>
        <v>The Eliza</v>
      </c>
      <c r="M4" s="1882"/>
      <c r="N4" s="1882"/>
      <c r="O4" s="1882"/>
      <c r="P4" s="1882"/>
      <c r="Q4" s="1882"/>
      <c r="R4" s="1882"/>
      <c r="S4" s="1882"/>
      <c r="T4" s="1882"/>
      <c r="U4" s="1882"/>
      <c r="V4" s="1882"/>
      <c r="W4" s="1882"/>
      <c r="X4" s="1882"/>
      <c r="Y4" s="1882"/>
      <c r="Z4" s="1882"/>
      <c r="AA4" s="1882"/>
      <c r="AB4" s="1882"/>
      <c r="AC4" s="1883"/>
      <c r="AD4" s="1192"/>
      <c r="AE4" s="1192"/>
      <c r="AF4" s="1895" t="s">
        <v>2458</v>
      </c>
      <c r="AG4" s="1895"/>
      <c r="AH4" s="1895"/>
      <c r="AI4" s="1895"/>
      <c r="AJ4" s="1895"/>
      <c r="AK4" s="1895"/>
      <c r="AL4" s="1895"/>
      <c r="AM4" s="1895"/>
      <c r="AN4" s="1895"/>
      <c r="AO4" s="1895"/>
      <c r="AP4" s="1896"/>
      <c r="AQ4" s="1897"/>
      <c r="AR4" s="1897"/>
      <c r="AS4" s="1897"/>
      <c r="AT4" s="1897"/>
      <c r="AU4" s="1897"/>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5" t="s">
        <v>2457</v>
      </c>
      <c r="AG5" s="1895"/>
      <c r="AH5" s="1895"/>
      <c r="AI5" s="1895"/>
      <c r="AJ5" s="1895"/>
      <c r="AK5" s="1895"/>
      <c r="AL5" s="1895"/>
      <c r="AM5" s="1895"/>
      <c r="AN5" s="1895"/>
      <c r="AO5" s="1895"/>
      <c r="AP5" s="1896"/>
      <c r="AQ5" s="1897"/>
      <c r="AR5" s="1897"/>
      <c r="AS5" s="1897"/>
      <c r="AT5" s="1897"/>
      <c r="AU5" s="1897"/>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81" t="str">
        <f>IF(Application!H16="","",Application!H16)</f>
        <v>Mercy Housing California 91, L.P.</v>
      </c>
      <c r="M6" s="1882"/>
      <c r="N6" s="1882"/>
      <c r="O6" s="1882"/>
      <c r="P6" s="1882"/>
      <c r="Q6" s="1882"/>
      <c r="R6" s="1882"/>
      <c r="S6" s="1882"/>
      <c r="T6" s="1882"/>
      <c r="U6" s="1882"/>
      <c r="V6" s="1882"/>
      <c r="W6" s="1882"/>
      <c r="X6" s="1882"/>
      <c r="Y6" s="1882"/>
      <c r="Z6" s="1882"/>
      <c r="AA6" s="1882"/>
      <c r="AB6" s="1882"/>
      <c r="AC6" s="1883"/>
      <c r="AD6" s="1192"/>
      <c r="AE6" s="1192"/>
      <c r="AF6" s="1884" t="s">
        <v>2455</v>
      </c>
      <c r="AG6" s="1884"/>
      <c r="AH6" s="1884"/>
      <c r="AI6" s="1884"/>
      <c r="AJ6" s="1884"/>
      <c r="AK6" s="1884"/>
      <c r="AL6" s="1884"/>
      <c r="AM6" s="1884"/>
      <c r="AN6" s="1884"/>
      <c r="AO6" s="1884"/>
      <c r="AP6" s="1885"/>
      <c r="AQ6" s="1885"/>
      <c r="AR6" s="1885"/>
      <c r="AS6" s="1885"/>
      <c r="AT6" s="1885"/>
      <c r="AU6" s="1885"/>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4" t="s">
        <v>2454</v>
      </c>
      <c r="AG7" s="1884"/>
      <c r="AH7" s="1884"/>
      <c r="AI7" s="1884"/>
      <c r="AJ7" s="1884"/>
      <c r="AK7" s="1884"/>
      <c r="AL7" s="1884"/>
      <c r="AM7" s="1884"/>
      <c r="AN7" s="1884"/>
      <c r="AO7" s="1884"/>
      <c r="AP7" s="1885"/>
      <c r="AQ7" s="1885"/>
      <c r="AR7" s="1885"/>
      <c r="AS7" s="1885"/>
      <c r="AT7" s="1885"/>
      <c r="AU7" s="1885"/>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6" t="str">
        <f>Application!T197</f>
        <v>No</v>
      </c>
      <c r="AC8" s="1887"/>
      <c r="AD8" s="1888"/>
      <c r="AE8" s="1192"/>
      <c r="AF8" s="1884" t="s">
        <v>2452</v>
      </c>
      <c r="AG8" s="1884"/>
      <c r="AH8" s="1884"/>
      <c r="AI8" s="1884"/>
      <c r="AJ8" s="1884"/>
      <c r="AK8" s="1884"/>
      <c r="AL8" s="1884"/>
      <c r="AM8" s="1884"/>
      <c r="AN8" s="1884"/>
      <c r="AO8" s="1884"/>
      <c r="AP8" s="1885" t="s">
        <v>2100</v>
      </c>
      <c r="AQ8" s="1885"/>
      <c r="AR8" s="1885"/>
      <c r="AS8" s="1885"/>
      <c r="AT8" s="1885"/>
      <c r="AU8" s="1885"/>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5" t="s">
        <v>2451</v>
      </c>
      <c r="AG9" s="1895"/>
      <c r="AH9" s="1895"/>
      <c r="AI9" s="1895"/>
      <c r="AJ9" s="1895"/>
      <c r="AK9" s="1895"/>
      <c r="AL9" s="1895"/>
      <c r="AM9" s="1895"/>
      <c r="AN9" s="1895"/>
      <c r="AO9" s="1895"/>
      <c r="AP9" s="1896"/>
      <c r="AQ9" s="1897"/>
      <c r="AR9" s="1897"/>
      <c r="AS9" s="1897"/>
      <c r="AT9" s="1897"/>
      <c r="AU9" s="1897"/>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1910">
        <f>Application!AO627</f>
        <v>11800000</v>
      </c>
      <c r="O10" s="1910"/>
      <c r="P10" s="1910"/>
      <c r="Q10" s="1910"/>
      <c r="R10" s="1910"/>
      <c r="S10" s="1910"/>
      <c r="T10" s="1910"/>
      <c r="U10" s="1192"/>
      <c r="V10" s="1192"/>
      <c r="W10" s="1192"/>
      <c r="X10" s="1195"/>
      <c r="Y10" s="1195"/>
      <c r="Z10" s="1195"/>
      <c r="AA10" s="1195"/>
      <c r="AB10" s="1195"/>
      <c r="AC10" s="1195"/>
      <c r="AD10" s="1195"/>
      <c r="AE10" s="1195"/>
      <c r="AF10" s="1895" t="s">
        <v>2448</v>
      </c>
      <c r="AG10" s="1895"/>
      <c r="AH10" s="1895"/>
      <c r="AI10" s="1895"/>
      <c r="AJ10" s="1895"/>
      <c r="AK10" s="1895"/>
      <c r="AL10" s="1895"/>
      <c r="AM10" s="1895"/>
      <c r="AN10" s="1895"/>
      <c r="AO10" s="1895"/>
      <c r="AP10" s="1896"/>
      <c r="AQ10" s="1897"/>
      <c r="AR10" s="1897"/>
      <c r="AS10" s="1897"/>
      <c r="AT10" s="1897"/>
      <c r="AU10" s="1897"/>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1910">
        <f>Application!AA933</f>
        <v>0</v>
      </c>
      <c r="O11" s="1910"/>
      <c r="P11" s="1910"/>
      <c r="Q11" s="1910"/>
      <c r="R11" s="1910"/>
      <c r="S11" s="1910"/>
      <c r="T11" s="1910"/>
      <c r="U11" s="1192"/>
      <c r="V11" s="1192"/>
      <c r="W11" s="1192"/>
      <c r="X11" s="1195"/>
      <c r="Y11" s="1195"/>
      <c r="Z11" s="1195"/>
      <c r="AA11" s="1195"/>
      <c r="AB11" s="1195"/>
      <c r="AC11" s="1195"/>
      <c r="AD11" s="1195"/>
      <c r="AE11" s="1195"/>
      <c r="AF11" s="1895" t="s">
        <v>2445</v>
      </c>
      <c r="AG11" s="1895"/>
      <c r="AH11" s="1895"/>
      <c r="AI11" s="1895"/>
      <c r="AJ11" s="1895"/>
      <c r="AK11" s="1895"/>
      <c r="AL11" s="1895"/>
      <c r="AM11" s="1895"/>
      <c r="AN11" s="1895"/>
      <c r="AO11" s="1895"/>
      <c r="AP11" s="1896"/>
      <c r="AQ11" s="1897"/>
      <c r="AR11" s="1897"/>
      <c r="AS11" s="1897"/>
      <c r="AT11" s="1897"/>
      <c r="AU11" s="1897"/>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1898" t="s">
        <v>2443</v>
      </c>
      <c r="C13" s="1899"/>
      <c r="D13" s="1899"/>
      <c r="E13" s="1899"/>
      <c r="F13" s="1899"/>
      <c r="G13" s="1899"/>
      <c r="H13" s="1899"/>
      <c r="I13" s="1899"/>
      <c r="J13" s="1899"/>
      <c r="K13" s="1899"/>
      <c r="L13" s="1899"/>
      <c r="M13" s="1899"/>
      <c r="N13" s="1899"/>
      <c r="O13" s="1899"/>
      <c r="P13" s="1900"/>
      <c r="Q13" s="1901" t="s">
        <v>669</v>
      </c>
      <c r="R13" s="1902"/>
      <c r="S13" s="1902"/>
      <c r="T13" s="1903"/>
      <c r="U13" s="1195"/>
      <c r="V13" s="1192"/>
      <c r="W13" s="1192"/>
      <c r="X13" s="1192"/>
      <c r="Y13" s="1192"/>
      <c r="Z13" s="1192"/>
      <c r="AA13" s="1904" t="s">
        <v>2442</v>
      </c>
      <c r="AB13" s="1904"/>
      <c r="AC13" s="1904"/>
      <c r="AD13" s="1904"/>
      <c r="AE13" s="1904"/>
      <c r="AF13" s="1904"/>
      <c r="AG13" s="1904"/>
      <c r="AH13" s="1904"/>
      <c r="AI13" s="1904"/>
      <c r="AJ13" s="1904"/>
      <c r="AK13" s="1904"/>
      <c r="AL13" s="1904"/>
      <c r="AM13" s="1904"/>
      <c r="AN13" s="1904"/>
      <c r="AO13" s="1905">
        <f>Application!W473</f>
        <v>48</v>
      </c>
      <c r="AP13" s="1906"/>
      <c r="AQ13" s="1906"/>
      <c r="AR13" s="1906"/>
      <c r="AS13" s="1906"/>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7" t="s">
        <v>2440</v>
      </c>
      <c r="AB14" s="1907"/>
      <c r="AC14" s="1907"/>
      <c r="AD14" s="1907"/>
      <c r="AE14" s="1907"/>
      <c r="AF14" s="1907"/>
      <c r="AG14" s="1907"/>
      <c r="AH14" s="1907"/>
      <c r="AI14" s="1907"/>
      <c r="AJ14" s="1907"/>
      <c r="AK14" s="1907"/>
      <c r="AL14" s="1907"/>
      <c r="AM14" s="1907"/>
      <c r="AN14" s="1907"/>
      <c r="AO14" s="1908"/>
      <c r="AP14" s="1909"/>
      <c r="AQ14" s="1909"/>
      <c r="AR14" s="1909"/>
      <c r="AS14" s="1909"/>
      <c r="AT14" s="1195"/>
      <c r="AU14" s="1195"/>
      <c r="AV14" s="1195"/>
      <c r="AW14" s="1195"/>
      <c r="AX14" s="1195"/>
      <c r="AY14" s="1195"/>
      <c r="AZ14" s="1195"/>
      <c r="BA14" s="1195"/>
      <c r="BB14" s="1195"/>
      <c r="BC14" s="1195"/>
      <c r="BD14" s="1195"/>
      <c r="BE14" s="1196"/>
    </row>
    <row r="15" spans="1:65" thickBot="1">
      <c r="A15" s="1192"/>
      <c r="B15" s="1911" t="s">
        <v>2439</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5"/>
      <c r="Y15" s="1192"/>
      <c r="Z15" s="1192"/>
      <c r="AA15" s="1904" t="s">
        <v>2438</v>
      </c>
      <c r="AB15" s="1904"/>
      <c r="AC15" s="1904"/>
      <c r="AD15" s="1904"/>
      <c r="AE15" s="1904"/>
      <c r="AF15" s="1904"/>
      <c r="AG15" s="1904"/>
      <c r="AH15" s="1904"/>
      <c r="AI15" s="1904"/>
      <c r="AJ15" s="1904"/>
      <c r="AK15" s="1904"/>
      <c r="AL15" s="1904"/>
      <c r="AM15" s="1904"/>
      <c r="AN15" s="1904"/>
      <c r="AO15" s="1908"/>
      <c r="AP15" s="1909"/>
      <c r="AQ15" s="1909"/>
      <c r="AR15" s="1909"/>
      <c r="AS15" s="1909"/>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6" t="s">
        <v>2437</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92"/>
      <c r="BA17" s="1192"/>
      <c r="BB17" s="1192"/>
      <c r="BC17" s="1192"/>
      <c r="BD17" s="1192"/>
      <c r="BE17" s="1196"/>
      <c r="BF17" s="1190"/>
    </row>
    <row r="18" spans="1:58" ht="15.75" customHeight="1">
      <c r="A18" s="1192"/>
      <c r="B18" s="1919" t="s">
        <v>2436</v>
      </c>
      <c r="C18" s="1920"/>
      <c r="D18" s="1920"/>
      <c r="E18" s="1920"/>
      <c r="F18" s="1920"/>
      <c r="G18" s="1920"/>
      <c r="H18" s="1920"/>
      <c r="I18" s="1921"/>
      <c r="J18" s="1922" t="s">
        <v>1586</v>
      </c>
      <c r="K18" s="1923"/>
      <c r="L18" s="1923"/>
      <c r="M18" s="1923"/>
      <c r="N18" s="1923"/>
      <c r="O18" s="1924"/>
      <c r="P18" s="1922" t="s">
        <v>323</v>
      </c>
      <c r="Q18" s="1923"/>
      <c r="R18" s="1923"/>
      <c r="S18" s="1923"/>
      <c r="T18" s="1923"/>
      <c r="U18" s="1924"/>
      <c r="V18" s="1922" t="s">
        <v>324</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2435</v>
      </c>
      <c r="AU18" s="1923"/>
      <c r="AV18" s="1923"/>
      <c r="AW18" s="1923"/>
      <c r="AX18" s="1923"/>
      <c r="AY18" s="1925"/>
      <c r="AZ18" s="1192"/>
      <c r="BA18" s="1192"/>
      <c r="BB18" s="1192"/>
      <c r="BC18" s="1192"/>
      <c r="BD18" s="1192"/>
      <c r="BE18" s="1196"/>
    </row>
    <row r="19" spans="1:58" ht="15">
      <c r="A19" s="1192"/>
      <c r="B19" s="1926">
        <v>0.3</v>
      </c>
      <c r="C19" s="1927"/>
      <c r="D19" s="1927"/>
      <c r="E19" s="1927"/>
      <c r="F19" s="1927"/>
      <c r="G19" s="1927"/>
      <c r="H19" s="1927"/>
      <c r="I19" s="1928"/>
      <c r="J19" s="1929">
        <f t="shared" ref="J19:J24" si="0">SUM(P19:AS19)</f>
        <v>39</v>
      </c>
      <c r="K19" s="1930"/>
      <c r="L19" s="1930"/>
      <c r="M19" s="1930"/>
      <c r="N19" s="1930"/>
      <c r="O19" s="1931"/>
      <c r="P19" s="1929" cm="1">
        <f t="array" ref="P19">SUMPRODUCT((Application!$B$718:$B$752 = 'CalHFA Addendum'!P$18)*(Application!$AC$718:$AC$752 = 'CalHFA Addendum'!$B19),Application!$G$718:$G$752)</f>
        <v>39</v>
      </c>
      <c r="Q19" s="1930"/>
      <c r="R19" s="1930"/>
      <c r="S19" s="1930"/>
      <c r="T19" s="1930"/>
      <c r="U19" s="1931"/>
      <c r="V19" s="1929" cm="1">
        <f t="array" ref="V19">SUMPRODUCT((Application!$B$714:$B$738 = 'CalHFA Addendum'!V$18)*(Application!$AC$714:$AC$738 = 'CalHFA Addendum'!$B19),Application!$G$714:$G$738)</f>
        <v>0</v>
      </c>
      <c r="W19" s="1930"/>
      <c r="X19" s="1930"/>
      <c r="Y19" s="1930"/>
      <c r="Z19" s="1930"/>
      <c r="AA19" s="1931"/>
      <c r="AB19" s="1929" cm="1">
        <f t="array" ref="AB19">SUMPRODUCT((Application!$B$714:$B$738 = 'CalHFA Addendum'!AB$18)*(Application!$AC$714:$AC$738 = 'CalHFA Addendum'!$B19),Application!$G$714:$G$738)</f>
        <v>0</v>
      </c>
      <c r="AC19" s="1930"/>
      <c r="AD19" s="1930"/>
      <c r="AE19" s="1930"/>
      <c r="AF19" s="1930"/>
      <c r="AG19" s="1931"/>
      <c r="AH19" s="1929" cm="1">
        <f t="array" ref="AH19">SUMPRODUCT((Application!$B$714:$B$738 = 'CalHFA Addendum'!AH$18)*(Application!$AC$714:$AC$738 = 'CalHFA Addendum'!$B19),Application!$G$714:$G$738)</f>
        <v>0</v>
      </c>
      <c r="AI19" s="1930"/>
      <c r="AJ19" s="1930"/>
      <c r="AK19" s="1930"/>
      <c r="AL19" s="1930"/>
      <c r="AM19" s="1931"/>
      <c r="AN19" s="1929" cm="1">
        <f t="array" ref="AN19">SUMPRODUCT((Application!$B$714:$B$738 = 'CalHFA Addendum'!AN$18)*(Application!$AC$714:$AC$738 = 'CalHFA Addendum'!$B19),Application!$G$714:$G$738)</f>
        <v>0</v>
      </c>
      <c r="AO19" s="1930"/>
      <c r="AP19" s="1930"/>
      <c r="AQ19" s="1930"/>
      <c r="AR19" s="1930"/>
      <c r="AS19" s="1931"/>
      <c r="AT19" s="1932">
        <f t="shared" ref="AT19:AT29" si="1">J19/$J$29</f>
        <v>0.40206185567010311</v>
      </c>
      <c r="AU19" s="1933"/>
      <c r="AV19" s="1933"/>
      <c r="AW19" s="1933"/>
      <c r="AX19" s="1933"/>
      <c r="AY19" s="1934"/>
      <c r="AZ19" s="1197"/>
      <c r="BA19" s="1192"/>
      <c r="BB19" s="1192"/>
      <c r="BC19" s="1192"/>
      <c r="BD19" s="1192"/>
      <c r="BE19" s="1196"/>
    </row>
    <row r="20" spans="1:58" ht="15" customHeight="1">
      <c r="A20" s="1192"/>
      <c r="B20" s="1926">
        <v>0.4</v>
      </c>
      <c r="C20" s="1927"/>
      <c r="D20" s="1927"/>
      <c r="E20" s="1927"/>
      <c r="F20" s="1927"/>
      <c r="G20" s="1927"/>
      <c r="H20" s="1927"/>
      <c r="I20" s="1928"/>
      <c r="J20" s="1929">
        <f t="shared" si="0"/>
        <v>0</v>
      </c>
      <c r="K20" s="1930"/>
      <c r="L20" s="1930"/>
      <c r="M20" s="1930"/>
      <c r="N20" s="1930"/>
      <c r="O20" s="1931"/>
      <c r="P20" s="1929" cm="1">
        <f t="array" ref="P20">SUMPRODUCT((Application!$B$718:$B$752 = 'CalHFA Addendum'!P$18)*(Application!$AC$718:$AC$752 = 'CalHFA Addendum'!$B20),Application!$G$718:$G$752)</f>
        <v>0</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0</v>
      </c>
      <c r="AU20" s="1933"/>
      <c r="AV20" s="1933"/>
      <c r="AW20" s="1933"/>
      <c r="AX20" s="1933"/>
      <c r="AY20" s="1934"/>
      <c r="AZ20" s="1192"/>
      <c r="BA20" s="1192"/>
      <c r="BB20" s="1192"/>
      <c r="BC20" s="1192"/>
      <c r="BD20" s="1192"/>
      <c r="BE20" s="1196"/>
    </row>
    <row r="21" spans="1:58" ht="15">
      <c r="A21" s="1192"/>
      <c r="B21" s="1926">
        <v>0.5</v>
      </c>
      <c r="C21" s="1927"/>
      <c r="D21" s="1927"/>
      <c r="E21" s="1927"/>
      <c r="F21" s="1927"/>
      <c r="G21" s="1927"/>
      <c r="H21" s="1927"/>
      <c r="I21" s="1928"/>
      <c r="J21" s="1929">
        <f t="shared" si="0"/>
        <v>57</v>
      </c>
      <c r="K21" s="1930"/>
      <c r="L21" s="1930"/>
      <c r="M21" s="1930"/>
      <c r="N21" s="1930"/>
      <c r="O21" s="1931"/>
      <c r="P21" s="1929" cm="1">
        <f t="array" ref="P21">SUMPRODUCT((Application!$B$714:$B$738 = 'CalHFA Addendum'!P$18)*(Application!$AC$714:$AC$738 = 'CalHFA Addendum'!$B21),Application!$G$714:$G$738)</f>
        <v>57</v>
      </c>
      <c r="Q21" s="1930"/>
      <c r="R21" s="1930"/>
      <c r="S21" s="1930"/>
      <c r="T21" s="1930"/>
      <c r="U21" s="1931"/>
      <c r="V21" s="1929" cm="1">
        <f t="array" ref="V21">SUMPRODUCT((Application!$B$714:$B$738 = 'CalHFA Addendum'!V$18)*(Application!$AC$714:$AC$738 = 'CalHFA Addendum'!$B21),Application!$G$714:$G$738)</f>
        <v>0</v>
      </c>
      <c r="W21" s="1930"/>
      <c r="X21" s="1930"/>
      <c r="Y21" s="1930"/>
      <c r="Z21" s="1930"/>
      <c r="AA21" s="1931"/>
      <c r="AB21" s="1929" cm="1">
        <f t="array" ref="AB21">SUMPRODUCT((Application!$B$714:$B$738 = 'CalHFA Addendum'!AB$18)*(Application!$AC$714:$AC$738 = 'CalHFA Addendum'!$B21),Application!$G$714:$G$738)</f>
        <v>0</v>
      </c>
      <c r="AC21" s="1930"/>
      <c r="AD21" s="1930"/>
      <c r="AE21" s="1930"/>
      <c r="AF21" s="1930"/>
      <c r="AG21" s="1931"/>
      <c r="AH21" s="1929" cm="1">
        <f t="array" ref="AH21">SUMPRODUCT((Application!$B$714:$B$738 = 'CalHFA Addendum'!AH$18)*(Application!$AC$714:$AC$738 = 'CalHFA Addendum'!$B21),Application!$G$714:$G$738)</f>
        <v>0</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0.58762886597938147</v>
      </c>
      <c r="AU21" s="1933"/>
      <c r="AV21" s="1933"/>
      <c r="AW21" s="1933"/>
      <c r="AX21" s="1933"/>
      <c r="AY21" s="1934"/>
      <c r="AZ21" s="1192"/>
      <c r="BA21" s="1192"/>
      <c r="BB21" s="1192"/>
      <c r="BC21" s="1192"/>
      <c r="BD21" s="1192"/>
      <c r="BE21" s="1196"/>
    </row>
    <row r="22" spans="1:58" ht="15">
      <c r="A22" s="1192"/>
      <c r="B22" s="1926">
        <v>0.6</v>
      </c>
      <c r="C22" s="1927"/>
      <c r="D22" s="1927"/>
      <c r="E22" s="1927"/>
      <c r="F22" s="1927"/>
      <c r="G22" s="1927"/>
      <c r="H22" s="1927"/>
      <c r="I22" s="1928"/>
      <c r="J22" s="1929">
        <f t="shared" si="0"/>
        <v>0</v>
      </c>
      <c r="K22" s="1930"/>
      <c r="L22" s="1930"/>
      <c r="M22" s="1930"/>
      <c r="N22" s="1930"/>
      <c r="O22" s="1931"/>
      <c r="P22" s="1929" cm="1">
        <f t="array" ref="P22">SUMPRODUCT((Application!$B$714:$B$738 = 'CalHFA Addendum'!P$18)*(Application!$AC$714:$AC$738 = 'CalHFA Addendum'!$B22),Application!$G$714:$G$738)</f>
        <v>0</v>
      </c>
      <c r="Q22" s="1930"/>
      <c r="R22" s="1930"/>
      <c r="S22" s="1930"/>
      <c r="T22" s="1930"/>
      <c r="U22" s="1931"/>
      <c r="V22" s="1929" cm="1">
        <f t="array" ref="V22">SUMPRODUCT((Application!$B$714:$B$738 = 'CalHFA Addendum'!V$18)*(Application!$AC$714:$AC$738 = 'CalHFA Addendum'!$B22),Application!$G$714:$G$738)</f>
        <v>0</v>
      </c>
      <c r="W22" s="1930"/>
      <c r="X22" s="1930"/>
      <c r="Y22" s="1930"/>
      <c r="Z22" s="1930"/>
      <c r="AA22" s="1931"/>
      <c r="AB22" s="1929" cm="1">
        <f t="array" ref="AB22">SUMPRODUCT((Application!$B$714:$B$738 = 'CalHFA Addendum'!AB$18)*(Application!$AC$714:$AC$738 = 'CalHFA Addendum'!$B22),Application!$G$714:$G$738)</f>
        <v>0</v>
      </c>
      <c r="AC22" s="1930"/>
      <c r="AD22" s="1930"/>
      <c r="AE22" s="1930"/>
      <c r="AF22" s="1930"/>
      <c r="AG22" s="1931"/>
      <c r="AH22" s="1929" cm="1">
        <f t="array" ref="AH22">SUMPRODUCT((Application!$B$714:$B$738 = 'CalHFA Addendum'!AH$18)*(Application!$AC$714:$AC$738 = 'CalHFA Addendum'!$B22),Application!$G$714:$G$738)</f>
        <v>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v>
      </c>
      <c r="AU22" s="1933"/>
      <c r="AV22" s="1933"/>
      <c r="AW22" s="1933"/>
      <c r="AX22" s="1933"/>
      <c r="AY22" s="1934"/>
      <c r="AZ22" s="1192"/>
      <c r="BA22" s="1192"/>
      <c r="BB22" s="1192"/>
      <c r="BC22" s="1192"/>
      <c r="BD22" s="1192"/>
      <c r="BE22" s="1196"/>
    </row>
    <row r="23" spans="1:58" ht="15">
      <c r="A23" s="1192"/>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92"/>
      <c r="BA23" s="1192"/>
      <c r="BB23" s="1192"/>
      <c r="BC23" s="1192"/>
      <c r="BD23" s="1192"/>
      <c r="BE23" s="1196"/>
    </row>
    <row r="24" spans="1:58" ht="15">
      <c r="A24" s="1192"/>
      <c r="B24" s="1926">
        <v>0.8</v>
      </c>
      <c r="C24" s="1927"/>
      <c r="D24" s="1927"/>
      <c r="E24" s="1927"/>
      <c r="F24" s="1927"/>
      <c r="G24" s="1927"/>
      <c r="H24" s="1927"/>
      <c r="I24" s="1928"/>
      <c r="J24" s="1929">
        <f t="shared" si="0"/>
        <v>0</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0</v>
      </c>
      <c r="W24" s="1930"/>
      <c r="X24" s="1930"/>
      <c r="Y24" s="1930"/>
      <c r="Z24" s="1930"/>
      <c r="AA24" s="1931"/>
      <c r="AB24" s="1929" cm="1">
        <f t="array" ref="AB24">SUMPRODUCT((Application!$B$714:$B$738 = 'CalHFA Addendum'!AB$18)*(Application!$AC$714:$AC$738 = 'CalHFA Addendum'!$B24),Application!$G$714:$G$738)</f>
        <v>0</v>
      </c>
      <c r="AC24" s="1930"/>
      <c r="AD24" s="1930"/>
      <c r="AE24" s="1930"/>
      <c r="AF24" s="1930"/>
      <c r="AG24" s="1931"/>
      <c r="AH24" s="1929" cm="1">
        <f t="array" ref="AH24">SUMPRODUCT((Application!$B$714:$B$738 = 'CalHFA Addendum'!AH$18)*(Application!$AC$714:$AC$738 = 'CalHFA Addendum'!$B24),Application!$G$714:$G$738)</f>
        <v>0</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v>
      </c>
      <c r="AU24" s="1933"/>
      <c r="AV24" s="1933"/>
      <c r="AW24" s="1933"/>
      <c r="AX24" s="1933"/>
      <c r="AY24" s="1934"/>
      <c r="AZ24" s="1192"/>
      <c r="BA24" s="1192"/>
      <c r="BB24" s="1192"/>
      <c r="BC24" s="1192"/>
      <c r="BD24" s="1192"/>
      <c r="BE24" s="1196"/>
    </row>
    <row r="25" spans="1:58" ht="15">
      <c r="A25" s="1192"/>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92"/>
      <c r="BA25" s="1192"/>
      <c r="BB25" s="1192"/>
      <c r="BC25" s="1192"/>
      <c r="BD25" s="1192"/>
      <c r="BE25" s="1196"/>
    </row>
    <row r="26" spans="1:58" ht="15">
      <c r="A26" s="1192"/>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92"/>
      <c r="BA26" s="1192"/>
      <c r="BB26" s="1192"/>
      <c r="BC26" s="1192"/>
      <c r="BD26" s="1192"/>
      <c r="BE26" s="1196"/>
    </row>
    <row r="27" spans="1:58" ht="15">
      <c r="A27" s="1192"/>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92"/>
      <c r="BA27" s="1192"/>
      <c r="BB27" s="1192"/>
      <c r="BC27" s="1192"/>
      <c r="BD27" s="1192"/>
      <c r="BE27" s="1196"/>
    </row>
    <row r="28" spans="1:58" thickBot="1">
      <c r="A28" s="1192"/>
      <c r="B28" s="1938" t="s">
        <v>2434</v>
      </c>
      <c r="C28" s="1939"/>
      <c r="D28" s="1939"/>
      <c r="E28" s="1939"/>
      <c r="F28" s="1939"/>
      <c r="G28" s="1939"/>
      <c r="H28" s="1939"/>
      <c r="I28" s="1940"/>
      <c r="J28" s="1941">
        <f>SUM(P28:AS28)</f>
        <v>1</v>
      </c>
      <c r="K28" s="1942"/>
      <c r="L28" s="1942"/>
      <c r="M28" s="1942"/>
      <c r="N28" s="1942"/>
      <c r="O28" s="1943"/>
      <c r="P28" s="1941">
        <f>_xlfn.IFNA(VLOOKUP(P$18,Application!$J$773:$S$776,6,FALSE), 0)</f>
        <v>0</v>
      </c>
      <c r="Q28" s="1942"/>
      <c r="R28" s="1942"/>
      <c r="S28" s="1942"/>
      <c r="T28" s="1942"/>
      <c r="U28" s="1943"/>
      <c r="V28" s="1941">
        <f>_xlfn.IFNA(VLOOKUP(V$18,Application!$J$773:$S$776,6,FALSE), 0)</f>
        <v>0</v>
      </c>
      <c r="W28" s="1942"/>
      <c r="X28" s="1942"/>
      <c r="Y28" s="1942"/>
      <c r="Z28" s="1942"/>
      <c r="AA28" s="1943"/>
      <c r="AB28" s="1941">
        <f>_xlfn.IFNA(VLOOKUP(AB$18,Application!$J$773:$S$776,6,FALSE), 0)</f>
        <v>1</v>
      </c>
      <c r="AC28" s="1942"/>
      <c r="AD28" s="1942"/>
      <c r="AE28" s="1942"/>
      <c r="AF28" s="1942"/>
      <c r="AG28" s="1943"/>
      <c r="AH28" s="1941">
        <f>_xlfn.IFNA(VLOOKUP(AH$18,Application!$J$773:$S$776,6,FALSE), 0)</f>
        <v>0</v>
      </c>
      <c r="AI28" s="1942"/>
      <c r="AJ28" s="1942"/>
      <c r="AK28" s="1942"/>
      <c r="AL28" s="1942"/>
      <c r="AM28" s="1943"/>
      <c r="AN28" s="1941">
        <f>_xlfn.IFNA(VLOOKUP(AN$18,Application!$J$773:$S$776,6,FALSE), 0)</f>
        <v>0</v>
      </c>
      <c r="AO28" s="1942"/>
      <c r="AP28" s="1942"/>
      <c r="AQ28" s="1942"/>
      <c r="AR28" s="1942"/>
      <c r="AS28" s="1943"/>
      <c r="AT28" s="1944">
        <f t="shared" si="1"/>
        <v>1.0309278350515464E-2</v>
      </c>
      <c r="AU28" s="1945"/>
      <c r="AV28" s="1945"/>
      <c r="AW28" s="1945"/>
      <c r="AX28" s="1945"/>
      <c r="AY28" s="1946"/>
      <c r="AZ28" s="1192"/>
      <c r="BA28" s="1192"/>
      <c r="BB28" s="1192"/>
      <c r="BC28" s="1192"/>
      <c r="BD28" s="1192"/>
      <c r="BE28" s="1196"/>
    </row>
    <row r="29" spans="1:58" thickBot="1">
      <c r="A29" s="1192"/>
      <c r="B29" s="1975" t="s">
        <v>1586</v>
      </c>
      <c r="C29" s="1948"/>
      <c r="D29" s="1948"/>
      <c r="E29" s="1948"/>
      <c r="F29" s="1948"/>
      <c r="G29" s="1948"/>
      <c r="H29" s="1948"/>
      <c r="I29" s="1949"/>
      <c r="J29" s="1947">
        <f>SUM(J19:O28)</f>
        <v>97</v>
      </c>
      <c r="K29" s="1948"/>
      <c r="L29" s="1948"/>
      <c r="M29" s="1948"/>
      <c r="N29" s="1948"/>
      <c r="O29" s="1949"/>
      <c r="P29" s="1947">
        <f>SUM(P19:U28)</f>
        <v>96</v>
      </c>
      <c r="Q29" s="1948"/>
      <c r="R29" s="1948"/>
      <c r="S29" s="1948"/>
      <c r="T29" s="1948"/>
      <c r="U29" s="1949"/>
      <c r="V29" s="1947">
        <f>SUM(V19:AA28)</f>
        <v>0</v>
      </c>
      <c r="W29" s="1948"/>
      <c r="X29" s="1948"/>
      <c r="Y29" s="1948"/>
      <c r="Z29" s="1948"/>
      <c r="AA29" s="1949"/>
      <c r="AB29" s="1947">
        <f>SUM(AB19:AG28)</f>
        <v>1</v>
      </c>
      <c r="AC29" s="1948"/>
      <c r="AD29" s="1948"/>
      <c r="AE29" s="1948"/>
      <c r="AF29" s="1948"/>
      <c r="AG29" s="1949"/>
      <c r="AH29" s="1947">
        <f>SUM(AH19:AM28)</f>
        <v>0</v>
      </c>
      <c r="AI29" s="1948"/>
      <c r="AJ29" s="1948"/>
      <c r="AK29" s="1948"/>
      <c r="AL29" s="1948"/>
      <c r="AM29" s="1949"/>
      <c r="AN29" s="1947">
        <f>SUM(AN19:AS28)</f>
        <v>0</v>
      </c>
      <c r="AO29" s="1948"/>
      <c r="AP29" s="1948"/>
      <c r="AQ29" s="1948"/>
      <c r="AR29" s="1948"/>
      <c r="AS29" s="1949"/>
      <c r="AT29" s="1950">
        <f t="shared" si="1"/>
        <v>1</v>
      </c>
      <c r="AU29" s="1951"/>
      <c r="AV29" s="1951"/>
      <c r="AW29" s="1951"/>
      <c r="AX29" s="1951"/>
      <c r="AY29" s="1952"/>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53" t="s">
        <v>2433</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6"/>
    </row>
    <row r="32" spans="1:58" thickBot="1">
      <c r="A32" s="1192"/>
      <c r="B32" s="1956" t="s">
        <v>2432</v>
      </c>
      <c r="C32" s="1957"/>
      <c r="D32" s="1957"/>
      <c r="E32" s="1957"/>
      <c r="F32" s="1957"/>
      <c r="G32" s="1957"/>
      <c r="H32" s="1957"/>
      <c r="I32" s="1957"/>
      <c r="J32" s="1960" t="s">
        <v>2431</v>
      </c>
      <c r="K32" s="1961"/>
      <c r="L32" s="1961"/>
      <c r="M32" s="1961"/>
      <c r="N32" s="1960" t="s">
        <v>2430</v>
      </c>
      <c r="O32" s="1961"/>
      <c r="P32" s="1961"/>
      <c r="Q32" s="1963"/>
      <c r="R32" s="1965" t="s">
        <v>2429</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6"/>
    </row>
    <row r="33" spans="1:58" ht="15" customHeight="1">
      <c r="A33" s="1192"/>
      <c r="B33" s="1958"/>
      <c r="C33" s="1959"/>
      <c r="D33" s="1959"/>
      <c r="E33" s="1959"/>
      <c r="F33" s="1959"/>
      <c r="G33" s="1959"/>
      <c r="H33" s="1959"/>
      <c r="I33" s="1959"/>
      <c r="J33" s="1962"/>
      <c r="K33" s="1962"/>
      <c r="L33" s="1962"/>
      <c r="M33" s="1962"/>
      <c r="N33" s="1962"/>
      <c r="O33" s="1962"/>
      <c r="P33" s="1962"/>
      <c r="Q33" s="1964"/>
      <c r="R33" s="1968" t="s">
        <v>2428</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6"/>
    </row>
    <row r="34" spans="1:58" ht="15.75" customHeight="1" thickBot="1">
      <c r="A34" s="1192"/>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6"/>
    </row>
    <row r="35" spans="1:58" ht="15.75" customHeight="1">
      <c r="A35" s="1192"/>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2427</v>
      </c>
      <c r="AT35" s="1977"/>
      <c r="AU35" s="1977"/>
      <c r="AV35" s="1977"/>
      <c r="AW35" s="1977"/>
      <c r="AX35" s="1985"/>
      <c r="AY35" s="1976" t="s">
        <v>2426</v>
      </c>
      <c r="AZ35" s="1977"/>
      <c r="BA35" s="1977"/>
      <c r="BB35" s="1977"/>
      <c r="BC35" s="1977"/>
      <c r="BD35" s="1978"/>
      <c r="BE35" s="1196"/>
    </row>
    <row r="36" spans="1:58" ht="15.75" customHeight="1">
      <c r="A36" s="1192"/>
      <c r="B36" s="1995" t="s">
        <v>2425</v>
      </c>
      <c r="C36" s="1996"/>
      <c r="D36" s="1996"/>
      <c r="E36" s="1996"/>
      <c r="F36" s="1996"/>
      <c r="G36" s="1996"/>
      <c r="H36" s="1996"/>
      <c r="I36" s="1996"/>
      <c r="J36" s="1997" t="s">
        <v>2424</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6"/>
    </row>
    <row r="37" spans="1:58" ht="15.75" customHeight="1">
      <c r="A37" s="1192"/>
      <c r="B37" s="1995" t="s">
        <v>2423</v>
      </c>
      <c r="C37" s="1996"/>
      <c r="D37" s="1996"/>
      <c r="E37" s="1996"/>
      <c r="F37" s="1996"/>
      <c r="G37" s="1996"/>
      <c r="H37" s="1996"/>
      <c r="I37" s="1996"/>
      <c r="J37" s="1997" t="s">
        <v>2422</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6"/>
    </row>
    <row r="38" spans="1:58" ht="15.75" customHeight="1">
      <c r="A38" s="1192"/>
      <c r="B38" s="1995" t="s">
        <v>2421</v>
      </c>
      <c r="C38" s="1996"/>
      <c r="D38" s="1996"/>
      <c r="E38" s="1996"/>
      <c r="F38" s="1996"/>
      <c r="G38" s="1996"/>
      <c r="H38" s="1996"/>
      <c r="I38" s="1996"/>
      <c r="J38" s="1997" t="s">
        <v>2420</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6"/>
    </row>
    <row r="39" spans="1:58" ht="15.75" customHeight="1">
      <c r="A39" s="1192"/>
      <c r="B39" s="1995" t="s">
        <v>2419</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6"/>
    </row>
    <row r="40" spans="1:58" ht="15.75" customHeight="1">
      <c r="A40" s="1192"/>
      <c r="B40" s="1995" t="s">
        <v>2419</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6"/>
    </row>
    <row r="41" spans="1:58" ht="15.75" customHeight="1">
      <c r="A41" s="1192"/>
      <c r="B41" s="1995" t="s">
        <v>2418</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6"/>
    </row>
    <row r="42" spans="1:58" ht="15.75" customHeight="1">
      <c r="A42" s="1192"/>
      <c r="B42" s="1995" t="s">
        <v>2418</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6"/>
    </row>
    <row r="43" spans="1:58" ht="15.75" customHeight="1">
      <c r="A43" s="1192"/>
      <c r="B43" s="1999" t="s">
        <v>2417</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6"/>
    </row>
    <row r="44" spans="1:58" ht="15.75" customHeight="1">
      <c r="A44" s="1192"/>
      <c r="B44" s="1999" t="s">
        <v>2416</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6"/>
    </row>
    <row r="45" spans="1:58" ht="15.75" customHeight="1">
      <c r="A45" s="1192"/>
      <c r="B45" s="1999" t="s">
        <v>2415</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6"/>
    </row>
    <row r="46" spans="1:58" ht="15.75" customHeight="1">
      <c r="A46" s="1192"/>
      <c r="B46" s="1999" t="s">
        <v>2339</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6"/>
    </row>
    <row r="47" spans="1:58" ht="15.75" customHeight="1" thickBot="1">
      <c r="A47" s="1192"/>
      <c r="B47" s="2001" t="s">
        <v>299</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1" t="s">
        <v>2412</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4" t="s">
        <v>2405</v>
      </c>
      <c r="C51" s="2015"/>
      <c r="D51" s="2015"/>
      <c r="E51" s="2015"/>
      <c r="F51" s="2015"/>
      <c r="G51" s="2015"/>
      <c r="H51" s="2015"/>
      <c r="I51" s="2015"/>
      <c r="J51" s="2015" t="s">
        <v>2411</v>
      </c>
      <c r="K51" s="2015"/>
      <c r="L51" s="2015"/>
      <c r="M51" s="2015"/>
      <c r="N51" s="2015"/>
      <c r="O51" s="2015"/>
      <c r="P51" s="2015"/>
      <c r="Q51" s="2015"/>
      <c r="R51" s="2016" t="s">
        <v>2410</v>
      </c>
      <c r="S51" s="2016"/>
      <c r="T51" s="2016"/>
      <c r="U51" s="2016"/>
      <c r="V51" s="2016"/>
      <c r="W51" s="2016"/>
      <c r="X51" s="2016"/>
      <c r="Y51" s="2016"/>
      <c r="Z51" s="2016" t="s">
        <v>2409</v>
      </c>
      <c r="AA51" s="2016"/>
      <c r="AB51" s="2016"/>
      <c r="AC51" s="2016"/>
      <c r="AD51" s="2016"/>
      <c r="AE51" s="2016"/>
      <c r="AF51" s="2016"/>
      <c r="AG51" s="2016"/>
      <c r="AH51" s="2016" t="s">
        <v>2408</v>
      </c>
      <c r="AI51" s="2016"/>
      <c r="AJ51" s="2016"/>
      <c r="AK51" s="2016"/>
      <c r="AL51" s="2016"/>
      <c r="AM51" s="2016"/>
      <c r="AN51" s="2016"/>
      <c r="AO51" s="2017"/>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9" t="s">
        <v>2407</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9" t="s">
        <v>2406</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2" t="s">
        <v>1586</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3" t="s">
        <v>2405</v>
      </c>
      <c r="C59" s="2024"/>
      <c r="D59" s="2024"/>
      <c r="E59" s="2024"/>
      <c r="F59" s="2024"/>
      <c r="G59" s="2024"/>
      <c r="H59" s="2024"/>
      <c r="I59" s="2025"/>
      <c r="J59" s="1917" t="s">
        <v>2404</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92"/>
      <c r="AY59" s="1192"/>
      <c r="AZ59" s="1192"/>
      <c r="BA59" s="1192"/>
      <c r="BB59" s="1192"/>
      <c r="BC59" s="1192"/>
      <c r="BD59" s="1192"/>
      <c r="BE59" s="1196"/>
    </row>
    <row r="60" spans="1:58" ht="15.75" customHeight="1">
      <c r="A60" s="1192"/>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92"/>
      <c r="AY60" s="1192"/>
      <c r="AZ60" s="1192"/>
      <c r="BA60" s="1192"/>
      <c r="BB60" s="1192"/>
      <c r="BC60" s="1192"/>
      <c r="BD60" s="1192"/>
      <c r="BE60" s="1196"/>
    </row>
    <row r="61" spans="1:58" ht="15.75" customHeight="1">
      <c r="A61" s="1192"/>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92"/>
      <c r="AY61" s="1192"/>
      <c r="AZ61" s="1192"/>
      <c r="BA61" s="1192"/>
      <c r="BB61" s="1192"/>
      <c r="BC61" s="1192"/>
      <c r="BD61" s="1192"/>
      <c r="BE61" s="1196"/>
    </row>
    <row r="62" spans="1:58" ht="15.75" customHeight="1">
      <c r="A62" s="1192"/>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92"/>
      <c r="AY62" s="1192"/>
      <c r="AZ62" s="1192"/>
      <c r="BA62" s="1192"/>
      <c r="BB62" s="1192"/>
      <c r="BC62" s="1192"/>
      <c r="BD62" s="1192"/>
      <c r="BE62" s="1196"/>
    </row>
    <row r="63" spans="1:58" ht="15.75" customHeight="1">
      <c r="A63" s="1192"/>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92"/>
      <c r="AY63" s="1192"/>
      <c r="AZ63" s="1192"/>
      <c r="BA63" s="1192"/>
      <c r="BB63" s="1192"/>
      <c r="BC63" s="1192"/>
      <c r="BD63" s="1192"/>
      <c r="BE63" s="1196"/>
    </row>
    <row r="64" spans="1:58" ht="15.75" customHeight="1" thickBot="1">
      <c r="A64" s="1192"/>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6" t="s">
        <v>2402</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92"/>
      <c r="AC68" s="2060" t="s">
        <v>2401</v>
      </c>
      <c r="AD68" s="2061"/>
      <c r="AE68" s="2061"/>
      <c r="AF68" s="2061"/>
      <c r="AG68" s="2061"/>
      <c r="AH68" s="2061"/>
      <c r="AI68" s="2061"/>
      <c r="AJ68" s="2061"/>
      <c r="AK68" s="2061"/>
      <c r="AL68" s="2061"/>
      <c r="AM68" s="2061"/>
      <c r="AN68" s="2061"/>
      <c r="AO68" s="2061"/>
      <c r="AP68" s="2061"/>
      <c r="AQ68" s="2061"/>
      <c r="AR68" s="2061"/>
      <c r="AS68" s="2061"/>
      <c r="AT68" s="2061"/>
      <c r="AU68" s="2061"/>
      <c r="AV68" s="2038" t="s">
        <v>669</v>
      </c>
      <c r="AW68" s="2039"/>
      <c r="AX68" s="2039"/>
      <c r="AY68" s="2039"/>
      <c r="AZ68" s="2039"/>
      <c r="BA68" s="2039"/>
      <c r="BB68" s="2039"/>
      <c r="BC68" s="2040"/>
      <c r="BD68" s="1192"/>
      <c r="BE68" s="1196"/>
      <c r="BM68" s="1201" t="s">
        <v>2400</v>
      </c>
    </row>
    <row r="69" spans="1:94" ht="15.75" customHeight="1" thickTop="1" thickBot="1">
      <c r="A69" s="1192"/>
      <c r="B69" s="2041" t="s">
        <v>2399</v>
      </c>
      <c r="C69" s="2042"/>
      <c r="D69" s="2042"/>
      <c r="E69" s="2042"/>
      <c r="F69" s="2042"/>
      <c r="G69" s="2042"/>
      <c r="H69" s="2042"/>
      <c r="I69" s="2042"/>
      <c r="J69" s="2042"/>
      <c r="K69" s="2042"/>
      <c r="L69" s="2042"/>
      <c r="M69" s="2042"/>
      <c r="N69" s="2042"/>
      <c r="O69" s="2043" t="s">
        <v>2398</v>
      </c>
      <c r="P69" s="2044"/>
      <c r="Q69" s="2044"/>
      <c r="R69" s="2044"/>
      <c r="S69" s="2044"/>
      <c r="T69" s="2044"/>
      <c r="U69" s="2044"/>
      <c r="V69" s="2044"/>
      <c r="W69" s="2044"/>
      <c r="X69" s="2044"/>
      <c r="Y69" s="2044"/>
      <c r="Z69" s="2044"/>
      <c r="AA69" s="2045"/>
      <c r="AB69" s="1192"/>
      <c r="AC69" s="2046" t="s">
        <v>2397</v>
      </c>
      <c r="AD69" s="2047"/>
      <c r="AE69" s="2047"/>
      <c r="AF69" s="2047"/>
      <c r="AG69" s="2047"/>
      <c r="AH69" s="2047"/>
      <c r="AI69" s="2047"/>
      <c r="AJ69" s="2047"/>
      <c r="AK69" s="2047"/>
      <c r="AL69" s="2047"/>
      <c r="AM69" s="2047"/>
      <c r="AN69" s="2047"/>
      <c r="AO69" s="2047"/>
      <c r="AP69" s="2047"/>
      <c r="AQ69" s="2047"/>
      <c r="AR69" s="2047"/>
      <c r="AS69" s="2047"/>
      <c r="AT69" s="2047"/>
      <c r="AU69" s="2047"/>
      <c r="AV69" s="2038" t="s">
        <v>669</v>
      </c>
      <c r="AW69" s="2039"/>
      <c r="AX69" s="2039"/>
      <c r="AY69" s="2039"/>
      <c r="AZ69" s="2039"/>
      <c r="BA69" s="2039"/>
      <c r="BB69" s="2039"/>
      <c r="BC69" s="2040"/>
      <c r="BD69" s="1192"/>
      <c r="BE69" s="1196"/>
      <c r="BM69" s="1202" t="s">
        <v>545</v>
      </c>
    </row>
    <row r="70" spans="1:94" ht="15.75" customHeight="1">
      <c r="A70" s="1192"/>
      <c r="B70" s="1995" t="s">
        <v>2396</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92"/>
      <c r="AC70" s="2011" t="s">
        <v>2395</v>
      </c>
      <c r="AD70" s="2012"/>
      <c r="AE70" s="2012"/>
      <c r="AF70" s="2056"/>
      <c r="AG70" s="2056"/>
      <c r="AH70" s="2056"/>
      <c r="AI70" s="2056"/>
      <c r="AJ70" s="2056"/>
      <c r="AK70" s="2056"/>
      <c r="AL70" s="2056"/>
      <c r="AM70" s="2056"/>
      <c r="AN70" s="2056"/>
      <c r="AO70" s="2056"/>
      <c r="AP70" s="2056"/>
      <c r="AQ70" s="2056"/>
      <c r="AR70" s="2056"/>
      <c r="AS70" s="2056"/>
      <c r="AT70" s="2056"/>
      <c r="AU70" s="2057"/>
      <c r="AV70" s="1192"/>
      <c r="AW70" s="1192"/>
      <c r="AX70" s="1192"/>
      <c r="AY70" s="1192"/>
      <c r="AZ70" s="1192"/>
      <c r="BA70" s="1192"/>
      <c r="BB70" s="1192"/>
      <c r="BC70" s="1192"/>
      <c r="BD70" s="1192"/>
      <c r="BE70" s="1196"/>
      <c r="BM70" s="1203" t="s">
        <v>669</v>
      </c>
    </row>
    <row r="71" spans="1:94" ht="15.75" customHeight="1" thickBot="1">
      <c r="A71" s="1192"/>
      <c r="B71" s="1995" t="s">
        <v>2394</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92"/>
      <c r="AC71" s="2058" t="s">
        <v>2393</v>
      </c>
      <c r="AD71" s="2059"/>
      <c r="AE71" s="2059"/>
      <c r="AF71" s="2052"/>
      <c r="AG71" s="2052"/>
      <c r="AH71" s="2052"/>
      <c r="AI71" s="2052"/>
      <c r="AJ71" s="2052"/>
      <c r="AK71" s="2052"/>
      <c r="AL71" s="2052"/>
      <c r="AM71" s="2052"/>
      <c r="AN71" s="2052"/>
      <c r="AO71" s="2052"/>
      <c r="AP71" s="2052"/>
      <c r="AQ71" s="2052"/>
      <c r="AR71" s="2052"/>
      <c r="AS71" s="2052"/>
      <c r="AT71" s="2052"/>
      <c r="AU71" s="2053"/>
      <c r="AV71" s="1192"/>
      <c r="AW71" s="1192"/>
      <c r="AX71" s="1192"/>
      <c r="AY71" s="1192"/>
      <c r="AZ71" s="1192"/>
      <c r="BA71" s="1192"/>
      <c r="BB71" s="1192"/>
      <c r="BC71" s="1192"/>
      <c r="BD71" s="1192"/>
      <c r="BE71" s="1196"/>
      <c r="BM71" s="1189" t="s">
        <v>2392</v>
      </c>
    </row>
    <row r="72" spans="1:94" ht="15.75" customHeight="1">
      <c r="A72" s="1192"/>
      <c r="B72" s="1995" t="s">
        <v>2391</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92"/>
      <c r="AC72" s="2078" t="s">
        <v>2390</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92"/>
      <c r="BE72" s="1196"/>
    </row>
    <row r="73" spans="1:94" ht="15.75" customHeight="1">
      <c r="A73" s="1192"/>
      <c r="B73" s="1999" t="s">
        <v>2389</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92"/>
      <c r="AC73" s="2080" t="s">
        <v>2334</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92"/>
      <c r="BE73" s="1196"/>
      <c r="CK73" s="1190"/>
      <c r="CL73" s="1190"/>
      <c r="CM73" s="1190"/>
      <c r="CN73" s="1190"/>
      <c r="CO73" s="1190"/>
      <c r="CP73" s="1190"/>
    </row>
    <row r="74" spans="1:94" ht="15.75" customHeight="1">
      <c r="A74" s="1192"/>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92"/>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92"/>
      <c r="BE74" s="1196"/>
      <c r="CK74" s="1190"/>
      <c r="CL74" s="1190"/>
      <c r="CM74" s="1190"/>
      <c r="CN74" s="1190"/>
      <c r="CO74" s="1190"/>
      <c r="CP74" s="1190"/>
    </row>
    <row r="75" spans="1:94" ht="15.75" customHeight="1" thickBot="1">
      <c r="A75" s="1192"/>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92"/>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62"/>
      <c r="G79" s="2063"/>
      <c r="H79" s="2063"/>
      <c r="I79" s="2063"/>
      <c r="J79" s="2063"/>
      <c r="K79" s="2063"/>
      <c r="L79" s="2063"/>
      <c r="M79" s="2063"/>
      <c r="N79" s="2063"/>
      <c r="O79" s="2063"/>
      <c r="P79" s="2063"/>
      <c r="Q79" s="2063"/>
      <c r="R79" s="2063"/>
      <c r="S79" s="2063"/>
      <c r="T79" s="206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5" t="s">
        <v>2387</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70" t="s">
        <v>2386</v>
      </c>
      <c r="C81" s="2071"/>
      <c r="D81" s="2071"/>
      <c r="E81" s="2071"/>
      <c r="F81" s="2071"/>
      <c r="G81" s="2071"/>
      <c r="H81" s="2071"/>
      <c r="I81" s="2071"/>
      <c r="J81" s="2071"/>
      <c r="K81" s="2071"/>
      <c r="L81" s="2071"/>
      <c r="M81" s="2071"/>
      <c r="N81" s="2071"/>
      <c r="O81" s="2071"/>
      <c r="P81" s="2071"/>
      <c r="Q81" s="2071"/>
      <c r="R81" s="2072" t="s">
        <v>2190</v>
      </c>
      <c r="S81" s="2073"/>
      <c r="T81" s="2074"/>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5" t="s">
        <v>2385</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92"/>
      <c r="AJ83" s="2093" t="s">
        <v>2384</v>
      </c>
      <c r="AK83" s="2094"/>
      <c r="AL83" s="2094"/>
      <c r="AM83" s="2094"/>
      <c r="AN83" s="2094"/>
      <c r="AO83" s="2094"/>
      <c r="AP83" s="2094"/>
      <c r="AQ83" s="2094"/>
      <c r="AR83" s="2094"/>
      <c r="AS83" s="2094"/>
      <c r="AT83" s="2094"/>
      <c r="AU83" s="2094"/>
      <c r="AV83" s="2094"/>
      <c r="AW83" s="2094"/>
      <c r="AX83" s="2094"/>
      <c r="AY83" s="2097" t="s">
        <v>545</v>
      </c>
      <c r="AZ83" s="2097"/>
      <c r="BA83" s="2097"/>
      <c r="BB83" s="2098"/>
      <c r="BC83" s="1192"/>
      <c r="BD83" s="1192"/>
      <c r="BE83" s="1196"/>
      <c r="CK83" s="1190"/>
      <c r="CL83" s="1190"/>
      <c r="CM83" s="1190"/>
      <c r="CN83" s="1190"/>
      <c r="CO83" s="1190"/>
      <c r="CP83" s="1190"/>
    </row>
    <row r="84" spans="1:94" ht="15.75" customHeight="1">
      <c r="A84" s="1192"/>
      <c r="B84" s="2014"/>
      <c r="C84" s="2015"/>
      <c r="D84" s="2015"/>
      <c r="E84" s="2015"/>
      <c r="F84" s="2015"/>
      <c r="G84" s="2015"/>
      <c r="H84" s="2015"/>
      <c r="I84" s="2015" t="s">
        <v>2374</v>
      </c>
      <c r="J84" s="2015"/>
      <c r="K84" s="2015"/>
      <c r="L84" s="2015"/>
      <c r="M84" s="2015"/>
      <c r="N84" s="2015"/>
      <c r="O84" s="2015" t="s">
        <v>2350</v>
      </c>
      <c r="P84" s="2015"/>
      <c r="Q84" s="2015"/>
      <c r="R84" s="2015"/>
      <c r="S84" s="2015"/>
      <c r="T84" s="2015"/>
      <c r="U84" s="2015"/>
      <c r="V84" s="2101" t="s">
        <v>2349</v>
      </c>
      <c r="W84" s="2101"/>
      <c r="X84" s="2101"/>
      <c r="Y84" s="2101"/>
      <c r="Z84" s="2101"/>
      <c r="AA84" s="2101"/>
      <c r="AB84" s="2102" t="s">
        <v>2373</v>
      </c>
      <c r="AC84" s="2102"/>
      <c r="AD84" s="2102"/>
      <c r="AE84" s="2102"/>
      <c r="AF84" s="2102"/>
      <c r="AG84" s="2102"/>
      <c r="AH84" s="2103"/>
      <c r="AI84" s="1192"/>
      <c r="AJ84" s="2095"/>
      <c r="AK84" s="2096"/>
      <c r="AL84" s="2096"/>
      <c r="AM84" s="2096"/>
      <c r="AN84" s="2096"/>
      <c r="AO84" s="2096"/>
      <c r="AP84" s="2096"/>
      <c r="AQ84" s="2096"/>
      <c r="AR84" s="2096"/>
      <c r="AS84" s="2096"/>
      <c r="AT84" s="2096"/>
      <c r="AU84" s="2096"/>
      <c r="AV84" s="2096"/>
      <c r="AW84" s="2096"/>
      <c r="AX84" s="2096"/>
      <c r="AY84" s="2099"/>
      <c r="AZ84" s="2099"/>
      <c r="BA84" s="2099"/>
      <c r="BB84" s="2100"/>
      <c r="BC84" s="1192"/>
      <c r="BD84" s="1192"/>
      <c r="BE84" s="1196"/>
      <c r="CK84" s="1190"/>
      <c r="CL84" s="1190"/>
      <c r="CM84" s="1190"/>
      <c r="CN84" s="1190"/>
      <c r="CO84" s="1190"/>
      <c r="CP84" s="1190"/>
    </row>
    <row r="85" spans="1:94" ht="15.75" customHeight="1">
      <c r="A85" s="1192"/>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92"/>
      <c r="AJ85" s="2095"/>
      <c r="AK85" s="2096"/>
      <c r="AL85" s="2096"/>
      <c r="AM85" s="2096"/>
      <c r="AN85" s="2096"/>
      <c r="AO85" s="2096"/>
      <c r="AP85" s="2096"/>
      <c r="AQ85" s="2096"/>
      <c r="AR85" s="2096"/>
      <c r="AS85" s="2096"/>
      <c r="AT85" s="2096"/>
      <c r="AU85" s="2096"/>
      <c r="AV85" s="2096"/>
      <c r="AW85" s="2096"/>
      <c r="AX85" s="2096"/>
      <c r="AY85" s="2099"/>
      <c r="AZ85" s="2099"/>
      <c r="BA85" s="2099"/>
      <c r="BB85" s="2100"/>
      <c r="BC85" s="1192"/>
      <c r="BD85" s="1192"/>
      <c r="BE85" s="1196"/>
      <c r="CK85" s="1190"/>
      <c r="CL85" s="1190"/>
      <c r="CM85" s="1190"/>
      <c r="CN85" s="1190"/>
      <c r="CO85" s="1190"/>
      <c r="CP85" s="1190"/>
    </row>
    <row r="86" spans="1:94" ht="15.75" customHeight="1">
      <c r="A86" s="1192"/>
      <c r="B86" s="2014" t="s">
        <v>2372</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2"/>
      <c r="AJ86" s="2095"/>
      <c r="AK86" s="2096"/>
      <c r="AL86" s="2096"/>
      <c r="AM86" s="2096"/>
      <c r="AN86" s="2096"/>
      <c r="AO86" s="2096"/>
      <c r="AP86" s="2096"/>
      <c r="AQ86" s="2096"/>
      <c r="AR86" s="2096"/>
      <c r="AS86" s="2096"/>
      <c r="AT86" s="2096"/>
      <c r="AU86" s="2096"/>
      <c r="AV86" s="2096"/>
      <c r="AW86" s="2096"/>
      <c r="AX86" s="2096"/>
      <c r="AY86" s="2099"/>
      <c r="AZ86" s="2099"/>
      <c r="BA86" s="2099"/>
      <c r="BB86" s="2100"/>
      <c r="BC86" s="1192"/>
      <c r="BD86" s="1192"/>
      <c r="BE86" s="1196"/>
      <c r="CK86" s="1190"/>
      <c r="CL86" s="1190"/>
      <c r="CM86" s="1190"/>
      <c r="CN86" s="1190"/>
      <c r="CO86" s="1190"/>
      <c r="CP86" s="1190"/>
    </row>
    <row r="87" spans="1:94" ht="15.75" customHeight="1">
      <c r="A87" s="1192"/>
      <c r="B87" s="2014" t="s">
        <v>2371</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2"/>
      <c r="AJ87" s="2080" t="s">
        <v>2378</v>
      </c>
      <c r="AK87" s="2081"/>
      <c r="AL87" s="2081"/>
      <c r="AM87" s="2081"/>
      <c r="AN87" s="2081"/>
      <c r="AO87" s="2081"/>
      <c r="AP87" s="2081"/>
      <c r="AQ87" s="2081"/>
      <c r="AR87" s="2081"/>
      <c r="AS87" s="2081"/>
      <c r="AT87" s="2081"/>
      <c r="AU87" s="2081"/>
      <c r="AV87" s="2081"/>
      <c r="AW87" s="2081"/>
      <c r="AX87" s="2081"/>
      <c r="AY87" s="2081"/>
      <c r="AZ87" s="2081"/>
      <c r="BA87" s="2081"/>
      <c r="BB87" s="2082"/>
      <c r="BC87" s="1192"/>
      <c r="BD87" s="1192"/>
      <c r="BE87" s="1196"/>
      <c r="CK87" s="1190"/>
      <c r="CL87" s="1190"/>
      <c r="CM87" s="1190"/>
      <c r="CN87" s="1190"/>
      <c r="CO87" s="1190"/>
      <c r="CP87" s="1190"/>
    </row>
    <row r="88" spans="1:94" ht="15.75" customHeight="1" thickBot="1">
      <c r="A88" s="1192"/>
      <c r="B88" s="2032" t="s">
        <v>2370</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92"/>
      <c r="AJ88" s="2083"/>
      <c r="AK88" s="2084"/>
      <c r="AL88" s="2084"/>
      <c r="AM88" s="2084"/>
      <c r="AN88" s="2084"/>
      <c r="AO88" s="2084"/>
      <c r="AP88" s="2084"/>
      <c r="AQ88" s="2084"/>
      <c r="AR88" s="2084"/>
      <c r="AS88" s="2084"/>
      <c r="AT88" s="2084"/>
      <c r="AU88" s="2084"/>
      <c r="AV88" s="2084"/>
      <c r="AW88" s="2084"/>
      <c r="AX88" s="2084"/>
      <c r="AY88" s="2084"/>
      <c r="AZ88" s="2084"/>
      <c r="BA88" s="2084"/>
      <c r="BB88" s="208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62"/>
      <c r="G92" s="2063"/>
      <c r="H92" s="2063"/>
      <c r="I92" s="2063"/>
      <c r="J92" s="2063"/>
      <c r="K92" s="2063"/>
      <c r="L92" s="2063"/>
      <c r="M92" s="2063"/>
      <c r="N92" s="2063"/>
      <c r="O92" s="2063"/>
      <c r="P92" s="2063"/>
      <c r="Q92" s="2063"/>
      <c r="R92" s="2063"/>
      <c r="S92" s="2063"/>
      <c r="T92" s="206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5" t="s">
        <v>2382</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70" t="s">
        <v>2381</v>
      </c>
      <c r="C94" s="2071"/>
      <c r="D94" s="2071"/>
      <c r="E94" s="2071"/>
      <c r="F94" s="2071"/>
      <c r="G94" s="2071"/>
      <c r="H94" s="2071"/>
      <c r="I94" s="2071"/>
      <c r="J94" s="2071"/>
      <c r="K94" s="2071"/>
      <c r="L94" s="2071"/>
      <c r="M94" s="2071"/>
      <c r="N94" s="2071"/>
      <c r="O94" s="2071"/>
      <c r="P94" s="2071"/>
      <c r="Q94" s="2105"/>
      <c r="R94" s="2072" t="s">
        <v>2190</v>
      </c>
      <c r="S94" s="2073"/>
      <c r="T94" s="2074"/>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5" t="s">
        <v>2380</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92"/>
      <c r="AJ96" s="2093" t="s">
        <v>2379</v>
      </c>
      <c r="AK96" s="2094"/>
      <c r="AL96" s="2094"/>
      <c r="AM96" s="2094"/>
      <c r="AN96" s="2094"/>
      <c r="AO96" s="2094"/>
      <c r="AP96" s="2094"/>
      <c r="AQ96" s="2094"/>
      <c r="AR96" s="2094"/>
      <c r="AS96" s="2094"/>
      <c r="AT96" s="2094"/>
      <c r="AU96" s="2094"/>
      <c r="AV96" s="2094"/>
      <c r="AW96" s="2094"/>
      <c r="AX96" s="2094"/>
      <c r="AY96" s="2097" t="s">
        <v>545</v>
      </c>
      <c r="AZ96" s="2097"/>
      <c r="BA96" s="2097"/>
      <c r="BB96" s="2098"/>
      <c r="BC96" s="1192"/>
      <c r="BD96" s="1192"/>
      <c r="BE96" s="1196"/>
      <c r="BQ96" s="1189" t="str">
        <f>Application!M243&amp;IF(TRIM(Application!AA249)&lt;&gt;""," ("&amp;Application!AA249&amp;")","")</f>
        <v>Mercy Housing Calwest (Mercy Housing California)</v>
      </c>
      <c r="BR96" s="1218">
        <f>Application!AH246</f>
        <v>1E-4</v>
      </c>
      <c r="CM96" s="1190"/>
      <c r="CN96" s="1190"/>
      <c r="CO96" s="1190"/>
      <c r="CP96" s="1190"/>
    </row>
    <row r="97" spans="1:94" ht="15.75" customHeight="1">
      <c r="A97" s="1192"/>
      <c r="B97" s="2014"/>
      <c r="C97" s="2015"/>
      <c r="D97" s="2015"/>
      <c r="E97" s="2015"/>
      <c r="F97" s="2015"/>
      <c r="G97" s="2015"/>
      <c r="H97" s="2015"/>
      <c r="I97" s="2015" t="s">
        <v>2374</v>
      </c>
      <c r="J97" s="2015"/>
      <c r="K97" s="2015"/>
      <c r="L97" s="2015"/>
      <c r="M97" s="2015"/>
      <c r="N97" s="2015"/>
      <c r="O97" s="2015" t="s">
        <v>2350</v>
      </c>
      <c r="P97" s="2015"/>
      <c r="Q97" s="2015"/>
      <c r="R97" s="2015"/>
      <c r="S97" s="2015"/>
      <c r="T97" s="2015"/>
      <c r="U97" s="2015"/>
      <c r="V97" s="2101" t="s">
        <v>2349</v>
      </c>
      <c r="W97" s="2101"/>
      <c r="X97" s="2101"/>
      <c r="Y97" s="2101"/>
      <c r="Z97" s="2101"/>
      <c r="AA97" s="2101"/>
      <c r="AB97" s="2102" t="s">
        <v>2373</v>
      </c>
      <c r="AC97" s="2102"/>
      <c r="AD97" s="2102"/>
      <c r="AE97" s="2102"/>
      <c r="AF97" s="2102"/>
      <c r="AG97" s="2102"/>
      <c r="AH97" s="2103"/>
      <c r="AI97" s="1192"/>
      <c r="AJ97" s="2095"/>
      <c r="AK97" s="2096"/>
      <c r="AL97" s="2096"/>
      <c r="AM97" s="2096"/>
      <c r="AN97" s="2096"/>
      <c r="AO97" s="2096"/>
      <c r="AP97" s="2096"/>
      <c r="AQ97" s="2096"/>
      <c r="AR97" s="2096"/>
      <c r="AS97" s="2096"/>
      <c r="AT97" s="2096"/>
      <c r="AU97" s="2096"/>
      <c r="AV97" s="2096"/>
      <c r="AW97" s="2096"/>
      <c r="AX97" s="2096"/>
      <c r="AY97" s="2099"/>
      <c r="AZ97" s="2099"/>
      <c r="BA97" s="2099"/>
      <c r="BB97" s="2100"/>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92"/>
      <c r="AJ98" s="2095"/>
      <c r="AK98" s="2096"/>
      <c r="AL98" s="2096"/>
      <c r="AM98" s="2096"/>
      <c r="AN98" s="2096"/>
      <c r="AO98" s="2096"/>
      <c r="AP98" s="2096"/>
      <c r="AQ98" s="2096"/>
      <c r="AR98" s="2096"/>
      <c r="AS98" s="2096"/>
      <c r="AT98" s="2096"/>
      <c r="AU98" s="2096"/>
      <c r="AV98" s="2096"/>
      <c r="AW98" s="2096"/>
      <c r="AX98" s="2096"/>
      <c r="AY98" s="2099"/>
      <c r="AZ98" s="2099"/>
      <c r="BA98" s="2099"/>
      <c r="BB98" s="2100"/>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4" t="s">
        <v>2372</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2"/>
      <c r="AJ99" s="2095"/>
      <c r="AK99" s="2096"/>
      <c r="AL99" s="2096"/>
      <c r="AM99" s="2096"/>
      <c r="AN99" s="2096"/>
      <c r="AO99" s="2096"/>
      <c r="AP99" s="2096"/>
      <c r="AQ99" s="2096"/>
      <c r="AR99" s="2096"/>
      <c r="AS99" s="2096"/>
      <c r="AT99" s="2096"/>
      <c r="AU99" s="2096"/>
      <c r="AV99" s="2096"/>
      <c r="AW99" s="2096"/>
      <c r="AX99" s="2096"/>
      <c r="AY99" s="2099"/>
      <c r="AZ99" s="2099"/>
      <c r="BA99" s="2099"/>
      <c r="BB99" s="2100"/>
      <c r="BC99" s="1192"/>
      <c r="BD99" s="1192"/>
      <c r="BE99" s="1196"/>
      <c r="CM99" s="1190"/>
      <c r="CN99" s="1190"/>
      <c r="CO99" s="1190"/>
      <c r="CP99" s="1190"/>
    </row>
    <row r="100" spans="1:94" ht="15.75" customHeight="1">
      <c r="A100" s="1192"/>
      <c r="B100" s="2014" t="s">
        <v>2371</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2"/>
      <c r="AJ100" s="2080" t="s">
        <v>2378</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92"/>
      <c r="BD100" s="1192"/>
      <c r="BE100" s="1196"/>
      <c r="CM100" s="1190"/>
      <c r="CN100" s="1190"/>
      <c r="CO100" s="1190"/>
      <c r="CP100" s="1190"/>
    </row>
    <row r="101" spans="1:94" ht="15.75" customHeight="1" thickBot="1">
      <c r="A101" s="1192"/>
      <c r="B101" s="2032" t="s">
        <v>2370</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92"/>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8"/>
      <c r="G104" s="2109"/>
      <c r="H104" s="2109"/>
      <c r="I104" s="2109"/>
      <c r="J104" s="2109"/>
      <c r="K104" s="2109"/>
      <c r="L104" s="2109"/>
      <c r="M104" s="2109"/>
      <c r="N104" s="2109"/>
      <c r="O104" s="2109"/>
      <c r="P104" s="2109"/>
      <c r="Q104" s="2109"/>
      <c r="R104" s="2110"/>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72" t="str">
        <f>IFERROR(INDEX(BR96:BR98,MATCH(F104,$BQ$96:$BQ$98,0))/SUM($BR$96:$BR$98),"")</f>
        <v/>
      </c>
      <c r="P105" s="2073"/>
      <c r="Q105" s="2073"/>
      <c r="R105" s="2074"/>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60" t="s">
        <v>2375</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4"/>
      <c r="C108" s="2015"/>
      <c r="D108" s="2015"/>
      <c r="E108" s="2015"/>
      <c r="F108" s="2015"/>
      <c r="G108" s="2015"/>
      <c r="H108" s="2015"/>
      <c r="I108" s="2015" t="s">
        <v>2374</v>
      </c>
      <c r="J108" s="2015"/>
      <c r="K108" s="2015"/>
      <c r="L108" s="2015"/>
      <c r="M108" s="2015"/>
      <c r="N108" s="2015"/>
      <c r="O108" s="2015" t="s">
        <v>2350</v>
      </c>
      <c r="P108" s="2015"/>
      <c r="Q108" s="2015"/>
      <c r="R108" s="2015"/>
      <c r="S108" s="2015"/>
      <c r="T108" s="2015"/>
      <c r="U108" s="2015"/>
      <c r="V108" s="2101" t="s">
        <v>2349</v>
      </c>
      <c r="W108" s="2101"/>
      <c r="X108" s="2101"/>
      <c r="Y108" s="2101"/>
      <c r="Z108" s="2101"/>
      <c r="AA108" s="2101"/>
      <c r="AB108" s="2102" t="s">
        <v>2373</v>
      </c>
      <c r="AC108" s="2102"/>
      <c r="AD108" s="2102"/>
      <c r="AE108" s="2102"/>
      <c r="AF108" s="2102"/>
      <c r="AG108" s="2102"/>
      <c r="AH108" s="210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4" t="s">
        <v>2372</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4" t="s">
        <v>2371</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2" t="s">
        <v>2370</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12"/>
      <c r="G115" s="2113"/>
      <c r="H115" s="2113"/>
      <c r="I115" s="2113"/>
      <c r="J115" s="2113"/>
      <c r="K115" s="2113"/>
      <c r="L115" s="2113"/>
      <c r="M115" s="2113"/>
      <c r="N115" s="2113"/>
      <c r="O115" s="2113"/>
      <c r="P115" s="2113"/>
      <c r="Q115" s="2113"/>
      <c r="R115" s="211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3" t="s">
        <v>2368</v>
      </c>
      <c r="C117" s="2124"/>
      <c r="D117" s="2124"/>
      <c r="E117" s="2124"/>
      <c r="F117" s="2124"/>
      <c r="G117" s="2124"/>
      <c r="H117" s="2124"/>
      <c r="I117" s="2124"/>
      <c r="J117" s="2124"/>
      <c r="K117" s="2124"/>
      <c r="L117" s="2124"/>
      <c r="M117" s="2124"/>
      <c r="N117" s="2124"/>
      <c r="O117" s="2124"/>
      <c r="P117" s="2124"/>
      <c r="Q117" s="2124"/>
      <c r="R117" s="2124"/>
      <c r="S117" s="2124"/>
      <c r="T117" s="2124"/>
      <c r="U117" s="2127" t="s">
        <v>545</v>
      </c>
      <c r="V117" s="2127"/>
      <c r="W117" s="2127"/>
      <c r="X117" s="212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5"/>
      <c r="C118" s="2126"/>
      <c r="D118" s="2126"/>
      <c r="E118" s="2126"/>
      <c r="F118" s="2126"/>
      <c r="G118" s="2126"/>
      <c r="H118" s="2126"/>
      <c r="I118" s="2126"/>
      <c r="J118" s="2126"/>
      <c r="K118" s="2126"/>
      <c r="L118" s="2126"/>
      <c r="M118" s="2126"/>
      <c r="N118" s="2126"/>
      <c r="O118" s="2126"/>
      <c r="P118" s="2126"/>
      <c r="Q118" s="2126"/>
      <c r="R118" s="2126"/>
      <c r="S118" s="2126"/>
      <c r="T118" s="2126"/>
      <c r="U118" s="2129"/>
      <c r="V118" s="2129"/>
      <c r="W118" s="2129"/>
      <c r="X118" s="213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5"/>
      <c r="C119" s="2126"/>
      <c r="D119" s="2126"/>
      <c r="E119" s="2126"/>
      <c r="F119" s="2126"/>
      <c r="G119" s="2126"/>
      <c r="H119" s="2126"/>
      <c r="I119" s="2126"/>
      <c r="J119" s="2126"/>
      <c r="K119" s="2126"/>
      <c r="L119" s="2126"/>
      <c r="M119" s="2126"/>
      <c r="N119" s="2126"/>
      <c r="O119" s="2126"/>
      <c r="P119" s="2126"/>
      <c r="Q119" s="2126"/>
      <c r="R119" s="2126"/>
      <c r="S119" s="2126"/>
      <c r="T119" s="2126"/>
      <c r="U119" s="2129"/>
      <c r="V119" s="2129"/>
      <c r="W119" s="2129"/>
      <c r="X119" s="213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5"/>
      <c r="C120" s="2126"/>
      <c r="D120" s="2126"/>
      <c r="E120" s="2126"/>
      <c r="F120" s="2126"/>
      <c r="G120" s="2126"/>
      <c r="H120" s="2126"/>
      <c r="I120" s="2126"/>
      <c r="J120" s="2126"/>
      <c r="K120" s="2126"/>
      <c r="L120" s="2126"/>
      <c r="M120" s="2126"/>
      <c r="N120" s="2126"/>
      <c r="O120" s="2126"/>
      <c r="P120" s="2126"/>
      <c r="Q120" s="2126"/>
      <c r="R120" s="2126"/>
      <c r="S120" s="2126"/>
      <c r="T120" s="2126"/>
      <c r="U120" s="2129"/>
      <c r="V120" s="2129"/>
      <c r="W120" s="2129"/>
      <c r="X120" s="213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1" t="s">
        <v>2368</v>
      </c>
      <c r="C121" s="2132"/>
      <c r="D121" s="2132"/>
      <c r="E121" s="2132"/>
      <c r="F121" s="2132"/>
      <c r="G121" s="2132"/>
      <c r="H121" s="2132"/>
      <c r="I121" s="2132"/>
      <c r="J121" s="2132"/>
      <c r="K121" s="2132"/>
      <c r="L121" s="2132"/>
      <c r="M121" s="2132"/>
      <c r="N121" s="2132"/>
      <c r="O121" s="2132"/>
      <c r="P121" s="2132"/>
      <c r="Q121" s="2132"/>
      <c r="R121" s="2132"/>
      <c r="S121" s="2132"/>
      <c r="T121" s="2132"/>
      <c r="U121" s="2135" t="s">
        <v>545</v>
      </c>
      <c r="V121" s="2135"/>
      <c r="W121" s="2135"/>
      <c r="X121" s="213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3"/>
      <c r="C122" s="2134"/>
      <c r="D122" s="2134"/>
      <c r="E122" s="2134"/>
      <c r="F122" s="2134"/>
      <c r="G122" s="2134"/>
      <c r="H122" s="2134"/>
      <c r="I122" s="2134"/>
      <c r="J122" s="2134"/>
      <c r="K122" s="2134"/>
      <c r="L122" s="2134"/>
      <c r="M122" s="2134"/>
      <c r="N122" s="2134"/>
      <c r="O122" s="2134"/>
      <c r="P122" s="2134"/>
      <c r="Q122" s="2134"/>
      <c r="R122" s="2134"/>
      <c r="S122" s="2134"/>
      <c r="T122" s="2134"/>
      <c r="U122" s="2137"/>
      <c r="V122" s="2137"/>
      <c r="W122" s="2137"/>
      <c r="X122" s="213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3" t="s">
        <v>2366</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9"/>
      <c r="BE125" s="1196"/>
    </row>
    <row r="126" spans="1:57" ht="15.75" customHeight="1">
      <c r="A126" s="1192"/>
      <c r="B126" s="2141" t="s">
        <v>1576</v>
      </c>
      <c r="C126" s="2142"/>
      <c r="D126" s="2142"/>
      <c r="E126" s="2142"/>
      <c r="F126" s="2142"/>
      <c r="G126" s="2142"/>
      <c r="H126" s="2142"/>
      <c r="I126" s="2142"/>
      <c r="J126" s="2142"/>
      <c r="K126" s="2142"/>
      <c r="L126" s="2142"/>
      <c r="M126" s="2142"/>
      <c r="N126" s="2142"/>
      <c r="O126" s="2142"/>
      <c r="P126" s="2142"/>
      <c r="Q126" s="2142"/>
      <c r="R126" s="2142"/>
      <c r="S126" s="2142"/>
      <c r="T126" s="2142"/>
      <c r="U126" s="2143"/>
      <c r="V126" s="1192"/>
      <c r="W126" s="1192"/>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40"/>
      <c r="BE126" s="1196"/>
    </row>
    <row r="127" spans="1:57" ht="15.75" customHeight="1">
      <c r="A127" s="1192"/>
      <c r="B127" s="2159"/>
      <c r="C127" s="2160"/>
      <c r="D127" s="2160"/>
      <c r="E127" s="2160"/>
      <c r="F127" s="2160"/>
      <c r="G127" s="2160"/>
      <c r="H127" s="2160"/>
      <c r="I127" s="2015" t="s">
        <v>2365</v>
      </c>
      <c r="J127" s="2015"/>
      <c r="K127" s="2015"/>
      <c r="L127" s="2015"/>
      <c r="M127" s="2015"/>
      <c r="N127" s="2015"/>
      <c r="O127" s="2115" t="s">
        <v>2364</v>
      </c>
      <c r="P127" s="2115"/>
      <c r="Q127" s="2115"/>
      <c r="R127" s="2115"/>
      <c r="S127" s="2115"/>
      <c r="T127" s="2115"/>
      <c r="U127" s="2116"/>
      <c r="V127" s="1192"/>
      <c r="W127" s="1192"/>
      <c r="X127" s="2080" t="s">
        <v>2334</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6"/>
    </row>
    <row r="128" spans="1:57" ht="15.75" customHeight="1">
      <c r="A128" s="1192"/>
      <c r="B128" s="2117" t="s">
        <v>2348</v>
      </c>
      <c r="C128" s="2118"/>
      <c r="D128" s="2118"/>
      <c r="E128" s="2118"/>
      <c r="F128" s="2118"/>
      <c r="G128" s="2118"/>
      <c r="H128" s="2118"/>
      <c r="I128" s="2091">
        <v>0</v>
      </c>
      <c r="J128" s="2091"/>
      <c r="K128" s="2091"/>
      <c r="L128" s="2091"/>
      <c r="M128" s="2091"/>
      <c r="N128" s="2091"/>
      <c r="O128" s="2091">
        <v>0</v>
      </c>
      <c r="P128" s="2091"/>
      <c r="Q128" s="2091"/>
      <c r="R128" s="2091"/>
      <c r="S128" s="2091"/>
      <c r="T128" s="2091"/>
      <c r="U128" s="2092"/>
      <c r="V128" s="1192"/>
      <c r="W128" s="1192"/>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6"/>
    </row>
    <row r="129" spans="1:57" ht="15.75" customHeight="1" thickBot="1">
      <c r="A129" s="1192"/>
      <c r="B129" s="2119" t="s">
        <v>2347</v>
      </c>
      <c r="C129" s="2120"/>
      <c r="D129" s="2120"/>
      <c r="E129" s="2120"/>
      <c r="F129" s="2120"/>
      <c r="G129" s="2120"/>
      <c r="H129" s="2120"/>
      <c r="I129" s="2106">
        <v>0</v>
      </c>
      <c r="J129" s="2106"/>
      <c r="K129" s="2106"/>
      <c r="L129" s="2106"/>
      <c r="M129" s="2106"/>
      <c r="N129" s="2106"/>
      <c r="O129" s="2121"/>
      <c r="P129" s="2121"/>
      <c r="Q129" s="2121"/>
      <c r="R129" s="2121"/>
      <c r="S129" s="2121"/>
      <c r="T129" s="2121"/>
      <c r="U129" s="2122"/>
      <c r="V129" s="1192"/>
      <c r="W129" s="1192"/>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6"/>
    </row>
    <row r="133" spans="1:57" ht="15.75" customHeight="1">
      <c r="A133" s="1192"/>
      <c r="B133" s="1916" t="s">
        <v>2362</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92"/>
      <c r="W133" s="1192"/>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6"/>
    </row>
    <row r="134" spans="1:57" ht="15.75" customHeight="1">
      <c r="A134" s="1192"/>
      <c r="B134" s="2159"/>
      <c r="C134" s="2160"/>
      <c r="D134" s="2160"/>
      <c r="E134" s="2160"/>
      <c r="F134" s="2160"/>
      <c r="G134" s="2160"/>
      <c r="H134" s="2160"/>
      <c r="I134" s="2161" t="s">
        <v>2350</v>
      </c>
      <c r="J134" s="2161"/>
      <c r="K134" s="2161"/>
      <c r="L134" s="2161"/>
      <c r="M134" s="2161"/>
      <c r="N134" s="2161"/>
      <c r="O134" s="2161"/>
      <c r="P134" s="2161" t="s">
        <v>2349</v>
      </c>
      <c r="Q134" s="2161"/>
      <c r="R134" s="2161"/>
      <c r="S134" s="2161"/>
      <c r="T134" s="2161"/>
      <c r="U134" s="2162"/>
      <c r="V134" s="1192"/>
      <c r="W134" s="1192"/>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6"/>
    </row>
    <row r="135" spans="1:57" ht="15.75" customHeight="1">
      <c r="A135" s="1192"/>
      <c r="B135" s="2159"/>
      <c r="C135" s="2160"/>
      <c r="D135" s="2160"/>
      <c r="E135" s="2160"/>
      <c r="F135" s="2160"/>
      <c r="G135" s="2160"/>
      <c r="H135" s="2160"/>
      <c r="I135" s="2161"/>
      <c r="J135" s="2161"/>
      <c r="K135" s="2161"/>
      <c r="L135" s="2161"/>
      <c r="M135" s="2161"/>
      <c r="N135" s="2161"/>
      <c r="O135" s="2161"/>
      <c r="P135" s="2161"/>
      <c r="Q135" s="2161"/>
      <c r="R135" s="2161"/>
      <c r="S135" s="2161"/>
      <c r="T135" s="2161"/>
      <c r="U135" s="2162"/>
      <c r="V135" s="1192"/>
      <c r="W135" s="1192"/>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6"/>
    </row>
    <row r="136" spans="1:57" ht="15.75" customHeight="1">
      <c r="A136" s="1192"/>
      <c r="B136" s="2117" t="s">
        <v>2348</v>
      </c>
      <c r="C136" s="2118"/>
      <c r="D136" s="2118"/>
      <c r="E136" s="2118"/>
      <c r="F136" s="2118"/>
      <c r="G136" s="2118"/>
      <c r="H136" s="2118"/>
      <c r="I136" s="2091">
        <v>0</v>
      </c>
      <c r="J136" s="2091"/>
      <c r="K136" s="2091"/>
      <c r="L136" s="2091"/>
      <c r="M136" s="2091"/>
      <c r="N136" s="2091"/>
      <c r="O136" s="2091"/>
      <c r="P136" s="2091">
        <v>0</v>
      </c>
      <c r="Q136" s="2091"/>
      <c r="R136" s="2091"/>
      <c r="S136" s="2091"/>
      <c r="T136" s="2091"/>
      <c r="U136" s="2092"/>
      <c r="V136" s="1192"/>
      <c r="W136" s="1192"/>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6"/>
    </row>
    <row r="137" spans="1:57" ht="15.75" customHeight="1" thickBot="1">
      <c r="A137" s="1192"/>
      <c r="B137" s="2119" t="s">
        <v>2347</v>
      </c>
      <c r="C137" s="2120"/>
      <c r="D137" s="2120"/>
      <c r="E137" s="2120"/>
      <c r="F137" s="2120"/>
      <c r="G137" s="2120"/>
      <c r="H137" s="2120"/>
      <c r="I137" s="2106">
        <v>0</v>
      </c>
      <c r="J137" s="2106"/>
      <c r="K137" s="2106"/>
      <c r="L137" s="2106"/>
      <c r="M137" s="2106"/>
      <c r="N137" s="2106"/>
      <c r="O137" s="2106"/>
      <c r="P137" s="2106">
        <v>0</v>
      </c>
      <c r="Q137" s="2106"/>
      <c r="R137" s="2106"/>
      <c r="S137" s="2106"/>
      <c r="T137" s="2106"/>
      <c r="U137" s="2107"/>
      <c r="V137" s="1192"/>
      <c r="W137" s="1192"/>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7" t="s">
        <v>2361</v>
      </c>
      <c r="C139" s="2158"/>
      <c r="D139" s="2158"/>
      <c r="E139" s="2158"/>
      <c r="F139" s="2158"/>
      <c r="G139" s="2158"/>
      <c r="H139" s="2158"/>
      <c r="I139" s="2158"/>
      <c r="J139" s="2158"/>
      <c r="K139" s="2158"/>
      <c r="L139" s="2158"/>
      <c r="M139" s="2158"/>
      <c r="N139" s="2158"/>
      <c r="O139" s="2158"/>
      <c r="P139" s="2158"/>
      <c r="Q139" s="2158"/>
      <c r="R139" s="2158"/>
      <c r="S139" s="2158"/>
      <c r="T139" s="2158"/>
      <c r="U139" s="2158"/>
      <c r="V139" s="2158"/>
      <c r="W139" s="2158"/>
      <c r="X139" s="2158"/>
      <c r="Y139" s="2158"/>
      <c r="Z139" s="2158"/>
      <c r="AA139" s="2158"/>
      <c r="AB139" s="2158"/>
      <c r="AC139" s="2158"/>
      <c r="AD139" s="2158"/>
      <c r="AE139" s="2158"/>
      <c r="AF139" s="2158"/>
      <c r="AG139" s="2158"/>
      <c r="AH139" s="2039" t="s">
        <v>545</v>
      </c>
      <c r="AI139" s="2039"/>
      <c r="AJ139" s="2039"/>
      <c r="AK139" s="2039"/>
      <c r="AL139" s="2039"/>
      <c r="AM139" s="2039"/>
      <c r="AN139" s="2039"/>
      <c r="AO139" s="2039"/>
      <c r="AP139" s="2039"/>
      <c r="AQ139" s="2039"/>
      <c r="AR139" s="2039"/>
      <c r="AS139" s="2039"/>
      <c r="AT139" s="2039"/>
      <c r="AU139" s="2039"/>
      <c r="AV139" s="2039"/>
      <c r="AW139" s="2039"/>
      <c r="AX139" s="2040"/>
      <c r="AY139" s="1192"/>
      <c r="AZ139" s="1192"/>
      <c r="BA139" s="1192"/>
      <c r="BB139" s="1192"/>
      <c r="BC139" s="1192"/>
      <c r="BD139" s="1192"/>
      <c r="BE139" s="1196"/>
    </row>
    <row r="140" spans="1:57" ht="15.75" customHeight="1" thickBot="1">
      <c r="A140" s="1192"/>
      <c r="B140" s="2144" t="s">
        <v>2360</v>
      </c>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6"/>
      <c r="AH140" s="2108"/>
      <c r="AI140" s="2109"/>
      <c r="AJ140" s="2109"/>
      <c r="AK140" s="2109"/>
      <c r="AL140" s="2109"/>
      <c r="AM140" s="2109"/>
      <c r="AN140" s="2109"/>
      <c r="AO140" s="2109"/>
      <c r="AP140" s="2109"/>
      <c r="AQ140" s="2109"/>
      <c r="AR140" s="2109"/>
      <c r="AS140" s="2109"/>
      <c r="AT140" s="2109"/>
      <c r="AU140" s="2109"/>
      <c r="AV140" s="2109"/>
      <c r="AW140" s="2109"/>
      <c r="AX140" s="2110"/>
      <c r="AY140" s="1192"/>
      <c r="AZ140" s="1192"/>
      <c r="BA140" s="1192"/>
      <c r="BB140" s="1192"/>
      <c r="BC140" s="1192"/>
      <c r="BD140" s="1192"/>
      <c r="BE140" s="1196"/>
    </row>
    <row r="141" spans="1:57" ht="15.75" customHeight="1">
      <c r="A141" s="1192"/>
      <c r="B141" s="2144" t="s">
        <v>2359</v>
      </c>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6"/>
      <c r="AH141" s="2039" t="s">
        <v>545</v>
      </c>
      <c r="AI141" s="2039"/>
      <c r="AJ141" s="2039"/>
      <c r="AK141" s="2039"/>
      <c r="AL141" s="2039"/>
      <c r="AM141" s="2039"/>
      <c r="AN141" s="2039"/>
      <c r="AO141" s="2039"/>
      <c r="AP141" s="2039"/>
      <c r="AQ141" s="2039"/>
      <c r="AR141" s="2039"/>
      <c r="AS141" s="2039"/>
      <c r="AT141" s="2039"/>
      <c r="AU141" s="2039"/>
      <c r="AV141" s="2039"/>
      <c r="AW141" s="2039"/>
      <c r="AX141" s="2040"/>
      <c r="AY141" s="1192"/>
      <c r="AZ141" s="1192"/>
      <c r="BA141" s="1192"/>
      <c r="BB141" s="1192"/>
      <c r="BC141" s="1192"/>
      <c r="BD141" s="1192"/>
      <c r="BE141" s="1196"/>
    </row>
    <row r="142" spans="1:57" ht="15.75" customHeight="1">
      <c r="A142" s="1192"/>
      <c r="B142" s="2147" t="s">
        <v>2358</v>
      </c>
      <c r="C142" s="2148"/>
      <c r="D142" s="2148"/>
      <c r="E142" s="2148"/>
      <c r="F142" s="2148"/>
      <c r="G142" s="2148"/>
      <c r="H142" s="2148"/>
      <c r="I142" s="2148"/>
      <c r="J142" s="2148"/>
      <c r="K142" s="2148"/>
      <c r="L142" s="2148"/>
      <c r="M142" s="2148"/>
      <c r="N142" s="2148"/>
      <c r="O142" s="2148"/>
      <c r="P142" s="2148"/>
      <c r="Q142" s="2148"/>
      <c r="R142" s="2149" t="s">
        <v>2357</v>
      </c>
      <c r="S142" s="2149"/>
      <c r="T142" s="2149"/>
      <c r="U142" s="2149"/>
      <c r="V142" s="2149"/>
      <c r="W142" s="2149"/>
      <c r="X142" s="2149"/>
      <c r="Y142" s="2149"/>
      <c r="Z142" s="2149"/>
      <c r="AA142" s="2149"/>
      <c r="AB142" s="2149"/>
      <c r="AC142" s="2149"/>
      <c r="AD142" s="2149"/>
      <c r="AE142" s="2149"/>
      <c r="AF142" s="2149"/>
      <c r="AG142" s="2149"/>
      <c r="AH142" s="2149"/>
      <c r="AI142" s="2149"/>
      <c r="AJ142" s="2149"/>
      <c r="AK142" s="2149"/>
      <c r="AL142" s="2149"/>
      <c r="AM142" s="2149"/>
      <c r="AN142" s="2149"/>
      <c r="AO142" s="2149"/>
      <c r="AP142" s="2149"/>
      <c r="AQ142" s="2149"/>
      <c r="AR142" s="2149"/>
      <c r="AS142" s="2149"/>
      <c r="AT142" s="2149"/>
      <c r="AU142" s="2149"/>
      <c r="AV142" s="2149"/>
      <c r="AW142" s="2149"/>
      <c r="AX142" s="2150"/>
      <c r="AY142" s="1192"/>
      <c r="AZ142" s="1192"/>
      <c r="BA142" s="1192"/>
      <c r="BB142" s="1192"/>
      <c r="BC142" s="1192" t="s">
        <v>249</v>
      </c>
      <c r="BD142" s="1192"/>
      <c r="BE142" s="1196"/>
    </row>
    <row r="143" spans="1:57" ht="15.75" customHeight="1">
      <c r="A143" s="1192"/>
      <c r="B143" s="2151" t="s">
        <v>2356</v>
      </c>
      <c r="C143" s="2152"/>
      <c r="D143" s="2152"/>
      <c r="E143" s="2152"/>
      <c r="F143" s="2152"/>
      <c r="G143" s="2152"/>
      <c r="H143" s="2152"/>
      <c r="I143" s="2152"/>
      <c r="J143" s="2152"/>
      <c r="K143" s="2152"/>
      <c r="L143" s="2152"/>
      <c r="M143" s="2152"/>
      <c r="N143" s="2152"/>
      <c r="O143" s="2152"/>
      <c r="P143" s="2152"/>
      <c r="Q143" s="2152"/>
      <c r="R143" s="2152"/>
      <c r="S143" s="2152"/>
      <c r="T143" s="2152"/>
      <c r="U143" s="2152"/>
      <c r="V143" s="2152"/>
      <c r="W143" s="2152"/>
      <c r="X143" s="2152"/>
      <c r="Y143" s="2152"/>
      <c r="Z143" s="2152"/>
      <c r="AA143" s="2152"/>
      <c r="AB143" s="2152"/>
      <c r="AC143" s="2152"/>
      <c r="AD143" s="2152"/>
      <c r="AE143" s="2152"/>
      <c r="AF143" s="2152"/>
      <c r="AG143" s="2152"/>
      <c r="AH143" s="2152"/>
      <c r="AI143" s="2152"/>
      <c r="AJ143" s="2152"/>
      <c r="AK143" s="2152"/>
      <c r="AL143" s="2152"/>
      <c r="AM143" s="2152"/>
      <c r="AN143" s="2152"/>
      <c r="AO143" s="2152"/>
      <c r="AP143" s="2152"/>
      <c r="AQ143" s="2152"/>
      <c r="AR143" s="2152"/>
      <c r="AS143" s="2152"/>
      <c r="AT143" s="2152"/>
      <c r="AU143" s="2152"/>
      <c r="AV143" s="2152"/>
      <c r="AW143" s="2152"/>
      <c r="AX143" s="2153"/>
      <c r="AY143" s="1192"/>
      <c r="AZ143" s="1192"/>
      <c r="BA143" s="1192"/>
      <c r="BB143" s="1192"/>
      <c r="BC143" s="1192"/>
      <c r="BD143" s="1192"/>
      <c r="BE143" s="1196"/>
    </row>
    <row r="144" spans="1:57" ht="15.75" customHeight="1">
      <c r="A144" s="1192"/>
      <c r="B144" s="2151"/>
      <c r="C144" s="2152"/>
      <c r="D144" s="2152"/>
      <c r="E144" s="2152"/>
      <c r="F144" s="2152"/>
      <c r="G144" s="2152"/>
      <c r="H144" s="2152"/>
      <c r="I144" s="2152"/>
      <c r="J144" s="2152"/>
      <c r="K144" s="2152"/>
      <c r="L144" s="2152"/>
      <c r="M144" s="2152"/>
      <c r="N144" s="2152"/>
      <c r="O144" s="2152"/>
      <c r="P144" s="2152"/>
      <c r="Q144" s="2152"/>
      <c r="R144" s="2152"/>
      <c r="S144" s="2152"/>
      <c r="T144" s="2152"/>
      <c r="U144" s="2152"/>
      <c r="V144" s="2152"/>
      <c r="W144" s="2152"/>
      <c r="X144" s="2152"/>
      <c r="Y144" s="2152"/>
      <c r="Z144" s="2152"/>
      <c r="AA144" s="2152"/>
      <c r="AB144" s="2152"/>
      <c r="AC144" s="2152"/>
      <c r="AD144" s="2152"/>
      <c r="AE144" s="2152"/>
      <c r="AF144" s="2152"/>
      <c r="AG144" s="2152"/>
      <c r="AH144" s="2152"/>
      <c r="AI144" s="2152"/>
      <c r="AJ144" s="2152"/>
      <c r="AK144" s="2152"/>
      <c r="AL144" s="2152"/>
      <c r="AM144" s="2152"/>
      <c r="AN144" s="2152"/>
      <c r="AO144" s="2152"/>
      <c r="AP144" s="2152"/>
      <c r="AQ144" s="2152"/>
      <c r="AR144" s="2152"/>
      <c r="AS144" s="2152"/>
      <c r="AT144" s="2152"/>
      <c r="AU144" s="2152"/>
      <c r="AV144" s="2152"/>
      <c r="AW144" s="2152"/>
      <c r="AX144" s="2153"/>
      <c r="AY144" s="1192"/>
      <c r="AZ144" s="1192"/>
      <c r="BA144" s="1192"/>
      <c r="BB144" s="1192"/>
      <c r="BC144" s="1192"/>
      <c r="BD144" s="1192"/>
      <c r="BE144" s="1196"/>
    </row>
    <row r="145" spans="1:57" ht="15.75" customHeight="1">
      <c r="A145" s="1192"/>
      <c r="B145" s="2151"/>
      <c r="C145" s="2152"/>
      <c r="D145" s="2152"/>
      <c r="E145" s="2152"/>
      <c r="F145" s="2152"/>
      <c r="G145" s="2152"/>
      <c r="H145" s="2152"/>
      <c r="I145" s="2152"/>
      <c r="J145" s="2152"/>
      <c r="K145" s="2152"/>
      <c r="L145" s="2152"/>
      <c r="M145" s="2152"/>
      <c r="N145" s="2152"/>
      <c r="O145" s="2152"/>
      <c r="P145" s="2152"/>
      <c r="Q145" s="2152"/>
      <c r="R145" s="2152"/>
      <c r="S145" s="2152"/>
      <c r="T145" s="2152"/>
      <c r="U145" s="2152"/>
      <c r="V145" s="2152"/>
      <c r="W145" s="2152"/>
      <c r="X145" s="2152"/>
      <c r="Y145" s="2152"/>
      <c r="Z145" s="2152"/>
      <c r="AA145" s="2152"/>
      <c r="AB145" s="2152"/>
      <c r="AC145" s="2152"/>
      <c r="AD145" s="2152"/>
      <c r="AE145" s="2152"/>
      <c r="AF145" s="2152"/>
      <c r="AG145" s="2152"/>
      <c r="AH145" s="2152"/>
      <c r="AI145" s="2152"/>
      <c r="AJ145" s="2152"/>
      <c r="AK145" s="2152"/>
      <c r="AL145" s="2152"/>
      <c r="AM145" s="2152"/>
      <c r="AN145" s="2152"/>
      <c r="AO145" s="2152"/>
      <c r="AP145" s="2152"/>
      <c r="AQ145" s="2152"/>
      <c r="AR145" s="2152"/>
      <c r="AS145" s="2152"/>
      <c r="AT145" s="2152"/>
      <c r="AU145" s="2152"/>
      <c r="AV145" s="2152"/>
      <c r="AW145" s="2152"/>
      <c r="AX145" s="2153"/>
      <c r="AY145" s="1192"/>
      <c r="AZ145" s="1192"/>
      <c r="BA145" s="1192"/>
      <c r="BB145" s="1192"/>
      <c r="BC145" s="1192"/>
      <c r="BD145" s="1192"/>
      <c r="BE145" s="1196"/>
    </row>
    <row r="146" spans="1:57" ht="15.75" customHeight="1">
      <c r="A146" s="1192"/>
      <c r="B146" s="2151"/>
      <c r="C146" s="2152"/>
      <c r="D146" s="2152"/>
      <c r="E146" s="2152"/>
      <c r="F146" s="2152"/>
      <c r="G146" s="2152"/>
      <c r="H146" s="2152"/>
      <c r="I146" s="2152"/>
      <c r="J146" s="2152"/>
      <c r="K146" s="2152"/>
      <c r="L146" s="2152"/>
      <c r="M146" s="2152"/>
      <c r="N146" s="2152"/>
      <c r="O146" s="2152"/>
      <c r="P146" s="2152"/>
      <c r="Q146" s="2152"/>
      <c r="R146" s="2152"/>
      <c r="S146" s="2152"/>
      <c r="T146" s="2152"/>
      <c r="U146" s="2152"/>
      <c r="V146" s="2152"/>
      <c r="W146" s="2152"/>
      <c r="X146" s="2152"/>
      <c r="Y146" s="2152"/>
      <c r="Z146" s="2152"/>
      <c r="AA146" s="2152"/>
      <c r="AB146" s="2152"/>
      <c r="AC146" s="2152"/>
      <c r="AD146" s="2152"/>
      <c r="AE146" s="2152"/>
      <c r="AF146" s="2152"/>
      <c r="AG146" s="2152"/>
      <c r="AH146" s="2152"/>
      <c r="AI146" s="2152"/>
      <c r="AJ146" s="2152"/>
      <c r="AK146" s="2152"/>
      <c r="AL146" s="2152"/>
      <c r="AM146" s="2152"/>
      <c r="AN146" s="2152"/>
      <c r="AO146" s="2152"/>
      <c r="AP146" s="2152"/>
      <c r="AQ146" s="2152"/>
      <c r="AR146" s="2152"/>
      <c r="AS146" s="2152"/>
      <c r="AT146" s="2152"/>
      <c r="AU146" s="2152"/>
      <c r="AV146" s="2152"/>
      <c r="AW146" s="2152"/>
      <c r="AX146" s="2153"/>
      <c r="AY146" s="1192"/>
      <c r="AZ146" s="1192"/>
      <c r="BA146" s="1192"/>
      <c r="BB146" s="1192"/>
      <c r="BC146" s="1192"/>
      <c r="BD146" s="1192"/>
      <c r="BE146" s="1196"/>
    </row>
    <row r="147" spans="1:57" ht="15.75" customHeight="1">
      <c r="A147" s="1192"/>
      <c r="B147" s="2151"/>
      <c r="C147" s="2152"/>
      <c r="D147" s="2152"/>
      <c r="E147" s="2152"/>
      <c r="F147" s="2152"/>
      <c r="G147" s="2152"/>
      <c r="H147" s="2152"/>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2152"/>
      <c r="AD147" s="2152"/>
      <c r="AE147" s="2152"/>
      <c r="AF147" s="2152"/>
      <c r="AG147" s="2152"/>
      <c r="AH147" s="2152"/>
      <c r="AI147" s="2152"/>
      <c r="AJ147" s="2152"/>
      <c r="AK147" s="2152"/>
      <c r="AL147" s="2152"/>
      <c r="AM147" s="2152"/>
      <c r="AN147" s="2152"/>
      <c r="AO147" s="2152"/>
      <c r="AP147" s="2152"/>
      <c r="AQ147" s="2152"/>
      <c r="AR147" s="2152"/>
      <c r="AS147" s="2152"/>
      <c r="AT147" s="2152"/>
      <c r="AU147" s="2152"/>
      <c r="AV147" s="2152"/>
      <c r="AW147" s="2152"/>
      <c r="AX147" s="2153"/>
      <c r="AY147" s="1192"/>
      <c r="AZ147" s="1192"/>
      <c r="BA147" s="1192"/>
      <c r="BB147" s="1192"/>
      <c r="BC147" s="1192"/>
      <c r="BD147" s="1192"/>
      <c r="BE147" s="1196"/>
    </row>
    <row r="148" spans="1:57" ht="15.75" customHeight="1">
      <c r="A148" s="1192"/>
      <c r="B148" s="2151"/>
      <c r="C148" s="2152"/>
      <c r="D148" s="2152"/>
      <c r="E148" s="2152"/>
      <c r="F148" s="2152"/>
      <c r="G148" s="2152"/>
      <c r="H148" s="2152"/>
      <c r="I148" s="2152"/>
      <c r="J148" s="2152"/>
      <c r="K148" s="2152"/>
      <c r="L148" s="2152"/>
      <c r="M148" s="2152"/>
      <c r="N148" s="2152"/>
      <c r="O148" s="2152"/>
      <c r="P148" s="2152"/>
      <c r="Q148" s="2152"/>
      <c r="R148" s="2152"/>
      <c r="S148" s="2152"/>
      <c r="T148" s="2152"/>
      <c r="U148" s="2152"/>
      <c r="V148" s="2152"/>
      <c r="W148" s="2152"/>
      <c r="X148" s="2152"/>
      <c r="Y148" s="2152"/>
      <c r="Z148" s="2152"/>
      <c r="AA148" s="2152"/>
      <c r="AB148" s="2152"/>
      <c r="AC148" s="2152"/>
      <c r="AD148" s="2152"/>
      <c r="AE148" s="2152"/>
      <c r="AF148" s="2152"/>
      <c r="AG148" s="2152"/>
      <c r="AH148" s="2152"/>
      <c r="AI148" s="2152"/>
      <c r="AJ148" s="2152"/>
      <c r="AK148" s="2152"/>
      <c r="AL148" s="2152"/>
      <c r="AM148" s="2152"/>
      <c r="AN148" s="2152"/>
      <c r="AO148" s="2152"/>
      <c r="AP148" s="2152"/>
      <c r="AQ148" s="2152"/>
      <c r="AR148" s="2152"/>
      <c r="AS148" s="2152"/>
      <c r="AT148" s="2152"/>
      <c r="AU148" s="2152"/>
      <c r="AV148" s="2152"/>
      <c r="AW148" s="2152"/>
      <c r="AX148" s="2153"/>
      <c r="AY148" s="1192"/>
      <c r="AZ148" s="1192"/>
      <c r="BA148" s="1192"/>
      <c r="BB148" s="1192"/>
      <c r="BC148" s="1192"/>
      <c r="BD148" s="1192"/>
      <c r="BE148" s="1196"/>
    </row>
    <row r="149" spans="1:57" ht="15.75" customHeight="1">
      <c r="A149" s="1192"/>
      <c r="B149" s="2151"/>
      <c r="C149" s="2152"/>
      <c r="D149" s="2152"/>
      <c r="E149" s="2152"/>
      <c r="F149" s="2152"/>
      <c r="G149" s="2152"/>
      <c r="H149" s="2152"/>
      <c r="I149" s="2152"/>
      <c r="J149" s="2152"/>
      <c r="K149" s="2152"/>
      <c r="L149" s="2152"/>
      <c r="M149" s="2152"/>
      <c r="N149" s="2152"/>
      <c r="O149" s="2152"/>
      <c r="P149" s="2152"/>
      <c r="Q149" s="2152"/>
      <c r="R149" s="2152"/>
      <c r="S149" s="2152"/>
      <c r="T149" s="2152"/>
      <c r="U149" s="2152"/>
      <c r="V149" s="2152"/>
      <c r="W149" s="2152"/>
      <c r="X149" s="2152"/>
      <c r="Y149" s="2152"/>
      <c r="Z149" s="2152"/>
      <c r="AA149" s="2152"/>
      <c r="AB149" s="2152"/>
      <c r="AC149" s="2152"/>
      <c r="AD149" s="2152"/>
      <c r="AE149" s="2152"/>
      <c r="AF149" s="2152"/>
      <c r="AG149" s="2152"/>
      <c r="AH149" s="2152"/>
      <c r="AI149" s="2152"/>
      <c r="AJ149" s="2152"/>
      <c r="AK149" s="2152"/>
      <c r="AL149" s="2152"/>
      <c r="AM149" s="2152"/>
      <c r="AN149" s="2152"/>
      <c r="AO149" s="2152"/>
      <c r="AP149" s="2152"/>
      <c r="AQ149" s="2152"/>
      <c r="AR149" s="2152"/>
      <c r="AS149" s="2152"/>
      <c r="AT149" s="2152"/>
      <c r="AU149" s="2152"/>
      <c r="AV149" s="2152"/>
      <c r="AW149" s="2152"/>
      <c r="AX149" s="2153"/>
      <c r="AY149" s="1192"/>
      <c r="AZ149" s="1192"/>
      <c r="BA149" s="1192"/>
      <c r="BB149" s="1192"/>
      <c r="BC149" s="1192"/>
      <c r="BD149" s="1192"/>
      <c r="BE149" s="1196"/>
    </row>
    <row r="150" spans="1:57" ht="15.75" customHeight="1">
      <c r="A150" s="1192"/>
      <c r="B150" s="2151"/>
      <c r="C150" s="2152"/>
      <c r="D150" s="2152"/>
      <c r="E150" s="2152"/>
      <c r="F150" s="2152"/>
      <c r="G150" s="2152"/>
      <c r="H150" s="2152"/>
      <c r="I150" s="2152"/>
      <c r="J150" s="2152"/>
      <c r="K150" s="2152"/>
      <c r="L150" s="2152"/>
      <c r="M150" s="2152"/>
      <c r="N150" s="2152"/>
      <c r="O150" s="2152"/>
      <c r="P150" s="2152"/>
      <c r="Q150" s="2152"/>
      <c r="R150" s="2152"/>
      <c r="S150" s="2152"/>
      <c r="T150" s="2152"/>
      <c r="U150" s="2152"/>
      <c r="V150" s="2152"/>
      <c r="W150" s="2152"/>
      <c r="X150" s="2152"/>
      <c r="Y150" s="2152"/>
      <c r="Z150" s="2152"/>
      <c r="AA150" s="2152"/>
      <c r="AB150" s="2152"/>
      <c r="AC150" s="2152"/>
      <c r="AD150" s="2152"/>
      <c r="AE150" s="2152"/>
      <c r="AF150" s="2152"/>
      <c r="AG150" s="2152"/>
      <c r="AH150" s="2152"/>
      <c r="AI150" s="2152"/>
      <c r="AJ150" s="2152"/>
      <c r="AK150" s="2152"/>
      <c r="AL150" s="2152"/>
      <c r="AM150" s="2152"/>
      <c r="AN150" s="2152"/>
      <c r="AO150" s="2152"/>
      <c r="AP150" s="2152"/>
      <c r="AQ150" s="2152"/>
      <c r="AR150" s="2152"/>
      <c r="AS150" s="2152"/>
      <c r="AT150" s="2152"/>
      <c r="AU150" s="2152"/>
      <c r="AV150" s="2152"/>
      <c r="AW150" s="2152"/>
      <c r="AX150" s="2153"/>
      <c r="AY150" s="1192"/>
      <c r="AZ150" s="1192"/>
      <c r="BA150" s="1192"/>
      <c r="BB150" s="1192"/>
      <c r="BC150" s="1192"/>
      <c r="BD150" s="1192"/>
      <c r="BE150" s="1196"/>
    </row>
    <row r="151" spans="1:57" ht="15.75" customHeight="1">
      <c r="A151" s="1192"/>
      <c r="B151" s="2151"/>
      <c r="C151" s="2152"/>
      <c r="D151" s="2152"/>
      <c r="E151" s="2152"/>
      <c r="F151" s="2152"/>
      <c r="G151" s="2152"/>
      <c r="H151" s="2152"/>
      <c r="I151" s="2152"/>
      <c r="J151" s="2152"/>
      <c r="K151" s="2152"/>
      <c r="L151" s="2152"/>
      <c r="M151" s="2152"/>
      <c r="N151" s="2152"/>
      <c r="O151" s="2152"/>
      <c r="P151" s="2152"/>
      <c r="Q151" s="2152"/>
      <c r="R151" s="2152"/>
      <c r="S151" s="2152"/>
      <c r="T151" s="2152"/>
      <c r="U151" s="2152"/>
      <c r="V151" s="2152"/>
      <c r="W151" s="2152"/>
      <c r="X151" s="2152"/>
      <c r="Y151" s="2152"/>
      <c r="Z151" s="2152"/>
      <c r="AA151" s="2152"/>
      <c r="AB151" s="2152"/>
      <c r="AC151" s="2152"/>
      <c r="AD151" s="2152"/>
      <c r="AE151" s="2152"/>
      <c r="AF151" s="2152"/>
      <c r="AG151" s="2152"/>
      <c r="AH151" s="2152"/>
      <c r="AI151" s="2152"/>
      <c r="AJ151" s="2152"/>
      <c r="AK151" s="2152"/>
      <c r="AL151" s="2152"/>
      <c r="AM151" s="2152"/>
      <c r="AN151" s="2152"/>
      <c r="AO151" s="2152"/>
      <c r="AP151" s="2152"/>
      <c r="AQ151" s="2152"/>
      <c r="AR151" s="2152"/>
      <c r="AS151" s="2152"/>
      <c r="AT151" s="2152"/>
      <c r="AU151" s="2152"/>
      <c r="AV151" s="2152"/>
      <c r="AW151" s="2152"/>
      <c r="AX151" s="2153"/>
      <c r="AY151" s="1192"/>
      <c r="AZ151" s="1192"/>
      <c r="BA151" s="1192"/>
      <c r="BB151" s="1192"/>
      <c r="BC151" s="1192"/>
      <c r="BD151" s="1192"/>
      <c r="BE151" s="1196"/>
    </row>
    <row r="152" spans="1:57" ht="15.75" customHeight="1" thickBot="1">
      <c r="A152" s="1192"/>
      <c r="B152" s="2154"/>
      <c r="C152" s="2155"/>
      <c r="D152" s="2155"/>
      <c r="E152" s="2155"/>
      <c r="F152" s="2155"/>
      <c r="G152" s="2155"/>
      <c r="H152" s="2155"/>
      <c r="I152" s="2155"/>
      <c r="J152" s="2155"/>
      <c r="K152" s="2155"/>
      <c r="L152" s="2155"/>
      <c r="M152" s="2155"/>
      <c r="N152" s="2155"/>
      <c r="O152" s="2155"/>
      <c r="P152" s="2155"/>
      <c r="Q152" s="2155"/>
      <c r="R152" s="2155"/>
      <c r="S152" s="2155"/>
      <c r="T152" s="2155"/>
      <c r="U152" s="2155"/>
      <c r="V152" s="2155"/>
      <c r="W152" s="2155"/>
      <c r="X152" s="2155"/>
      <c r="Y152" s="2155"/>
      <c r="Z152" s="2155"/>
      <c r="AA152" s="2155"/>
      <c r="AB152" s="2155"/>
      <c r="AC152" s="2155"/>
      <c r="AD152" s="2155"/>
      <c r="AE152" s="2155"/>
      <c r="AF152" s="2155"/>
      <c r="AG152" s="2155"/>
      <c r="AH152" s="2155"/>
      <c r="AI152" s="2155"/>
      <c r="AJ152" s="2155"/>
      <c r="AK152" s="2155"/>
      <c r="AL152" s="2155"/>
      <c r="AM152" s="2155"/>
      <c r="AN152" s="2155"/>
      <c r="AO152" s="2155"/>
      <c r="AP152" s="2155"/>
      <c r="AQ152" s="2155"/>
      <c r="AR152" s="2155"/>
      <c r="AS152" s="2155"/>
      <c r="AT152" s="2155"/>
      <c r="AU152" s="2155"/>
      <c r="AV152" s="2155"/>
      <c r="AW152" s="2155"/>
      <c r="AX152" s="215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1" t="s">
        <v>2353</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92"/>
      <c r="W156" s="1194"/>
      <c r="X156" s="2011" t="s">
        <v>2352</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9"/>
      <c r="C157" s="2160"/>
      <c r="D157" s="2160"/>
      <c r="E157" s="2160"/>
      <c r="F157" s="2160"/>
      <c r="G157" s="2160"/>
      <c r="H157" s="2160"/>
      <c r="I157" s="2161" t="s">
        <v>2350</v>
      </c>
      <c r="J157" s="2161"/>
      <c r="K157" s="2161"/>
      <c r="L157" s="2161"/>
      <c r="M157" s="2161"/>
      <c r="N157" s="2161"/>
      <c r="O157" s="2161"/>
      <c r="P157" s="2161" t="s">
        <v>2351</v>
      </c>
      <c r="Q157" s="2161"/>
      <c r="R157" s="2161"/>
      <c r="S157" s="2161"/>
      <c r="T157" s="2161"/>
      <c r="U157" s="2162"/>
      <c r="V157" s="1192"/>
      <c r="W157" s="1192"/>
      <c r="X157" s="2159"/>
      <c r="Y157" s="2160"/>
      <c r="Z157" s="2160"/>
      <c r="AA157" s="2160"/>
      <c r="AB157" s="2160"/>
      <c r="AC157" s="2160"/>
      <c r="AD157" s="2160"/>
      <c r="AE157" s="2161" t="s">
        <v>2350</v>
      </c>
      <c r="AF157" s="2161"/>
      <c r="AG157" s="2161"/>
      <c r="AH157" s="2161"/>
      <c r="AI157" s="2161"/>
      <c r="AJ157" s="2161"/>
      <c r="AK157" s="2161"/>
      <c r="AL157" s="2161" t="s">
        <v>2349</v>
      </c>
      <c r="AM157" s="2161"/>
      <c r="AN157" s="2161"/>
      <c r="AO157" s="2161"/>
      <c r="AP157" s="2161"/>
      <c r="AQ157" s="2162"/>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9"/>
      <c r="C158" s="2160"/>
      <c r="D158" s="2160"/>
      <c r="E158" s="2160"/>
      <c r="F158" s="2160"/>
      <c r="G158" s="2160"/>
      <c r="H158" s="2160"/>
      <c r="I158" s="2161"/>
      <c r="J158" s="2161"/>
      <c r="K158" s="2161"/>
      <c r="L158" s="2161"/>
      <c r="M158" s="2161"/>
      <c r="N158" s="2161"/>
      <c r="O158" s="2161"/>
      <c r="P158" s="2161"/>
      <c r="Q158" s="2161"/>
      <c r="R158" s="2161"/>
      <c r="S158" s="2161"/>
      <c r="T158" s="2161"/>
      <c r="U158" s="2162"/>
      <c r="V158" s="1192"/>
      <c r="W158" s="1192"/>
      <c r="X158" s="2159"/>
      <c r="Y158" s="2160"/>
      <c r="Z158" s="2160"/>
      <c r="AA158" s="2160"/>
      <c r="AB158" s="2160"/>
      <c r="AC158" s="2160"/>
      <c r="AD158" s="2160"/>
      <c r="AE158" s="2161"/>
      <c r="AF158" s="2161"/>
      <c r="AG158" s="2161"/>
      <c r="AH158" s="2161"/>
      <c r="AI158" s="2161"/>
      <c r="AJ158" s="2161"/>
      <c r="AK158" s="2161"/>
      <c r="AL158" s="2161"/>
      <c r="AM158" s="2161"/>
      <c r="AN158" s="2161"/>
      <c r="AO158" s="2161"/>
      <c r="AP158" s="2161"/>
      <c r="AQ158" s="2162"/>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7" t="s">
        <v>2348</v>
      </c>
      <c r="C159" s="2118"/>
      <c r="D159" s="2118"/>
      <c r="E159" s="2118"/>
      <c r="F159" s="2118"/>
      <c r="G159" s="2118"/>
      <c r="H159" s="2118"/>
      <c r="I159" s="2091">
        <v>0</v>
      </c>
      <c r="J159" s="2091"/>
      <c r="K159" s="2091"/>
      <c r="L159" s="2091"/>
      <c r="M159" s="2091"/>
      <c r="N159" s="2091"/>
      <c r="O159" s="2091"/>
      <c r="P159" s="2091">
        <v>0</v>
      </c>
      <c r="Q159" s="2091"/>
      <c r="R159" s="2091"/>
      <c r="S159" s="2091"/>
      <c r="T159" s="2091"/>
      <c r="U159" s="2092"/>
      <c r="V159" s="1192"/>
      <c r="W159" s="1192"/>
      <c r="X159" s="2119" t="s">
        <v>2348</v>
      </c>
      <c r="Y159" s="2120"/>
      <c r="Z159" s="2120"/>
      <c r="AA159" s="2120"/>
      <c r="AB159" s="2120"/>
      <c r="AC159" s="2120"/>
      <c r="AD159" s="2120"/>
      <c r="AE159" s="2106">
        <v>0</v>
      </c>
      <c r="AF159" s="2106"/>
      <c r="AG159" s="2106"/>
      <c r="AH159" s="2106"/>
      <c r="AI159" s="2106"/>
      <c r="AJ159" s="2106"/>
      <c r="AK159" s="2106"/>
      <c r="AL159" s="2106">
        <v>0</v>
      </c>
      <c r="AM159" s="2106"/>
      <c r="AN159" s="2106"/>
      <c r="AO159" s="2106"/>
      <c r="AP159" s="2106"/>
      <c r="AQ159" s="210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9" t="s">
        <v>2347</v>
      </c>
      <c r="C160" s="2120"/>
      <c r="D160" s="2120"/>
      <c r="E160" s="2120"/>
      <c r="F160" s="2120"/>
      <c r="G160" s="2120"/>
      <c r="H160" s="2120"/>
      <c r="I160" s="2106">
        <v>0</v>
      </c>
      <c r="J160" s="2106"/>
      <c r="K160" s="2106"/>
      <c r="L160" s="2106"/>
      <c r="M160" s="2106"/>
      <c r="N160" s="2106"/>
      <c r="O160" s="2106"/>
      <c r="P160" s="2106">
        <v>0</v>
      </c>
      <c r="Q160" s="2106"/>
      <c r="R160" s="2106"/>
      <c r="S160" s="2106"/>
      <c r="T160" s="2106"/>
      <c r="U160" s="210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1" t="s">
        <v>2346</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9" t="s">
        <v>2331</v>
      </c>
      <c r="D163" s="2160"/>
      <c r="E163" s="2160"/>
      <c r="F163" s="2160"/>
      <c r="G163" s="2160"/>
      <c r="H163" s="2160"/>
      <c r="I163" s="2160"/>
      <c r="J163" s="2160"/>
      <c r="K163" s="2160"/>
      <c r="L163" s="2160"/>
      <c r="M163" s="2160"/>
      <c r="N163" s="2160"/>
      <c r="O163" s="2160"/>
      <c r="P163" s="2160"/>
      <c r="Q163" s="2160" t="s">
        <v>2345</v>
      </c>
      <c r="R163" s="2160"/>
      <c r="S163" s="2160"/>
      <c r="T163" s="2102" t="s">
        <v>2344</v>
      </c>
      <c r="U163" s="2102"/>
      <c r="V163" s="2102"/>
      <c r="W163" s="2102"/>
      <c r="X163" s="2102"/>
      <c r="Y163" s="2102"/>
      <c r="Z163" s="2102"/>
      <c r="AA163" s="2102"/>
      <c r="AB163" s="2160" t="s">
        <v>2343</v>
      </c>
      <c r="AC163" s="2160"/>
      <c r="AD163" s="2160"/>
      <c r="AE163" s="2160"/>
      <c r="AF163" s="2160"/>
      <c r="AG163" s="216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3" t="s">
        <v>2342</v>
      </c>
      <c r="D164" s="2164"/>
      <c r="E164" s="2164"/>
      <c r="F164" s="2164"/>
      <c r="G164" s="2164"/>
      <c r="H164" s="2164"/>
      <c r="I164" s="2164"/>
      <c r="J164" s="2164"/>
      <c r="K164" s="2164"/>
      <c r="L164" s="2164"/>
      <c r="M164" s="2164"/>
      <c r="N164" s="2164"/>
      <c r="O164" s="2164"/>
      <c r="P164" s="2164"/>
      <c r="Q164" s="2165">
        <v>55</v>
      </c>
      <c r="R164" s="2165"/>
      <c r="S164" s="2165"/>
      <c r="T164" s="2166"/>
      <c r="U164" s="2166"/>
      <c r="V164" s="2166"/>
      <c r="W164" s="2166"/>
      <c r="X164" s="2166"/>
      <c r="Y164" s="2166"/>
      <c r="Z164" s="2166"/>
      <c r="AA164" s="2166"/>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3" t="s">
        <v>2341</v>
      </c>
      <c r="D165" s="2164"/>
      <c r="E165" s="2164"/>
      <c r="F165" s="2164"/>
      <c r="G165" s="2164"/>
      <c r="H165" s="2164"/>
      <c r="I165" s="2164"/>
      <c r="J165" s="2164"/>
      <c r="K165" s="2164"/>
      <c r="L165" s="2164"/>
      <c r="M165" s="2164"/>
      <c r="N165" s="2164"/>
      <c r="O165" s="2164"/>
      <c r="P165" s="2164"/>
      <c r="Q165" s="2165">
        <v>55</v>
      </c>
      <c r="R165" s="2165"/>
      <c r="S165" s="2165"/>
      <c r="T165" s="2167"/>
      <c r="U165" s="2167"/>
      <c r="V165" s="2167"/>
      <c r="W165" s="2167"/>
      <c r="X165" s="2167"/>
      <c r="Y165" s="2167"/>
      <c r="Z165" s="2167"/>
      <c r="AA165" s="2167"/>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3" t="s">
        <v>2340</v>
      </c>
      <c r="D166" s="2164"/>
      <c r="E166" s="2164"/>
      <c r="F166" s="2164"/>
      <c r="G166" s="2164"/>
      <c r="H166" s="2164"/>
      <c r="I166" s="2164"/>
      <c r="J166" s="2164"/>
      <c r="K166" s="2164"/>
      <c r="L166" s="2164"/>
      <c r="M166" s="2164"/>
      <c r="N166" s="2164"/>
      <c r="O166" s="2164"/>
      <c r="P166" s="2164"/>
      <c r="Q166" s="2165">
        <v>55</v>
      </c>
      <c r="R166" s="2165"/>
      <c r="S166" s="2165"/>
      <c r="T166" s="2166"/>
      <c r="U166" s="2166"/>
      <c r="V166" s="2166"/>
      <c r="W166" s="2166"/>
      <c r="X166" s="2166"/>
      <c r="Y166" s="2166"/>
      <c r="Z166" s="2166"/>
      <c r="AA166" s="216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3" t="s">
        <v>2339</v>
      </c>
      <c r="D167" s="2164"/>
      <c r="E167" s="2164"/>
      <c r="F167" s="2164"/>
      <c r="G167" s="2164"/>
      <c r="H167" s="2164"/>
      <c r="I167" s="2164"/>
      <c r="J167" s="2164"/>
      <c r="K167" s="2164"/>
      <c r="L167" s="2164"/>
      <c r="M167" s="2164"/>
      <c r="N167" s="2164"/>
      <c r="O167" s="2164"/>
      <c r="P167" s="2164"/>
      <c r="Q167" s="2165">
        <v>55</v>
      </c>
      <c r="R167" s="2165"/>
      <c r="S167" s="2165"/>
      <c r="T167" s="2166"/>
      <c r="U167" s="2166"/>
      <c r="V167" s="2166"/>
      <c r="W167" s="2166"/>
      <c r="X167" s="2166"/>
      <c r="Y167" s="2166"/>
      <c r="Z167" s="2166"/>
      <c r="AA167" s="2166"/>
      <c r="AB167" s="2169">
        <v>0</v>
      </c>
      <c r="AC167" s="2169"/>
      <c r="AD167" s="2169"/>
      <c r="AE167" s="2169"/>
      <c r="AF167" s="2169"/>
      <c r="AG167" s="217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3" t="s">
        <v>169</v>
      </c>
      <c r="D168" s="2164"/>
      <c r="E168" s="2164"/>
      <c r="F168" s="2171" t="s">
        <v>2320</v>
      </c>
      <c r="G168" s="2171"/>
      <c r="H168" s="2171"/>
      <c r="I168" s="2171"/>
      <c r="J168" s="2171"/>
      <c r="K168" s="2171"/>
      <c r="L168" s="2171"/>
      <c r="M168" s="2171"/>
      <c r="N168" s="2171"/>
      <c r="O168" s="2171"/>
      <c r="P168" s="2171"/>
      <c r="Q168" s="2165">
        <v>55</v>
      </c>
      <c r="R168" s="2165"/>
      <c r="S168" s="2165"/>
      <c r="T168" s="2167"/>
      <c r="U168" s="2167"/>
      <c r="V168" s="2167"/>
      <c r="W168" s="2167"/>
      <c r="X168" s="2167"/>
      <c r="Y168" s="2167"/>
      <c r="Z168" s="2167"/>
      <c r="AA168" s="2167"/>
      <c r="AB168" s="2169">
        <v>0</v>
      </c>
      <c r="AC168" s="2169"/>
      <c r="AD168" s="2169"/>
      <c r="AE168" s="2169"/>
      <c r="AF168" s="2169"/>
      <c r="AG168" s="217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3" t="s">
        <v>169</v>
      </c>
      <c r="D169" s="2164"/>
      <c r="E169" s="2164"/>
      <c r="F169" s="2171" t="s">
        <v>2320</v>
      </c>
      <c r="G169" s="2171"/>
      <c r="H169" s="2171"/>
      <c r="I169" s="2171"/>
      <c r="J169" s="2171"/>
      <c r="K169" s="2171"/>
      <c r="L169" s="2171"/>
      <c r="M169" s="2171"/>
      <c r="N169" s="2171"/>
      <c r="O169" s="2171"/>
      <c r="P169" s="2171"/>
      <c r="Q169" s="2165">
        <v>55</v>
      </c>
      <c r="R169" s="2165"/>
      <c r="S169" s="2165"/>
      <c r="T169" s="2167"/>
      <c r="U169" s="2167"/>
      <c r="V169" s="2167"/>
      <c r="W169" s="2167"/>
      <c r="X169" s="2167"/>
      <c r="Y169" s="2167"/>
      <c r="Z169" s="2167"/>
      <c r="AA169" s="2167"/>
      <c r="AB169" s="2169">
        <v>0</v>
      </c>
      <c r="AC169" s="2169"/>
      <c r="AD169" s="2169"/>
      <c r="AE169" s="2169"/>
      <c r="AF169" s="2169"/>
      <c r="AG169" s="2170"/>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2" t="s">
        <v>169</v>
      </c>
      <c r="D170" s="2173"/>
      <c r="E170" s="2173"/>
      <c r="F170" s="2174" t="s">
        <v>2320</v>
      </c>
      <c r="G170" s="2174"/>
      <c r="H170" s="2174"/>
      <c r="I170" s="2174"/>
      <c r="J170" s="2174"/>
      <c r="K170" s="2174"/>
      <c r="L170" s="2174"/>
      <c r="M170" s="2174"/>
      <c r="N170" s="2174"/>
      <c r="O170" s="2174"/>
      <c r="P170" s="2174"/>
      <c r="Q170" s="2175">
        <v>55</v>
      </c>
      <c r="R170" s="2175"/>
      <c r="S170" s="2175"/>
      <c r="T170" s="2176"/>
      <c r="U170" s="2176"/>
      <c r="V170" s="2176"/>
      <c r="W170" s="2176"/>
      <c r="X170" s="2176"/>
      <c r="Y170" s="2176"/>
      <c r="Z170" s="2176"/>
      <c r="AA170" s="2176"/>
      <c r="AB170" s="2177">
        <v>0</v>
      </c>
      <c r="AC170" s="2177"/>
      <c r="AD170" s="2177"/>
      <c r="AE170" s="2177"/>
      <c r="AF170" s="2177"/>
      <c r="AG170" s="2178"/>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60" t="s">
        <v>2338</v>
      </c>
      <c r="D172" s="2061"/>
      <c r="E172" s="2061"/>
      <c r="F172" s="2061"/>
      <c r="G172" s="2061"/>
      <c r="H172" s="2061"/>
      <c r="I172" s="2061"/>
      <c r="J172" s="2061"/>
      <c r="K172" s="2061"/>
      <c r="L172" s="2061"/>
      <c r="M172" s="2061"/>
      <c r="N172" s="2111"/>
      <c r="O172" s="1192"/>
      <c r="P172" s="2179" t="s">
        <v>2337</v>
      </c>
      <c r="Q172" s="2180"/>
      <c r="R172" s="2180"/>
      <c r="S172" s="2180"/>
      <c r="T172" s="2180"/>
      <c r="U172" s="2180"/>
      <c r="V172" s="2180"/>
      <c r="W172" s="2180"/>
      <c r="X172" s="2180"/>
      <c r="Y172" s="2180"/>
      <c r="Z172" s="2180"/>
      <c r="AA172" s="2180"/>
      <c r="AB172" s="2180"/>
      <c r="AC172" s="2180"/>
      <c r="AD172" s="2180"/>
      <c r="AE172" s="2180"/>
      <c r="AF172" s="2180"/>
      <c r="AG172" s="2180"/>
      <c r="AH172" s="2180"/>
      <c r="AI172" s="2180"/>
      <c r="AJ172" s="2180"/>
      <c r="AK172" s="2180"/>
      <c r="AL172" s="2180"/>
      <c r="AM172" s="2180"/>
      <c r="AN172" s="2180"/>
      <c r="AO172" s="218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9" t="s">
        <v>2336</v>
      </c>
      <c r="D173" s="2160"/>
      <c r="E173" s="2160"/>
      <c r="F173" s="2160"/>
      <c r="G173" s="2160"/>
      <c r="H173" s="2160"/>
      <c r="I173" s="2160" t="s">
        <v>2335</v>
      </c>
      <c r="J173" s="2160"/>
      <c r="K173" s="2160"/>
      <c r="L173" s="2160"/>
      <c r="M173" s="2160"/>
      <c r="N173" s="2168"/>
      <c r="O173" s="1192"/>
      <c r="P173" s="2080" t="s">
        <v>2334</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6"/>
      <c r="D174" s="2018"/>
      <c r="E174" s="2018"/>
      <c r="F174" s="2018"/>
      <c r="G174" s="2018"/>
      <c r="H174" s="2018"/>
      <c r="I174" s="2166"/>
      <c r="J174" s="2166"/>
      <c r="K174" s="2166"/>
      <c r="L174" s="2166"/>
      <c r="M174" s="2166"/>
      <c r="N174" s="2182"/>
      <c r="O174" s="1192"/>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6"/>
      <c r="D175" s="2018"/>
      <c r="E175" s="2018"/>
      <c r="F175" s="2018"/>
      <c r="G175" s="2018"/>
      <c r="H175" s="2018"/>
      <c r="I175" s="2166"/>
      <c r="J175" s="2166"/>
      <c r="K175" s="2166"/>
      <c r="L175" s="2166"/>
      <c r="M175" s="2166"/>
      <c r="N175" s="2182"/>
      <c r="O175" s="1192"/>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6"/>
      <c r="D176" s="2018"/>
      <c r="E176" s="2018"/>
      <c r="F176" s="2018"/>
      <c r="G176" s="2018"/>
      <c r="H176" s="2018"/>
      <c r="I176" s="2166"/>
      <c r="J176" s="2166"/>
      <c r="K176" s="2166"/>
      <c r="L176" s="2166"/>
      <c r="M176" s="2166"/>
      <c r="N176" s="2182"/>
      <c r="O176" s="1192"/>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6"/>
      <c r="D177" s="2018"/>
      <c r="E177" s="2018"/>
      <c r="F177" s="2018"/>
      <c r="G177" s="2018"/>
      <c r="H177" s="2018"/>
      <c r="I177" s="2166"/>
      <c r="J177" s="2166"/>
      <c r="K177" s="2166"/>
      <c r="L177" s="2166"/>
      <c r="M177" s="2166"/>
      <c r="N177" s="2182"/>
      <c r="O177" s="1192"/>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6"/>
      <c r="D178" s="2018"/>
      <c r="E178" s="2018"/>
      <c r="F178" s="2018"/>
      <c r="G178" s="2018"/>
      <c r="H178" s="2018"/>
      <c r="I178" s="2166"/>
      <c r="J178" s="2166"/>
      <c r="K178" s="2166"/>
      <c r="L178" s="2166"/>
      <c r="M178" s="2166"/>
      <c r="N178" s="2182"/>
      <c r="O178" s="1192"/>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6"/>
      <c r="D179" s="2018"/>
      <c r="E179" s="2018"/>
      <c r="F179" s="2018"/>
      <c r="G179" s="2018"/>
      <c r="H179" s="2018"/>
      <c r="I179" s="2166"/>
      <c r="J179" s="2166"/>
      <c r="K179" s="2166"/>
      <c r="L179" s="2166"/>
      <c r="M179" s="2166"/>
      <c r="N179" s="2182"/>
      <c r="O179" s="1192"/>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3"/>
      <c r="D180" s="2184"/>
      <c r="E180" s="2184"/>
      <c r="F180" s="2184"/>
      <c r="G180" s="2184"/>
      <c r="H180" s="2184"/>
      <c r="I180" s="2185"/>
      <c r="J180" s="2185"/>
      <c r="K180" s="2185"/>
      <c r="L180" s="2185"/>
      <c r="M180" s="2185"/>
      <c r="N180" s="2186"/>
      <c r="O180" s="1192"/>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90" t="s">
        <v>2333</v>
      </c>
      <c r="D182" s="2191"/>
      <c r="E182" s="2191"/>
      <c r="F182" s="2191"/>
      <c r="G182" s="2191"/>
      <c r="H182" s="2191"/>
      <c r="I182" s="2191"/>
      <c r="J182" s="2191"/>
      <c r="K182" s="2191"/>
      <c r="L182" s="2191"/>
      <c r="M182" s="2191"/>
      <c r="N182" s="2191"/>
      <c r="O182" s="2191"/>
      <c r="P182" s="2191"/>
      <c r="Q182" s="2191"/>
      <c r="R182" s="2191"/>
      <c r="S182" s="2191"/>
      <c r="T182" s="2191"/>
      <c r="U182" s="2191"/>
      <c r="V182" s="2191"/>
      <c r="W182" s="2191"/>
      <c r="X182" s="2191"/>
      <c r="Y182" s="2191"/>
      <c r="Z182" s="2191"/>
      <c r="AA182" s="2191"/>
      <c r="AB182" s="2191"/>
      <c r="AC182" s="2191"/>
      <c r="AD182" s="2191"/>
      <c r="AE182" s="2192"/>
      <c r="AF182" s="1192"/>
      <c r="AG182" s="1192"/>
      <c r="AH182" s="2200"/>
      <c r="AI182" s="2200"/>
      <c r="AJ182" s="2200"/>
      <c r="AK182" s="2200"/>
      <c r="AL182" s="2200"/>
      <c r="AM182" s="2200"/>
      <c r="AN182" s="2200"/>
      <c r="AO182" s="2200"/>
      <c r="AP182" s="2200"/>
      <c r="AQ182" s="2200"/>
      <c r="AR182" s="2200"/>
      <c r="AS182" s="2200"/>
      <c r="AT182" s="2200"/>
      <c r="AU182" s="2200"/>
      <c r="AV182" s="2200"/>
      <c r="AW182" s="2200"/>
      <c r="AX182" s="2200"/>
      <c r="AY182" s="2200"/>
      <c r="AZ182" s="2200"/>
      <c r="BA182" s="2200"/>
      <c r="BB182" s="2200"/>
      <c r="BC182" s="2200"/>
      <c r="BD182" s="2200"/>
      <c r="BE182" s="2200"/>
    </row>
    <row r="183" spans="1:57" ht="15.75" customHeight="1" thickBot="1">
      <c r="A183" s="1192"/>
      <c r="B183" s="1192"/>
      <c r="C183" s="2193"/>
      <c r="D183" s="2194"/>
      <c r="E183" s="2194"/>
      <c r="F183" s="2194"/>
      <c r="G183" s="2194"/>
      <c r="H183" s="2194"/>
      <c r="I183" s="2194"/>
      <c r="J183" s="2194"/>
      <c r="K183" s="2194"/>
      <c r="L183" s="2194"/>
      <c r="M183" s="2194"/>
      <c r="N183" s="2194"/>
      <c r="O183" s="2194"/>
      <c r="P183" s="2194"/>
      <c r="Q183" s="2194"/>
      <c r="R183" s="2194"/>
      <c r="S183" s="2194"/>
      <c r="T183" s="2194"/>
      <c r="U183" s="2194"/>
      <c r="V183" s="2194"/>
      <c r="W183" s="2194"/>
      <c r="X183" s="2194"/>
      <c r="Y183" s="2194"/>
      <c r="Z183" s="2194"/>
      <c r="AA183" s="2194"/>
      <c r="AB183" s="2194"/>
      <c r="AC183" s="2194"/>
      <c r="AD183" s="2194"/>
      <c r="AE183" s="2195"/>
      <c r="AF183" s="1192"/>
      <c r="AG183" s="1192"/>
      <c r="AH183" s="2200"/>
      <c r="AI183" s="2200"/>
      <c r="AJ183" s="2200"/>
      <c r="AK183" s="2200"/>
      <c r="AL183" s="2200"/>
      <c r="AM183" s="2200"/>
      <c r="AN183" s="2200"/>
      <c r="AO183" s="2200"/>
      <c r="AP183" s="2200"/>
      <c r="AQ183" s="2200"/>
      <c r="AR183" s="2200"/>
      <c r="AS183" s="2200"/>
      <c r="AT183" s="2200"/>
      <c r="AU183" s="2200"/>
      <c r="AV183" s="2200"/>
      <c r="AW183" s="2200"/>
      <c r="AX183" s="2200"/>
      <c r="AY183" s="2200"/>
      <c r="AZ183" s="2200"/>
      <c r="BA183" s="2200"/>
      <c r="BB183" s="2200"/>
      <c r="BC183" s="2200"/>
      <c r="BD183" s="2200"/>
      <c r="BE183" s="2200"/>
    </row>
    <row r="184" spans="1:57" ht="15.75" customHeight="1">
      <c r="A184" s="1192"/>
      <c r="B184" s="1192"/>
      <c r="C184" s="2060" t="s">
        <v>2331</v>
      </c>
      <c r="D184" s="2061"/>
      <c r="E184" s="2061"/>
      <c r="F184" s="2061"/>
      <c r="G184" s="2061"/>
      <c r="H184" s="2061"/>
      <c r="I184" s="2061"/>
      <c r="J184" s="2061"/>
      <c r="K184" s="2061"/>
      <c r="L184" s="2061"/>
      <c r="M184" s="2061"/>
      <c r="N184" s="2061" t="s">
        <v>2332</v>
      </c>
      <c r="O184" s="2061"/>
      <c r="P184" s="2061"/>
      <c r="Q184" s="2061"/>
      <c r="R184" s="2061"/>
      <c r="S184" s="2061"/>
      <c r="T184" s="2061"/>
      <c r="U184" s="2012" t="s">
        <v>2331</v>
      </c>
      <c r="V184" s="2012"/>
      <c r="W184" s="2012"/>
      <c r="X184" s="2012"/>
      <c r="Y184" s="2012"/>
      <c r="Z184" s="2012"/>
      <c r="AA184" s="2012"/>
      <c r="AB184" s="2012"/>
      <c r="AC184" s="2012"/>
      <c r="AD184" s="2012"/>
      <c r="AE184" s="2013"/>
      <c r="AF184" s="1192"/>
      <c r="AG184" s="1192"/>
      <c r="AH184" s="2200"/>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0"/>
    </row>
    <row r="185" spans="1:57" ht="15.75" customHeight="1">
      <c r="A185" s="1192"/>
      <c r="B185" s="1192"/>
      <c r="C185" s="2187" t="s">
        <v>2330</v>
      </c>
      <c r="D185" s="2188"/>
      <c r="E185" s="2188"/>
      <c r="F185" s="2188"/>
      <c r="G185" s="2188"/>
      <c r="H185" s="2188"/>
      <c r="I185" s="2188"/>
      <c r="J185" s="2188"/>
      <c r="K185" s="2188"/>
      <c r="L185" s="2188"/>
      <c r="M185" s="2188"/>
      <c r="N185" s="2189">
        <f>'Sources and Uses Budget'!B105</f>
        <v>86046463</v>
      </c>
      <c r="O185" s="2189"/>
      <c r="P185" s="2189"/>
      <c r="Q185" s="2189"/>
      <c r="R185" s="2189"/>
      <c r="S185" s="2189"/>
      <c r="T185" s="2189"/>
      <c r="U185" s="2201"/>
      <c r="V185" s="2201"/>
      <c r="W185" s="2201"/>
      <c r="X185" s="2201"/>
      <c r="Y185" s="2201"/>
      <c r="Z185" s="2201"/>
      <c r="AA185" s="2201"/>
      <c r="AB185" s="2201"/>
      <c r="AC185" s="2201"/>
      <c r="AD185" s="2201"/>
      <c r="AE185" s="2202"/>
      <c r="AF185" s="1192"/>
      <c r="AG185" s="1192"/>
      <c r="AH185" s="2200"/>
      <c r="AI185" s="2200"/>
      <c r="AJ185" s="2200"/>
      <c r="AK185" s="2200"/>
      <c r="AL185" s="2200"/>
      <c r="AM185" s="2200"/>
      <c r="AN185" s="2200"/>
      <c r="AO185" s="2200"/>
      <c r="AP185" s="2200"/>
      <c r="AQ185" s="2200"/>
      <c r="AR185" s="2200"/>
      <c r="AS185" s="2200"/>
      <c r="AT185" s="2200"/>
      <c r="AU185" s="2200"/>
      <c r="AV185" s="2200"/>
      <c r="AW185" s="2200"/>
      <c r="AX185" s="2200"/>
      <c r="AY185" s="2200"/>
      <c r="AZ185" s="2200"/>
      <c r="BA185" s="2200"/>
      <c r="BB185" s="2200"/>
      <c r="BC185" s="2200"/>
      <c r="BD185" s="2200"/>
      <c r="BE185" s="2200"/>
    </row>
    <row r="186" spans="1:57" ht="15.75" customHeight="1">
      <c r="A186" s="1192"/>
      <c r="B186" s="1192"/>
      <c r="C186" s="2187" t="s">
        <v>2329</v>
      </c>
      <c r="D186" s="2188"/>
      <c r="E186" s="2188"/>
      <c r="F186" s="2188"/>
      <c r="G186" s="2188"/>
      <c r="H186" s="2188"/>
      <c r="I186" s="2188"/>
      <c r="J186" s="2188"/>
      <c r="K186" s="2188"/>
      <c r="L186" s="2188"/>
      <c r="M186" s="2188"/>
      <c r="N186" s="2189">
        <f>N185/J29</f>
        <v>887076.93814432994</v>
      </c>
      <c r="O186" s="2189"/>
      <c r="P186" s="2189"/>
      <c r="Q186" s="2189"/>
      <c r="R186" s="2189"/>
      <c r="S186" s="2189"/>
      <c r="T186" s="2189"/>
      <c r="U186" s="1232"/>
      <c r="V186" s="1232"/>
      <c r="W186" s="1232"/>
      <c r="X186" s="1232"/>
      <c r="Y186" s="1232"/>
      <c r="Z186" s="1232"/>
      <c r="AA186" s="1232"/>
      <c r="AB186" s="1232"/>
      <c r="AC186" s="1232"/>
      <c r="AD186" s="1232"/>
      <c r="AE186" s="1233"/>
      <c r="AF186" s="1192"/>
      <c r="AG186" s="1192"/>
      <c r="AH186" s="2200"/>
      <c r="AI186" s="2200"/>
      <c r="AJ186" s="2200"/>
      <c r="AK186" s="2200"/>
      <c r="AL186" s="2200"/>
      <c r="AM186" s="2200"/>
      <c r="AN186" s="2200"/>
      <c r="AO186" s="2200"/>
      <c r="AP186" s="2200"/>
      <c r="AQ186" s="2200"/>
      <c r="AR186" s="2200"/>
      <c r="AS186" s="2200"/>
      <c r="AT186" s="2200"/>
      <c r="AU186" s="2200"/>
      <c r="AV186" s="2200"/>
      <c r="AW186" s="2200"/>
      <c r="AX186" s="2200"/>
      <c r="AY186" s="2200"/>
      <c r="AZ186" s="2200"/>
      <c r="BA186" s="2200"/>
      <c r="BB186" s="2200"/>
      <c r="BC186" s="2200"/>
      <c r="BD186" s="2200"/>
      <c r="BE186" s="2200"/>
    </row>
    <row r="187" spans="1:57" ht="15.75" customHeight="1">
      <c r="A187" s="1192"/>
      <c r="B187" s="1192"/>
      <c r="C187" s="2203" t="s">
        <v>2328</v>
      </c>
      <c r="D187" s="2204"/>
      <c r="E187" s="2204"/>
      <c r="F187" s="2204"/>
      <c r="G187" s="2204"/>
      <c r="H187" s="2204"/>
      <c r="I187" s="2204"/>
      <c r="J187" s="2204"/>
      <c r="K187" s="2204"/>
      <c r="L187" s="2204"/>
      <c r="M187" s="2204"/>
      <c r="N187" s="2054">
        <v>0</v>
      </c>
      <c r="O187" s="2054"/>
      <c r="P187" s="2054"/>
      <c r="Q187" s="2054"/>
      <c r="R187" s="2054"/>
      <c r="S187" s="2054"/>
      <c r="T187" s="2054"/>
      <c r="U187" s="2030"/>
      <c r="V187" s="2030"/>
      <c r="W187" s="2030"/>
      <c r="X187" s="2030"/>
      <c r="Y187" s="2030"/>
      <c r="Z187" s="2030"/>
      <c r="AA187" s="2030"/>
      <c r="AB187" s="2030"/>
      <c r="AC187" s="2030"/>
      <c r="AD187" s="2030"/>
      <c r="AE187" s="2031"/>
      <c r="AF187" s="1192"/>
      <c r="AG187" s="1192"/>
      <c r="AH187" s="2200"/>
      <c r="AI187" s="2200"/>
      <c r="AJ187" s="2200"/>
      <c r="AK187" s="2200"/>
      <c r="AL187" s="2200"/>
      <c r="AM187" s="2200"/>
      <c r="AN187" s="2200"/>
      <c r="AO187" s="2200"/>
      <c r="AP187" s="2200"/>
      <c r="AQ187" s="2200"/>
      <c r="AR187" s="2200"/>
      <c r="AS187" s="2200"/>
      <c r="AT187" s="2200"/>
      <c r="AU187" s="2200"/>
      <c r="AV187" s="2200"/>
      <c r="AW187" s="2200"/>
      <c r="AX187" s="2200"/>
      <c r="AY187" s="2200"/>
      <c r="AZ187" s="2200"/>
      <c r="BA187" s="2200"/>
      <c r="BB187" s="2200"/>
      <c r="BC187" s="2200"/>
      <c r="BD187" s="2200"/>
      <c r="BE187" s="2200"/>
    </row>
    <row r="188" spans="1:57" ht="15.75" customHeight="1" thickBot="1">
      <c r="A188" s="1192"/>
      <c r="B188" s="1192"/>
      <c r="C188" s="2187" t="s">
        <v>2327</v>
      </c>
      <c r="D188" s="2188"/>
      <c r="E188" s="2188"/>
      <c r="F188" s="2188"/>
      <c r="G188" s="2188"/>
      <c r="H188" s="2188"/>
      <c r="I188" s="2188"/>
      <c r="J188" s="2188"/>
      <c r="K188" s="2188"/>
      <c r="L188" s="2188"/>
      <c r="M188" s="2188"/>
      <c r="N188" s="2205">
        <f>SUM('Sources and Uses Budget'!B85:B86)</f>
        <v>1729860</v>
      </c>
      <c r="O188" s="2205"/>
      <c r="P188" s="2205"/>
      <c r="Q188" s="2205"/>
      <c r="R188" s="2205"/>
      <c r="S188" s="2205"/>
      <c r="T188" s="2205"/>
      <c r="U188" s="2030"/>
      <c r="V188" s="2030"/>
      <c r="W188" s="2030"/>
      <c r="X188" s="2030"/>
      <c r="Y188" s="2030"/>
      <c r="Z188" s="2030"/>
      <c r="AA188" s="2030"/>
      <c r="AB188" s="2030"/>
      <c r="AC188" s="2030"/>
      <c r="AD188" s="2030"/>
      <c r="AE188" s="2031"/>
      <c r="AF188" s="1192"/>
      <c r="AG188" s="1192"/>
      <c r="AH188" s="2200"/>
      <c r="AI188" s="2200"/>
      <c r="AJ188" s="2200"/>
      <c r="AK188" s="2200"/>
      <c r="AL188" s="2200"/>
      <c r="AM188" s="2200"/>
      <c r="AN188" s="2200"/>
      <c r="AO188" s="2200"/>
      <c r="AP188" s="2200"/>
      <c r="AQ188" s="2200"/>
      <c r="AR188" s="2200"/>
      <c r="AS188" s="2200"/>
      <c r="AT188" s="2200"/>
      <c r="AU188" s="2200"/>
      <c r="AV188" s="2200"/>
      <c r="AW188" s="2200"/>
      <c r="AX188" s="2200"/>
      <c r="AY188" s="2200"/>
      <c r="AZ188" s="2200"/>
      <c r="BA188" s="2200"/>
      <c r="BB188" s="2200"/>
      <c r="BC188" s="2200"/>
      <c r="BD188" s="2200"/>
      <c r="BE188" s="2200"/>
    </row>
    <row r="189" spans="1:57" ht="15.75" customHeight="1" thickBot="1">
      <c r="A189" s="1192"/>
      <c r="B189" s="1192"/>
      <c r="C189" s="2187" t="s">
        <v>2326</v>
      </c>
      <c r="D189" s="2188"/>
      <c r="E189" s="2188"/>
      <c r="F189" s="2188"/>
      <c r="G189" s="2188"/>
      <c r="H189" s="2188"/>
      <c r="I189" s="2188"/>
      <c r="J189" s="2188"/>
      <c r="K189" s="2188"/>
      <c r="L189" s="2188"/>
      <c r="M189" s="2188"/>
      <c r="N189" s="2205">
        <f>'Sources and Uses Budget'!B8</f>
        <v>2025000</v>
      </c>
      <c r="O189" s="2205"/>
      <c r="P189" s="2205"/>
      <c r="Q189" s="2205"/>
      <c r="R189" s="2205"/>
      <c r="S189" s="2205"/>
      <c r="T189" s="2205"/>
      <c r="U189" s="2030"/>
      <c r="V189" s="2030"/>
      <c r="W189" s="2030"/>
      <c r="X189" s="2030"/>
      <c r="Y189" s="2030"/>
      <c r="Z189" s="2030"/>
      <c r="AA189" s="2030"/>
      <c r="AB189" s="2030"/>
      <c r="AC189" s="2030"/>
      <c r="AD189" s="2030"/>
      <c r="AE189" s="2031"/>
      <c r="AF189" s="1192"/>
      <c r="AG189" s="1192"/>
      <c r="AH189" s="2209" t="s">
        <v>2324</v>
      </c>
      <c r="AI189" s="2210"/>
      <c r="AJ189" s="2210"/>
      <c r="AK189" s="2210"/>
      <c r="AL189" s="2210"/>
      <c r="AM189" s="2210"/>
      <c r="AN189" s="2210"/>
      <c r="AO189" s="2210"/>
      <c r="AP189" s="2210"/>
      <c r="AQ189" s="2210"/>
      <c r="AR189" s="2210"/>
      <c r="AS189" s="2210"/>
      <c r="AT189" s="2210"/>
      <c r="AU189" s="2210"/>
      <c r="AV189" s="2210"/>
      <c r="AW189" s="2210"/>
      <c r="AX189" s="2210"/>
      <c r="AY189" s="2210"/>
      <c r="AZ189" s="2210"/>
      <c r="BA189" s="2210"/>
      <c r="BB189" s="2210"/>
      <c r="BC189" s="2210"/>
      <c r="BD189" s="2210"/>
      <c r="BE189" s="2211"/>
    </row>
    <row r="190" spans="1:57" ht="15.75" customHeight="1">
      <c r="A190" s="1192"/>
      <c r="B190" s="1192"/>
      <c r="C190" s="2187" t="s">
        <v>2325</v>
      </c>
      <c r="D190" s="2188"/>
      <c r="E190" s="2188"/>
      <c r="F190" s="2188"/>
      <c r="G190" s="2188"/>
      <c r="H190" s="2188"/>
      <c r="I190" s="2188"/>
      <c r="J190" s="2188"/>
      <c r="K190" s="2188"/>
      <c r="L190" s="2188"/>
      <c r="M190" s="2188"/>
      <c r="N190" s="2196">
        <v>0</v>
      </c>
      <c r="O190" s="2196"/>
      <c r="P190" s="2196"/>
      <c r="Q190" s="2196"/>
      <c r="R190" s="2196"/>
      <c r="S190" s="2196"/>
      <c r="T190" s="2196"/>
      <c r="U190" s="2030"/>
      <c r="V190" s="2030"/>
      <c r="W190" s="2030"/>
      <c r="X190" s="2030"/>
      <c r="Y190" s="2030"/>
      <c r="Z190" s="2030"/>
      <c r="AA190" s="2030"/>
      <c r="AB190" s="2030"/>
      <c r="AC190" s="2030"/>
      <c r="AD190" s="2030"/>
      <c r="AE190" s="2031"/>
      <c r="AF190" s="1192"/>
      <c r="AG190" s="1192"/>
      <c r="AH190" s="2212" t="s">
        <v>2324</v>
      </c>
      <c r="AI190" s="2213"/>
      <c r="AJ190" s="2213"/>
      <c r="AK190" s="2213"/>
      <c r="AL190" s="2213"/>
      <c r="AM190" s="2213"/>
      <c r="AN190" s="2213"/>
      <c r="AO190" s="2213"/>
      <c r="AP190" s="2213"/>
      <c r="AQ190" s="2213"/>
      <c r="AR190" s="2213"/>
      <c r="AS190" s="2213"/>
      <c r="AT190" s="2213"/>
      <c r="AU190" s="2214">
        <v>0</v>
      </c>
      <c r="AV190" s="2214"/>
      <c r="AW190" s="2214"/>
      <c r="AX190" s="2214"/>
      <c r="AY190" s="2214"/>
      <c r="AZ190" s="2214"/>
      <c r="BA190" s="2214"/>
      <c r="BB190" s="2214"/>
      <c r="BC190" s="2215"/>
      <c r="BD190" s="2216"/>
      <c r="BE190" s="2217"/>
    </row>
    <row r="191" spans="1:57" ht="15.75" customHeight="1">
      <c r="A191" s="1192"/>
      <c r="B191" s="1192"/>
      <c r="C191" s="2187" t="s">
        <v>2323</v>
      </c>
      <c r="D191" s="2188"/>
      <c r="E191" s="2188"/>
      <c r="F191" s="2188"/>
      <c r="G191" s="2188"/>
      <c r="H191" s="2188"/>
      <c r="I191" s="2188"/>
      <c r="J191" s="2188"/>
      <c r="K191" s="2188"/>
      <c r="L191" s="2188"/>
      <c r="M191" s="2188"/>
      <c r="N191" s="2196">
        <v>0</v>
      </c>
      <c r="O191" s="2196"/>
      <c r="P191" s="2196"/>
      <c r="Q191" s="2196"/>
      <c r="R191" s="2196"/>
      <c r="S191" s="2196"/>
      <c r="T191" s="2196"/>
      <c r="U191" s="2030"/>
      <c r="V191" s="2030"/>
      <c r="W191" s="2030"/>
      <c r="X191" s="2030"/>
      <c r="Y191" s="2030"/>
      <c r="Z191" s="2030"/>
      <c r="AA191" s="2030"/>
      <c r="AB191" s="2030"/>
      <c r="AC191" s="2030"/>
      <c r="AD191" s="2030"/>
      <c r="AE191" s="2031"/>
      <c r="AF191" s="1192"/>
      <c r="AG191" s="1192"/>
      <c r="AH191" s="2197" t="s">
        <v>2322</v>
      </c>
      <c r="AI191" s="2198"/>
      <c r="AJ191" s="2198"/>
      <c r="AK191" s="2198"/>
      <c r="AL191" s="2198"/>
      <c r="AM191" s="2198"/>
      <c r="AN191" s="2198"/>
      <c r="AO191" s="2198"/>
      <c r="AP191" s="2198"/>
      <c r="AQ191" s="2198"/>
      <c r="AR191" s="2198"/>
      <c r="AS191" s="2198"/>
      <c r="AT191" s="2198"/>
      <c r="AU191" s="2199"/>
      <c r="AV191" s="2199"/>
      <c r="AW191" s="2199"/>
      <c r="AX191" s="2199"/>
      <c r="AY191" s="2199"/>
      <c r="AZ191" s="2199"/>
      <c r="BA191" s="2199"/>
      <c r="BB191" s="2199"/>
      <c r="BC191" s="2206"/>
      <c r="BD191" s="2207"/>
      <c r="BE191" s="2208"/>
    </row>
    <row r="192" spans="1:57" ht="15.75" customHeight="1">
      <c r="A192" s="1192"/>
      <c r="B192" s="1192"/>
      <c r="C192" s="2222" t="s">
        <v>299</v>
      </c>
      <c r="D192" s="2165"/>
      <c r="E192" s="2218" t="s">
        <v>2320</v>
      </c>
      <c r="F192" s="2218"/>
      <c r="G192" s="2218"/>
      <c r="H192" s="2218"/>
      <c r="I192" s="2218"/>
      <c r="J192" s="2218"/>
      <c r="K192" s="2218"/>
      <c r="L192" s="2218"/>
      <c r="M192" s="2218"/>
      <c r="N192" s="2196">
        <v>0</v>
      </c>
      <c r="O192" s="2196"/>
      <c r="P192" s="2196"/>
      <c r="Q192" s="2196"/>
      <c r="R192" s="2196"/>
      <c r="S192" s="2196"/>
      <c r="T192" s="2196"/>
      <c r="U192" s="2030"/>
      <c r="V192" s="2030"/>
      <c r="W192" s="2030"/>
      <c r="X192" s="2030"/>
      <c r="Y192" s="2030"/>
      <c r="Z192" s="2030"/>
      <c r="AA192" s="2030"/>
      <c r="AB192" s="2030"/>
      <c r="AC192" s="2030"/>
      <c r="AD192" s="2030"/>
      <c r="AE192" s="2031"/>
      <c r="AF192" s="1192"/>
      <c r="AG192" s="1192"/>
      <c r="AH192" s="2223" t="s">
        <v>2321</v>
      </c>
      <c r="AI192" s="2224"/>
      <c r="AJ192" s="2224"/>
      <c r="AK192" s="2224"/>
      <c r="AL192" s="2224"/>
      <c r="AM192" s="2224"/>
      <c r="AN192" s="2224"/>
      <c r="AO192" s="2224"/>
      <c r="AP192" s="2224"/>
      <c r="AQ192" s="2224"/>
      <c r="AR192" s="2224"/>
      <c r="AS192" s="2224"/>
      <c r="AT192" s="2224"/>
      <c r="AU192" s="2225">
        <f>SUM(AU190:BB191)</f>
        <v>0</v>
      </c>
      <c r="AV192" s="2225"/>
      <c r="AW192" s="2225"/>
      <c r="AX192" s="2225"/>
      <c r="AY192" s="2225"/>
      <c r="AZ192" s="2225"/>
      <c r="BA192" s="2225"/>
      <c r="BB192" s="2225"/>
      <c r="BC192" s="2206"/>
      <c r="BD192" s="2207"/>
      <c r="BE192" s="2208"/>
    </row>
    <row r="193" spans="1:57" ht="15.75" customHeight="1" thickBot="1">
      <c r="A193" s="1192"/>
      <c r="B193" s="1192"/>
      <c r="C193" s="2086" t="s">
        <v>299</v>
      </c>
      <c r="D193" s="2018"/>
      <c r="E193" s="2218" t="s">
        <v>2320</v>
      </c>
      <c r="F193" s="2218"/>
      <c r="G193" s="2218"/>
      <c r="H193" s="2218"/>
      <c r="I193" s="2218"/>
      <c r="J193" s="2218"/>
      <c r="K193" s="2218"/>
      <c r="L193" s="2218"/>
      <c r="M193" s="2218"/>
      <c r="N193" s="2196">
        <v>0</v>
      </c>
      <c r="O193" s="2196"/>
      <c r="P193" s="2196"/>
      <c r="Q193" s="2196"/>
      <c r="R193" s="2196"/>
      <c r="S193" s="2196"/>
      <c r="T193" s="2196"/>
      <c r="U193" s="2030"/>
      <c r="V193" s="2030"/>
      <c r="W193" s="2030"/>
      <c r="X193" s="2030"/>
      <c r="Y193" s="2030"/>
      <c r="Z193" s="2030"/>
      <c r="AA193" s="2030"/>
      <c r="AB193" s="2030"/>
      <c r="AC193" s="2030"/>
      <c r="AD193" s="2030"/>
      <c r="AE193" s="2031"/>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9"/>
      <c r="BD193" s="2220"/>
      <c r="BE193" s="2221"/>
    </row>
    <row r="194" spans="1:57" ht="15.75" customHeight="1" thickBot="1">
      <c r="A194" s="1192"/>
      <c r="B194" s="1192"/>
      <c r="C194" s="2243" t="s">
        <v>299</v>
      </c>
      <c r="D194" s="2244"/>
      <c r="E194" s="2245" t="s">
        <v>2320</v>
      </c>
      <c r="F194" s="2245"/>
      <c r="G194" s="2245"/>
      <c r="H194" s="2245"/>
      <c r="I194" s="2245"/>
      <c r="J194" s="2245"/>
      <c r="K194" s="2245"/>
      <c r="L194" s="2245"/>
      <c r="M194" s="2246"/>
      <c r="N194" s="2247">
        <v>0</v>
      </c>
      <c r="O194" s="2247"/>
      <c r="P194" s="2247"/>
      <c r="Q194" s="2247"/>
      <c r="R194" s="2247"/>
      <c r="S194" s="2247"/>
      <c r="T194" s="2248"/>
      <c r="U194" s="2249"/>
      <c r="V194" s="2250"/>
      <c r="W194" s="2250"/>
      <c r="X194" s="2250"/>
      <c r="Y194" s="2250"/>
      <c r="Z194" s="2250"/>
      <c r="AA194" s="2250"/>
      <c r="AB194" s="2250"/>
      <c r="AC194" s="2250"/>
      <c r="AD194" s="2250"/>
      <c r="AE194" s="2251"/>
      <c r="AF194" s="1192"/>
      <c r="AG194" s="1192"/>
      <c r="AH194" s="2252" t="s">
        <v>2319</v>
      </c>
      <c r="AI194" s="2253"/>
      <c r="AJ194" s="2253"/>
      <c r="AK194" s="2253"/>
      <c r="AL194" s="2253"/>
      <c r="AM194" s="2253"/>
      <c r="AN194" s="2253"/>
      <c r="AO194" s="2253"/>
      <c r="AP194" s="2253"/>
      <c r="AQ194" s="2253"/>
      <c r="AR194" s="2253"/>
      <c r="AS194" s="2253"/>
      <c r="AT194" s="2253"/>
      <c r="AU194" s="2254"/>
      <c r="AV194" s="2254"/>
      <c r="AW194" s="2254"/>
      <c r="AX194" s="2254"/>
      <c r="AY194" s="2254"/>
      <c r="AZ194" s="2254"/>
      <c r="BA194" s="2254"/>
      <c r="BB194" s="2254"/>
      <c r="BC194" s="1173"/>
      <c r="BD194" s="1173"/>
      <c r="BE194" s="1236"/>
    </row>
    <row r="195" spans="1:57" ht="15.75" customHeight="1">
      <c r="A195" s="1192"/>
      <c r="B195" s="1192"/>
      <c r="C195" s="2226" t="s">
        <v>2318</v>
      </c>
      <c r="D195" s="2227"/>
      <c r="E195" s="2227"/>
      <c r="F195" s="2227"/>
      <c r="G195" s="2227"/>
      <c r="H195" s="2227"/>
      <c r="I195" s="2227"/>
      <c r="J195" s="2227"/>
      <c r="K195" s="2227"/>
      <c r="L195" s="2227"/>
      <c r="M195" s="2227"/>
      <c r="N195" s="2228">
        <f>SUM(N187:T194)</f>
        <v>3754860</v>
      </c>
      <c r="O195" s="2228"/>
      <c r="P195" s="2228"/>
      <c r="Q195" s="2228"/>
      <c r="R195" s="2228"/>
      <c r="S195" s="2228"/>
      <c r="T195" s="2229"/>
      <c r="U195" s="1192"/>
      <c r="V195" s="1192"/>
      <c r="W195" s="1192"/>
      <c r="X195" s="1192"/>
      <c r="Y195" s="1192"/>
      <c r="Z195" s="1192"/>
      <c r="AA195" s="1192"/>
      <c r="AB195" s="1192"/>
      <c r="AC195" s="1192"/>
      <c r="AD195" s="1192"/>
      <c r="AE195" s="1192"/>
      <c r="AF195" s="1192"/>
      <c r="AG195" s="1192"/>
      <c r="AH195" s="2230" t="s">
        <v>2317</v>
      </c>
      <c r="AI195" s="2231"/>
      <c r="AJ195" s="2231"/>
      <c r="AK195" s="2231"/>
      <c r="AL195" s="2231"/>
      <c r="AM195" s="2231"/>
      <c r="AN195" s="2231"/>
      <c r="AO195" s="2231"/>
      <c r="AP195" s="2231"/>
      <c r="AQ195" s="2231"/>
      <c r="AR195" s="2231"/>
      <c r="AS195" s="2231"/>
      <c r="AT195" s="2231"/>
      <c r="AU195" s="2231"/>
      <c r="AV195" s="2231"/>
      <c r="AW195" s="2231"/>
      <c r="AX195" s="2231"/>
      <c r="AY195" s="2231"/>
      <c r="AZ195" s="2231"/>
      <c r="BA195" s="2231"/>
      <c r="BB195" s="2231"/>
      <c r="BC195" s="2231"/>
      <c r="BD195" s="2231"/>
      <c r="BE195" s="2232"/>
    </row>
    <row r="196" spans="1:57" ht="15.75" customHeight="1" thickBot="1">
      <c r="A196" s="1192"/>
      <c r="B196" s="1192"/>
      <c r="C196" s="2236" t="s">
        <v>2316</v>
      </c>
      <c r="D196" s="2237"/>
      <c r="E196" s="2237"/>
      <c r="F196" s="2237"/>
      <c r="G196" s="2237"/>
      <c r="H196" s="2237"/>
      <c r="I196" s="2237"/>
      <c r="J196" s="2237"/>
      <c r="K196" s="2237"/>
      <c r="L196" s="2237"/>
      <c r="M196" s="2237"/>
      <c r="N196" s="2238">
        <f>(N185-N195)/J29</f>
        <v>848367.04123711342</v>
      </c>
      <c r="O196" s="2239"/>
      <c r="P196" s="2239"/>
      <c r="Q196" s="2239"/>
      <c r="R196" s="2239"/>
      <c r="S196" s="2239"/>
      <c r="T196" s="2240"/>
      <c r="U196" s="1197"/>
      <c r="V196" s="1192"/>
      <c r="W196" s="1192"/>
      <c r="X196" s="1192"/>
      <c r="Y196" s="1192"/>
      <c r="Z196" s="1192"/>
      <c r="AA196" s="1192"/>
      <c r="AB196" s="1192"/>
      <c r="AC196" s="1192"/>
      <c r="AD196" s="1192"/>
      <c r="AE196" s="1192"/>
      <c r="AF196" s="1192"/>
      <c r="AG196" s="1192"/>
      <c r="AH196" s="2233"/>
      <c r="AI196" s="2234"/>
      <c r="AJ196" s="2234"/>
      <c r="AK196" s="2234"/>
      <c r="AL196" s="2234"/>
      <c r="AM196" s="2234"/>
      <c r="AN196" s="2234"/>
      <c r="AO196" s="2234"/>
      <c r="AP196" s="2234"/>
      <c r="AQ196" s="2234"/>
      <c r="AR196" s="2234"/>
      <c r="AS196" s="2234"/>
      <c r="AT196" s="2234"/>
      <c r="AU196" s="2234"/>
      <c r="AV196" s="2234"/>
      <c r="AW196" s="2234"/>
      <c r="AX196" s="2234"/>
      <c r="AY196" s="2234"/>
      <c r="AZ196" s="2234"/>
      <c r="BA196" s="2234"/>
      <c r="BB196" s="2234"/>
      <c r="BC196" s="2234"/>
      <c r="BD196" s="2234"/>
      <c r="BE196" s="223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1"/>
      <c r="AI197" s="2241"/>
      <c r="AJ197" s="2241"/>
      <c r="AK197" s="2241"/>
      <c r="AL197" s="2241"/>
      <c r="AM197" s="2241"/>
      <c r="AN197" s="2241"/>
      <c r="AO197" s="2241"/>
      <c r="AP197" s="2241"/>
      <c r="AQ197" s="2241"/>
      <c r="AR197" s="2241"/>
      <c r="AS197" s="2242"/>
      <c r="AT197" s="2242"/>
      <c r="AU197" s="2242"/>
      <c r="AV197" s="2242"/>
      <c r="AW197" s="2242"/>
      <c r="AX197" s="2242"/>
      <c r="AY197" s="2242"/>
      <c r="AZ197" s="2242"/>
      <c r="BA197" s="2242"/>
      <c r="BB197" s="2242"/>
      <c r="BC197" s="2242"/>
      <c r="BD197" s="224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60" t="s">
        <v>2315</v>
      </c>
      <c r="D199" s="2261"/>
      <c r="E199" s="2261"/>
      <c r="F199" s="2261"/>
      <c r="G199" s="2261"/>
      <c r="H199" s="2261"/>
      <c r="I199" s="2261"/>
      <c r="J199" s="2261"/>
      <c r="K199" s="2261"/>
      <c r="L199" s="2261"/>
      <c r="M199" s="2261"/>
      <c r="N199" s="2261"/>
      <c r="O199" s="2261"/>
      <c r="P199" s="2261"/>
      <c r="Q199" s="2261"/>
      <c r="R199" s="2261"/>
      <c r="S199" s="2261"/>
      <c r="T199" s="2261"/>
      <c r="U199" s="2261"/>
      <c r="V199" s="2261"/>
      <c r="W199" s="2261"/>
      <c r="X199" s="2261"/>
      <c r="Y199" s="2261"/>
      <c r="Z199" s="2261"/>
      <c r="AA199" s="2261"/>
      <c r="AB199" s="2261"/>
      <c r="AC199" s="2261"/>
      <c r="AD199" s="2261"/>
      <c r="AE199" s="226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3" t="s">
        <v>2314</v>
      </c>
      <c r="D200" s="2263"/>
      <c r="E200" s="2263"/>
      <c r="F200" s="2263"/>
      <c r="G200" s="2263"/>
      <c r="H200" s="2263"/>
      <c r="I200" s="2263"/>
      <c r="J200" s="2263"/>
      <c r="K200" s="2263"/>
      <c r="L200" s="2263"/>
      <c r="M200" s="2263"/>
      <c r="N200" s="2263"/>
      <c r="O200" s="2264" t="s">
        <v>2313</v>
      </c>
      <c r="P200" s="2264"/>
      <c r="Q200" s="2264"/>
      <c r="R200" s="2264"/>
      <c r="S200" s="2264"/>
      <c r="T200" s="2264"/>
      <c r="U200" s="2264"/>
      <c r="V200" s="2264"/>
      <c r="W200" s="2264"/>
      <c r="X200" s="2264" t="s">
        <v>2312</v>
      </c>
      <c r="Y200" s="2264"/>
      <c r="Z200" s="2264"/>
      <c r="AA200" s="2264"/>
      <c r="AB200" s="2264"/>
      <c r="AC200" s="2264"/>
      <c r="AD200" s="2264"/>
      <c r="AE200" s="226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5" t="s">
        <v>2311</v>
      </c>
      <c r="D201" s="2255"/>
      <c r="E201" s="2255"/>
      <c r="F201" s="2255"/>
      <c r="G201" s="2255"/>
      <c r="H201" s="2255"/>
      <c r="I201" s="2255"/>
      <c r="J201" s="2255"/>
      <c r="K201" s="2255"/>
      <c r="L201" s="2255"/>
      <c r="M201" s="2255"/>
      <c r="N201" s="2255"/>
      <c r="O201" s="2256" t="s">
        <v>2310</v>
      </c>
      <c r="P201" s="2256"/>
      <c r="Q201" s="2256"/>
      <c r="R201" s="2256"/>
      <c r="S201" s="2256"/>
      <c r="T201" s="2256"/>
      <c r="U201" s="2256"/>
      <c r="V201" s="2256"/>
      <c r="W201" s="2256"/>
      <c r="X201" s="2257">
        <v>0.03</v>
      </c>
      <c r="Y201" s="2257"/>
      <c r="Z201" s="2257"/>
      <c r="AA201" s="2257"/>
      <c r="AB201" s="2257"/>
      <c r="AC201" s="2257"/>
      <c r="AD201" s="2257"/>
      <c r="AE201" s="225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5" t="s">
        <v>854</v>
      </c>
      <c r="D202" s="2255"/>
      <c r="E202" s="2255"/>
      <c r="F202" s="2255"/>
      <c r="G202" s="2255"/>
      <c r="H202" s="2255"/>
      <c r="I202" s="2255"/>
      <c r="J202" s="2255"/>
      <c r="K202" s="2255"/>
      <c r="L202" s="2255"/>
      <c r="M202" s="2255"/>
      <c r="N202" s="2255"/>
      <c r="O202" s="2256" t="s">
        <v>2310</v>
      </c>
      <c r="P202" s="2256"/>
      <c r="Q202" s="2256"/>
      <c r="R202" s="2256"/>
      <c r="S202" s="2256"/>
      <c r="T202" s="2256"/>
      <c r="U202" s="2256"/>
      <c r="V202" s="2256"/>
      <c r="W202" s="2256"/>
      <c r="X202" s="2257">
        <v>0.03</v>
      </c>
      <c r="Y202" s="2257"/>
      <c r="Z202" s="2257"/>
      <c r="AA202" s="2257"/>
      <c r="AB202" s="2257"/>
      <c r="AC202" s="2257"/>
      <c r="AD202" s="2257"/>
      <c r="AE202" s="225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5" t="s">
        <v>2309</v>
      </c>
      <c r="D203" s="2255"/>
      <c r="E203" s="2255"/>
      <c r="F203" s="2255"/>
      <c r="G203" s="2255"/>
      <c r="H203" s="2255"/>
      <c r="I203" s="2255"/>
      <c r="J203" s="2255"/>
      <c r="K203" s="2255"/>
      <c r="L203" s="2255"/>
      <c r="M203" s="2255"/>
      <c r="N203" s="2255"/>
      <c r="O203" s="2258">
        <f>SUM(O201:W202)</f>
        <v>0</v>
      </c>
      <c r="P203" s="2259"/>
      <c r="Q203" s="2259"/>
      <c r="R203" s="2259"/>
      <c r="S203" s="2259"/>
      <c r="T203" s="2259"/>
      <c r="U203" s="2259"/>
      <c r="V203" s="2259"/>
      <c r="W203" s="2259"/>
      <c r="X203" s="2259" t="s">
        <v>2308</v>
      </c>
      <c r="Y203" s="2259"/>
      <c r="Z203" s="2259"/>
      <c r="AA203" s="2259"/>
      <c r="AB203" s="2259"/>
      <c r="AC203" s="2259"/>
      <c r="AD203" s="2259"/>
      <c r="AE203" s="225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5" t="s">
        <v>2307</v>
      </c>
      <c r="D204" s="2265"/>
      <c r="E204" s="2265"/>
      <c r="F204" s="2265"/>
      <c r="G204" s="2265"/>
      <c r="H204" s="2265"/>
      <c r="I204" s="2265"/>
      <c r="J204" s="2265"/>
      <c r="K204" s="2265"/>
      <c r="L204" s="2265"/>
      <c r="M204" s="2265"/>
      <c r="N204" s="2265"/>
      <c r="O204" s="2265"/>
      <c r="P204" s="2265"/>
      <c r="Q204" s="2265"/>
      <c r="R204" s="2265"/>
      <c r="S204" s="2265"/>
      <c r="T204" s="2265"/>
      <c r="U204" s="2265"/>
      <c r="V204" s="2265"/>
      <c r="W204" s="2265"/>
      <c r="X204" s="2265"/>
      <c r="Y204" s="2265"/>
      <c r="Z204" s="2265"/>
      <c r="AA204" s="2265"/>
      <c r="AB204" s="2265"/>
      <c r="AC204" s="2265"/>
      <c r="AD204" s="2265"/>
      <c r="AE204" s="226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6" t="s">
        <v>2306</v>
      </c>
      <c r="D206" s="2267"/>
      <c r="E206" s="2267"/>
      <c r="F206" s="2267"/>
      <c r="G206" s="2267"/>
      <c r="H206" s="2267"/>
      <c r="I206" s="2267"/>
      <c r="J206" s="2267"/>
      <c r="K206" s="2267"/>
      <c r="L206" s="2267"/>
      <c r="M206" s="2267"/>
      <c r="N206" s="2267"/>
      <c r="O206" s="2267"/>
      <c r="P206" s="2267"/>
      <c r="Q206" s="2267"/>
      <c r="R206" s="2267"/>
      <c r="S206" s="2267"/>
      <c r="T206" s="2267"/>
      <c r="U206" s="2267"/>
      <c r="V206" s="2267"/>
      <c r="W206" s="2267"/>
      <c r="X206" s="2267"/>
      <c r="Y206" s="2267"/>
      <c r="Z206" s="2267"/>
      <c r="AA206" s="2267"/>
      <c r="AB206" s="2267"/>
      <c r="AC206" s="2267"/>
      <c r="AD206" s="2267"/>
      <c r="AE206" s="2267"/>
      <c r="AF206" s="2267"/>
      <c r="AG206" s="2267"/>
      <c r="AH206" s="2267"/>
      <c r="AI206" s="2267"/>
      <c r="AJ206" s="2267"/>
      <c r="AK206" s="226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9" t="s">
        <v>2305</v>
      </c>
      <c r="D207" s="2270"/>
      <c r="E207" s="2270"/>
      <c r="F207" s="2271"/>
      <c r="G207" s="2275" t="s">
        <v>2304</v>
      </c>
      <c r="H207" s="2270"/>
      <c r="I207" s="2270"/>
      <c r="J207" s="2270"/>
      <c r="K207" s="2270"/>
      <c r="L207" s="2270"/>
      <c r="M207" s="2270"/>
      <c r="N207" s="2270"/>
      <c r="O207" s="2271"/>
      <c r="P207" s="2277" t="s">
        <v>2303</v>
      </c>
      <c r="Q207" s="2278"/>
      <c r="R207" s="2278"/>
      <c r="S207" s="2278"/>
      <c r="T207" s="2279"/>
      <c r="U207" s="2283" t="s">
        <v>2302</v>
      </c>
      <c r="V207" s="2284"/>
      <c r="W207" s="2284"/>
      <c r="X207" s="2285"/>
      <c r="Y207" s="2283" t="s">
        <v>2301</v>
      </c>
      <c r="Z207" s="2284"/>
      <c r="AA207" s="2284"/>
      <c r="AB207" s="2285"/>
      <c r="AC207" s="2283" t="s">
        <v>2300</v>
      </c>
      <c r="AD207" s="2284"/>
      <c r="AE207" s="2284"/>
      <c r="AF207" s="2285"/>
      <c r="AG207" s="2275" t="s">
        <v>2299</v>
      </c>
      <c r="AH207" s="2270"/>
      <c r="AI207" s="2270"/>
      <c r="AJ207" s="2270"/>
      <c r="AK207" s="228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2"/>
      <c r="D208" s="2273"/>
      <c r="E208" s="2273"/>
      <c r="F208" s="2274"/>
      <c r="G208" s="2276"/>
      <c r="H208" s="2273"/>
      <c r="I208" s="2273"/>
      <c r="J208" s="2273"/>
      <c r="K208" s="2273"/>
      <c r="L208" s="2273"/>
      <c r="M208" s="2273"/>
      <c r="N208" s="2273"/>
      <c r="O208" s="2274"/>
      <c r="P208" s="2280"/>
      <c r="Q208" s="2281"/>
      <c r="R208" s="2281"/>
      <c r="S208" s="2281"/>
      <c r="T208" s="2282"/>
      <c r="U208" s="2286"/>
      <c r="V208" s="2287"/>
      <c r="W208" s="2287"/>
      <c r="X208" s="2288"/>
      <c r="Y208" s="2286"/>
      <c r="Z208" s="2287"/>
      <c r="AA208" s="2287"/>
      <c r="AB208" s="2288"/>
      <c r="AC208" s="2286"/>
      <c r="AD208" s="2287"/>
      <c r="AE208" s="2287"/>
      <c r="AF208" s="2288"/>
      <c r="AG208" s="2276"/>
      <c r="AH208" s="2273"/>
      <c r="AI208" s="2273"/>
      <c r="AJ208" s="2273"/>
      <c r="AK208" s="229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4">
        <v>1</v>
      </c>
      <c r="D209" s="2295"/>
      <c r="E209" s="2295"/>
      <c r="F209" s="2295"/>
      <c r="G209" s="2296" t="s">
        <v>1885</v>
      </c>
      <c r="H209" s="2296"/>
      <c r="I209" s="2296"/>
      <c r="J209" s="2296"/>
      <c r="K209" s="2296"/>
      <c r="L209" s="2296"/>
      <c r="M209" s="2296"/>
      <c r="N209" s="2296"/>
      <c r="O209" s="2296"/>
      <c r="P209" s="2297"/>
      <c r="Q209" s="2300"/>
      <c r="R209" s="2300"/>
      <c r="S209" s="2300"/>
      <c r="T209" s="2300"/>
      <c r="U209" s="2298" t="s">
        <v>1885</v>
      </c>
      <c r="V209" s="2298"/>
      <c r="W209" s="2298"/>
      <c r="X209" s="2298"/>
      <c r="Y209" s="2298" t="s">
        <v>1885</v>
      </c>
      <c r="Z209" s="2298"/>
      <c r="AA209" s="2298"/>
      <c r="AB209" s="2298"/>
      <c r="AC209" s="2299" t="s">
        <v>1885</v>
      </c>
      <c r="AD209" s="2299"/>
      <c r="AE209" s="2299"/>
      <c r="AF209" s="2299"/>
      <c r="AG209" s="2291"/>
      <c r="AH209" s="2292"/>
      <c r="AI209" s="2292"/>
      <c r="AJ209" s="2292"/>
      <c r="AK209" s="229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4">
        <v>2</v>
      </c>
      <c r="D210" s="2295"/>
      <c r="E210" s="2295"/>
      <c r="F210" s="2295"/>
      <c r="G210" s="2296" t="s">
        <v>1885</v>
      </c>
      <c r="H210" s="2296"/>
      <c r="I210" s="2296"/>
      <c r="J210" s="2296"/>
      <c r="K210" s="2296"/>
      <c r="L210" s="2296"/>
      <c r="M210" s="2296"/>
      <c r="N210" s="2296"/>
      <c r="O210" s="2296"/>
      <c r="P210" s="2297"/>
      <c r="Q210" s="2297"/>
      <c r="R210" s="2297"/>
      <c r="S210" s="2297"/>
      <c r="T210" s="2297"/>
      <c r="U210" s="2298" t="s">
        <v>1885</v>
      </c>
      <c r="V210" s="2298"/>
      <c r="W210" s="2298"/>
      <c r="X210" s="2298"/>
      <c r="Y210" s="2298" t="s">
        <v>1885</v>
      </c>
      <c r="Z210" s="2298"/>
      <c r="AA210" s="2298"/>
      <c r="AB210" s="2298"/>
      <c r="AC210" s="2299" t="s">
        <v>1885</v>
      </c>
      <c r="AD210" s="2299"/>
      <c r="AE210" s="2299"/>
      <c r="AF210" s="2299"/>
      <c r="AG210" s="2291"/>
      <c r="AH210" s="2292"/>
      <c r="AI210" s="2292"/>
      <c r="AJ210" s="2292"/>
      <c r="AK210" s="229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4">
        <v>3</v>
      </c>
      <c r="D211" s="2295"/>
      <c r="E211" s="2295"/>
      <c r="F211" s="2295"/>
      <c r="G211" s="2296" t="s">
        <v>1885</v>
      </c>
      <c r="H211" s="2296"/>
      <c r="I211" s="2296"/>
      <c r="J211" s="2296"/>
      <c r="K211" s="2296"/>
      <c r="L211" s="2296"/>
      <c r="M211" s="2296"/>
      <c r="N211" s="2296"/>
      <c r="O211" s="2296"/>
      <c r="P211" s="2297"/>
      <c r="Q211" s="2297"/>
      <c r="R211" s="2297"/>
      <c r="S211" s="2297"/>
      <c r="T211" s="2297"/>
      <c r="U211" s="2298" t="s">
        <v>1885</v>
      </c>
      <c r="V211" s="2298"/>
      <c r="W211" s="2298"/>
      <c r="X211" s="2298"/>
      <c r="Y211" s="2298" t="s">
        <v>1885</v>
      </c>
      <c r="Z211" s="2298"/>
      <c r="AA211" s="2298"/>
      <c r="AB211" s="2298"/>
      <c r="AC211" s="2299" t="s">
        <v>1885</v>
      </c>
      <c r="AD211" s="2299"/>
      <c r="AE211" s="2299"/>
      <c r="AF211" s="2299"/>
      <c r="AG211" s="2291"/>
      <c r="AH211" s="2292"/>
      <c r="AI211" s="2292"/>
      <c r="AJ211" s="2292"/>
      <c r="AK211" s="229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4">
        <v>4</v>
      </c>
      <c r="D212" s="2295"/>
      <c r="E212" s="2295"/>
      <c r="F212" s="2295"/>
      <c r="G212" s="2296" t="s">
        <v>1885</v>
      </c>
      <c r="H212" s="2296"/>
      <c r="I212" s="2296"/>
      <c r="J212" s="2296"/>
      <c r="K212" s="2296"/>
      <c r="L212" s="2296"/>
      <c r="M212" s="2296"/>
      <c r="N212" s="2296"/>
      <c r="O212" s="2296"/>
      <c r="P212" s="2297"/>
      <c r="Q212" s="2297"/>
      <c r="R212" s="2297"/>
      <c r="S212" s="2297"/>
      <c r="T212" s="2297"/>
      <c r="U212" s="2298" t="s">
        <v>1885</v>
      </c>
      <c r="V212" s="2298"/>
      <c r="W212" s="2298"/>
      <c r="X212" s="2298"/>
      <c r="Y212" s="2298" t="s">
        <v>1885</v>
      </c>
      <c r="Z212" s="2298"/>
      <c r="AA212" s="2298"/>
      <c r="AB212" s="2298"/>
      <c r="AC212" s="2299" t="s">
        <v>1885</v>
      </c>
      <c r="AD212" s="2299"/>
      <c r="AE212" s="2299"/>
      <c r="AF212" s="2299"/>
      <c r="AG212" s="2291"/>
      <c r="AH212" s="2292"/>
      <c r="AI212" s="2292"/>
      <c r="AJ212" s="2292"/>
      <c r="AK212" s="229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4">
        <v>5</v>
      </c>
      <c r="D213" s="2295"/>
      <c r="E213" s="2295"/>
      <c r="F213" s="2295"/>
      <c r="G213" s="2296" t="s">
        <v>1885</v>
      </c>
      <c r="H213" s="2296"/>
      <c r="I213" s="2296"/>
      <c r="J213" s="2296"/>
      <c r="K213" s="2296"/>
      <c r="L213" s="2296"/>
      <c r="M213" s="2296"/>
      <c r="N213" s="2296"/>
      <c r="O213" s="2296"/>
      <c r="P213" s="2297"/>
      <c r="Q213" s="2297"/>
      <c r="R213" s="2297"/>
      <c r="S213" s="2297"/>
      <c r="T213" s="2297"/>
      <c r="U213" s="2298" t="s">
        <v>1885</v>
      </c>
      <c r="V213" s="2298"/>
      <c r="W213" s="2298"/>
      <c r="X213" s="2298"/>
      <c r="Y213" s="2298" t="s">
        <v>1885</v>
      </c>
      <c r="Z213" s="2298"/>
      <c r="AA213" s="2298"/>
      <c r="AB213" s="2298"/>
      <c r="AC213" s="2299" t="s">
        <v>1885</v>
      </c>
      <c r="AD213" s="2299"/>
      <c r="AE213" s="2299"/>
      <c r="AF213" s="2299"/>
      <c r="AG213" s="2291"/>
      <c r="AH213" s="2292"/>
      <c r="AI213" s="2292"/>
      <c r="AJ213" s="2292"/>
      <c r="AK213" s="229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4">
        <v>6</v>
      </c>
      <c r="D214" s="2295"/>
      <c r="E214" s="2295"/>
      <c r="F214" s="2295"/>
      <c r="G214" s="2296" t="s">
        <v>1885</v>
      </c>
      <c r="H214" s="2296"/>
      <c r="I214" s="2296"/>
      <c r="J214" s="2296"/>
      <c r="K214" s="2296"/>
      <c r="L214" s="2296"/>
      <c r="M214" s="2296"/>
      <c r="N214" s="2296"/>
      <c r="O214" s="2296"/>
      <c r="P214" s="2297"/>
      <c r="Q214" s="2297"/>
      <c r="R214" s="2297"/>
      <c r="S214" s="2297"/>
      <c r="T214" s="2297"/>
      <c r="U214" s="2298"/>
      <c r="V214" s="2298"/>
      <c r="W214" s="2298"/>
      <c r="X214" s="2298"/>
      <c r="Y214" s="2298"/>
      <c r="Z214" s="2298"/>
      <c r="AA214" s="2298"/>
      <c r="AB214" s="2298"/>
      <c r="AC214" s="2299" t="s">
        <v>1885</v>
      </c>
      <c r="AD214" s="2299"/>
      <c r="AE214" s="2299"/>
      <c r="AF214" s="2299"/>
      <c r="AG214" s="2291"/>
      <c r="AH214" s="2292"/>
      <c r="AI214" s="2292"/>
      <c r="AJ214" s="2292"/>
      <c r="AK214" s="229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4">
        <v>7</v>
      </c>
      <c r="D215" s="2295"/>
      <c r="E215" s="2295"/>
      <c r="F215" s="2295"/>
      <c r="G215" s="2296"/>
      <c r="H215" s="2296"/>
      <c r="I215" s="2296"/>
      <c r="J215" s="2296"/>
      <c r="K215" s="2296"/>
      <c r="L215" s="2296"/>
      <c r="M215" s="2296"/>
      <c r="N215" s="2296"/>
      <c r="O215" s="2296"/>
      <c r="P215" s="2297"/>
      <c r="Q215" s="2297"/>
      <c r="R215" s="2297"/>
      <c r="S215" s="2297"/>
      <c r="T215" s="2297"/>
      <c r="U215" s="2298"/>
      <c r="V215" s="2298"/>
      <c r="W215" s="2298"/>
      <c r="X215" s="2298"/>
      <c r="Y215" s="2298"/>
      <c r="Z215" s="2298"/>
      <c r="AA215" s="2298"/>
      <c r="AB215" s="2298"/>
      <c r="AC215" s="2299" t="s">
        <v>1885</v>
      </c>
      <c r="AD215" s="2299"/>
      <c r="AE215" s="2299"/>
      <c r="AF215" s="2299"/>
      <c r="AG215" s="2291"/>
      <c r="AH215" s="2292"/>
      <c r="AI215" s="2292"/>
      <c r="AJ215" s="2292"/>
      <c r="AK215" s="229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3" t="s">
        <v>2298</v>
      </c>
      <c r="D216" s="2314"/>
      <c r="E216" s="2314"/>
      <c r="F216" s="2314"/>
      <c r="G216" s="2314"/>
      <c r="H216" s="2314"/>
      <c r="I216" s="2314"/>
      <c r="J216" s="2314"/>
      <c r="K216" s="2314"/>
      <c r="L216" s="2314"/>
      <c r="M216" s="2314"/>
      <c r="N216" s="2314"/>
      <c r="O216" s="2314"/>
      <c r="P216" s="2315"/>
      <c r="Q216" s="2315"/>
      <c r="R216" s="2315"/>
      <c r="S216" s="2315"/>
      <c r="T216" s="2315"/>
      <c r="U216" s="2316">
        <v>0</v>
      </c>
      <c r="V216" s="2316"/>
      <c r="W216" s="2316"/>
      <c r="X216" s="2316"/>
      <c r="Y216" s="2316">
        <v>0</v>
      </c>
      <c r="Z216" s="2316"/>
      <c r="AA216" s="2316"/>
      <c r="AB216" s="2316"/>
      <c r="AC216" s="2317">
        <v>0</v>
      </c>
      <c r="AD216" s="2317"/>
      <c r="AE216" s="2317"/>
      <c r="AF216" s="2317"/>
      <c r="AG216" s="2318"/>
      <c r="AH216" s="2319"/>
      <c r="AI216" s="2319"/>
      <c r="AJ216" s="2319"/>
      <c r="AK216" s="232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1" t="s">
        <v>2296</v>
      </c>
      <c r="C221" s="2302"/>
      <c r="D221" s="2302"/>
      <c r="E221" s="2302"/>
      <c r="F221" s="2302"/>
      <c r="G221" s="2302"/>
      <c r="H221" s="2302"/>
      <c r="I221" s="2302"/>
      <c r="J221" s="2302"/>
      <c r="K221" s="2302"/>
      <c r="L221" s="2302"/>
      <c r="M221" s="2302"/>
      <c r="N221" s="2302"/>
      <c r="O221" s="2302"/>
      <c r="P221" s="2302"/>
      <c r="Q221" s="2302"/>
      <c r="R221" s="2302"/>
      <c r="S221" s="2302"/>
      <c r="T221" s="2302"/>
      <c r="U221" s="2302"/>
      <c r="V221" s="2302"/>
      <c r="W221" s="2302"/>
      <c r="X221" s="2302"/>
      <c r="Y221" s="2302"/>
      <c r="Z221" s="2302"/>
      <c r="AA221" s="2302"/>
      <c r="AB221" s="2302"/>
      <c r="AC221" s="2302"/>
      <c r="AD221" s="2302"/>
      <c r="AE221" s="2302"/>
      <c r="AF221" s="2302"/>
      <c r="AG221" s="2302"/>
      <c r="AH221" s="2302"/>
      <c r="AI221" s="2302"/>
      <c r="AJ221" s="2302"/>
      <c r="AK221" s="2302"/>
      <c r="AL221" s="2302"/>
      <c r="AM221" s="2302"/>
      <c r="AN221" s="2302"/>
      <c r="AO221" s="2302"/>
      <c r="AP221" s="2302"/>
      <c r="AQ221" s="2302"/>
      <c r="AR221" s="2302"/>
      <c r="AS221" s="2302"/>
      <c r="AT221" s="2302"/>
      <c r="AU221" s="2302"/>
      <c r="AV221" s="2302"/>
      <c r="AW221" s="2302"/>
      <c r="AX221" s="2302"/>
      <c r="AY221" s="2302"/>
      <c r="AZ221" s="2302"/>
      <c r="BA221" s="2302"/>
      <c r="BB221" s="2302"/>
      <c r="BC221" s="2302"/>
      <c r="BD221" s="2303"/>
      <c r="BE221" s="1196"/>
    </row>
    <row r="222" spans="1:57" ht="15.75" customHeight="1">
      <c r="A222" s="1192"/>
      <c r="B222" s="2304"/>
      <c r="C222" s="2305"/>
      <c r="D222" s="2305"/>
      <c r="E222" s="2305"/>
      <c r="F222" s="2305"/>
      <c r="G222" s="2305"/>
      <c r="H222" s="2305"/>
      <c r="I222" s="2305"/>
      <c r="J222" s="2305"/>
      <c r="K222" s="2305"/>
      <c r="L222" s="2305"/>
      <c r="M222" s="2305"/>
      <c r="N222" s="2305"/>
      <c r="O222" s="2305"/>
      <c r="P222" s="2305"/>
      <c r="Q222" s="2305"/>
      <c r="R222" s="2305"/>
      <c r="S222" s="2305"/>
      <c r="T222" s="2305"/>
      <c r="U222" s="2305"/>
      <c r="V222" s="2305"/>
      <c r="W222" s="2305"/>
      <c r="X222" s="2305"/>
      <c r="Y222" s="2305"/>
      <c r="Z222" s="2305"/>
      <c r="AA222" s="2305"/>
      <c r="AB222" s="2305"/>
      <c r="AC222" s="2305"/>
      <c r="AD222" s="2305"/>
      <c r="AE222" s="2305"/>
      <c r="AF222" s="2305"/>
      <c r="AG222" s="2305"/>
      <c r="AH222" s="2305"/>
      <c r="AI222" s="2305"/>
      <c r="AJ222" s="2305"/>
      <c r="AK222" s="2305"/>
      <c r="AL222" s="2305"/>
      <c r="AM222" s="2305"/>
      <c r="AN222" s="2305"/>
      <c r="AO222" s="2305"/>
      <c r="AP222" s="2305"/>
      <c r="AQ222" s="2305"/>
      <c r="AR222" s="2305"/>
      <c r="AS222" s="2305"/>
      <c r="AT222" s="2305"/>
      <c r="AU222" s="2305"/>
      <c r="AV222" s="2305"/>
      <c r="AW222" s="2305"/>
      <c r="AX222" s="2305"/>
      <c r="AY222" s="2305"/>
      <c r="AZ222" s="2305"/>
      <c r="BA222" s="2305"/>
      <c r="BB222" s="2305"/>
      <c r="BC222" s="2305"/>
      <c r="BD222" s="2306"/>
      <c r="BE222" s="1196"/>
    </row>
    <row r="223" spans="1:57" ht="15.75" customHeight="1">
      <c r="A223" s="1192"/>
      <c r="B223" s="2307" t="s">
        <v>2295</v>
      </c>
      <c r="C223" s="2308"/>
      <c r="D223" s="2308"/>
      <c r="E223" s="2308"/>
      <c r="F223" s="2308"/>
      <c r="G223" s="2308"/>
      <c r="H223" s="2308"/>
      <c r="I223" s="2308"/>
      <c r="J223" s="2308"/>
      <c r="K223" s="2308"/>
      <c r="L223" s="2308"/>
      <c r="M223" s="2308"/>
      <c r="N223" s="2308"/>
      <c r="O223" s="2308"/>
      <c r="P223" s="2308"/>
      <c r="Q223" s="2308"/>
      <c r="R223" s="2308"/>
      <c r="S223" s="2308"/>
      <c r="T223" s="2308"/>
      <c r="U223" s="2308"/>
      <c r="V223" s="2308"/>
      <c r="W223" s="2308"/>
      <c r="X223" s="2308"/>
      <c r="Y223" s="2308"/>
      <c r="Z223" s="2308"/>
      <c r="AA223" s="2308"/>
      <c r="AB223" s="2308"/>
      <c r="AC223" s="2308"/>
      <c r="AD223" s="2308"/>
      <c r="AE223" s="2308"/>
      <c r="AF223" s="2308"/>
      <c r="AG223" s="2308"/>
      <c r="AH223" s="2308"/>
      <c r="AI223" s="2308"/>
      <c r="AJ223" s="2308"/>
      <c r="AK223" s="2308"/>
      <c r="AL223" s="2308"/>
      <c r="AM223" s="2308"/>
      <c r="AN223" s="2308"/>
      <c r="AO223" s="2308"/>
      <c r="AP223" s="2308"/>
      <c r="AQ223" s="2308"/>
      <c r="AR223" s="2308"/>
      <c r="AS223" s="2308"/>
      <c r="AT223" s="2308"/>
      <c r="AU223" s="2308"/>
      <c r="AV223" s="2308"/>
      <c r="AW223" s="2308"/>
      <c r="AX223" s="2308"/>
      <c r="AY223" s="2308"/>
      <c r="AZ223" s="2308"/>
      <c r="BA223" s="2308"/>
      <c r="BB223" s="2308"/>
      <c r="BC223" s="2308"/>
      <c r="BD223" s="2309"/>
      <c r="BE223" s="1196"/>
    </row>
    <row r="224" spans="1:57" ht="15.75" customHeight="1">
      <c r="A224" s="1192"/>
      <c r="B224" s="2307" t="s">
        <v>2294</v>
      </c>
      <c r="C224" s="2308"/>
      <c r="D224" s="2308"/>
      <c r="E224" s="2308"/>
      <c r="F224" s="2308"/>
      <c r="G224" s="2308"/>
      <c r="H224" s="2308"/>
      <c r="I224" s="2308"/>
      <c r="J224" s="2308"/>
      <c r="K224" s="2308"/>
      <c r="L224" s="2308"/>
      <c r="M224" s="2308"/>
      <c r="N224" s="2308"/>
      <c r="O224" s="2308"/>
      <c r="P224" s="2308"/>
      <c r="Q224" s="2308"/>
      <c r="R224" s="2308"/>
      <c r="S224" s="2308"/>
      <c r="T224" s="2308"/>
      <c r="U224" s="2308"/>
      <c r="V224" s="2308"/>
      <c r="W224" s="2308"/>
      <c r="X224" s="2308"/>
      <c r="Y224" s="2308"/>
      <c r="Z224" s="2308"/>
      <c r="AA224" s="2308"/>
      <c r="AB224" s="2308"/>
      <c r="AC224" s="2308"/>
      <c r="AD224" s="2308"/>
      <c r="AE224" s="2308"/>
      <c r="AF224" s="2308"/>
      <c r="AG224" s="2308"/>
      <c r="AH224" s="2308"/>
      <c r="AI224" s="2308"/>
      <c r="AJ224" s="2308"/>
      <c r="AK224" s="2308"/>
      <c r="AL224" s="2308"/>
      <c r="AM224" s="2308"/>
      <c r="AN224" s="2308"/>
      <c r="AO224" s="2308"/>
      <c r="AP224" s="2308"/>
      <c r="AQ224" s="2308"/>
      <c r="AR224" s="2308"/>
      <c r="AS224" s="2308"/>
      <c r="AT224" s="2308"/>
      <c r="AU224" s="2308"/>
      <c r="AV224" s="2308"/>
      <c r="AW224" s="2308"/>
      <c r="AX224" s="2308"/>
      <c r="AY224" s="2308"/>
      <c r="AZ224" s="2308"/>
      <c r="BA224" s="2308"/>
      <c r="BB224" s="2308"/>
      <c r="BC224" s="2308"/>
      <c r="BD224" s="2309"/>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10" t="s">
        <v>2293</v>
      </c>
      <c r="C226" s="2200"/>
      <c r="D226" s="2200"/>
      <c r="E226" s="2200"/>
      <c r="F226" s="2200"/>
      <c r="G226" s="2200"/>
      <c r="H226" s="2200"/>
      <c r="I226" s="2200"/>
      <c r="J226" s="2200"/>
      <c r="K226" s="2200"/>
      <c r="L226" s="2200"/>
      <c r="M226" s="2200"/>
      <c r="N226" s="2200"/>
      <c r="O226" s="2200"/>
      <c r="P226" s="2200"/>
      <c r="Q226" s="2200"/>
      <c r="R226" s="2200"/>
      <c r="S226" s="2200"/>
      <c r="T226" s="2200"/>
      <c r="U226" s="2200"/>
      <c r="V226" s="2200"/>
      <c r="W226" s="2200"/>
      <c r="X226" s="2200"/>
      <c r="Y226" s="2200"/>
      <c r="Z226" s="2200"/>
      <c r="AA226" s="2200"/>
      <c r="AB226" s="2200"/>
      <c r="AC226" s="2200"/>
      <c r="AD226" s="2200"/>
      <c r="AE226" s="2200"/>
      <c r="AF226" s="2200"/>
      <c r="AG226" s="2200"/>
      <c r="AH226" s="2200"/>
      <c r="AI226" s="2200"/>
      <c r="AJ226" s="2200"/>
      <c r="AK226" s="2200"/>
      <c r="AL226" s="2200"/>
      <c r="AM226" s="2200"/>
      <c r="AN226" s="2200"/>
      <c r="AO226" s="2200"/>
      <c r="AP226" s="2200"/>
      <c r="AQ226" s="2200"/>
      <c r="AR226" s="2200"/>
      <c r="AS226" s="2200"/>
      <c r="AT226" s="2200"/>
      <c r="AU226" s="2200"/>
      <c r="AV226" s="2200"/>
      <c r="AW226" s="2200"/>
      <c r="AX226" s="2200"/>
      <c r="AY226" s="2200"/>
      <c r="AZ226" s="2200"/>
      <c r="BA226" s="2200"/>
      <c r="BB226" s="2200"/>
      <c r="BC226" s="2200"/>
      <c r="BD226" s="2311"/>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2" t="s">
        <v>2291</v>
      </c>
      <c r="I230" s="2312"/>
      <c r="J230" s="2312"/>
      <c r="K230" s="2312"/>
      <c r="L230" s="2312"/>
      <c r="M230" s="2312"/>
      <c r="N230" s="2312"/>
      <c r="O230" s="2312"/>
      <c r="P230" s="2312"/>
      <c r="Q230" s="2312"/>
      <c r="R230" s="2312"/>
      <c r="S230" s="2312"/>
      <c r="T230" s="2312"/>
      <c r="U230" s="2312"/>
      <c r="V230" s="2312"/>
      <c r="W230" s="2312"/>
      <c r="X230" s="2312"/>
      <c r="Y230" s="2312"/>
      <c r="Z230" s="2312"/>
      <c r="AA230" s="2312"/>
      <c r="AB230" s="2312"/>
      <c r="AC230" s="2312"/>
      <c r="AD230" s="2312"/>
      <c r="AE230" s="2312"/>
      <c r="AF230" s="2312"/>
      <c r="AG230" s="2312"/>
      <c r="AH230" s="2312"/>
      <c r="AI230" s="2312"/>
      <c r="AJ230" s="2312"/>
      <c r="AK230" s="2312"/>
      <c r="AL230" s="2312"/>
      <c r="AM230" s="2312"/>
      <c r="AN230" s="2312"/>
      <c r="AO230" s="2312"/>
      <c r="AP230" s="2312"/>
      <c r="AQ230" s="2312"/>
      <c r="AR230" s="2312"/>
      <c r="AS230" s="2312"/>
      <c r="AT230" s="2312"/>
      <c r="AU230" s="2312"/>
      <c r="AV230" s="2312"/>
      <c r="AW230" s="2312"/>
      <c r="AX230" s="2312"/>
      <c r="AY230" s="2312"/>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30" t="s">
        <v>2290</v>
      </c>
      <c r="I232" s="2330"/>
      <c r="J232" s="2330"/>
      <c r="K232" s="2330"/>
      <c r="L232" s="2330"/>
      <c r="M232" s="2330"/>
      <c r="N232" s="2330"/>
      <c r="O232" s="2330"/>
      <c r="P232" s="2330"/>
      <c r="Q232" s="2330"/>
      <c r="R232" s="2330"/>
      <c r="S232" s="2330"/>
      <c r="T232" s="2330"/>
      <c r="U232" s="2330"/>
      <c r="V232" s="2330"/>
      <c r="W232" s="2330"/>
      <c r="X232" s="2330"/>
      <c r="Y232" s="2330"/>
      <c r="Z232" s="2330"/>
      <c r="AA232" s="2330"/>
      <c r="AB232" s="2330"/>
      <c r="AC232" s="2330"/>
      <c r="AD232" s="2330"/>
      <c r="AE232" s="2330"/>
      <c r="AF232" s="2330"/>
      <c r="AG232" s="2330"/>
      <c r="AH232" s="2330"/>
      <c r="AI232" s="2330"/>
      <c r="AJ232" s="2330"/>
      <c r="AK232" s="2330"/>
      <c r="AL232" s="2330"/>
      <c r="AM232" s="2330"/>
      <c r="AN232" s="2330"/>
      <c r="AO232" s="2330"/>
      <c r="AP232" s="2330"/>
      <c r="AQ232" s="2330"/>
      <c r="AR232" s="2330"/>
      <c r="AS232" s="2330"/>
      <c r="AT232" s="2330"/>
      <c r="AU232" s="2330"/>
      <c r="AV232" s="2330"/>
      <c r="AW232" s="2330"/>
      <c r="AX232" s="2330"/>
      <c r="AY232" s="2330"/>
      <c r="AZ232" s="2330"/>
      <c r="BA232" s="1192"/>
      <c r="BB232" s="1192"/>
      <c r="BC232" s="1192"/>
      <c r="BD232" s="1196"/>
      <c r="BE232" s="1196"/>
    </row>
    <row r="233" spans="1:57" ht="15.75" customHeight="1">
      <c r="A233" s="1192"/>
      <c r="B233" s="1191"/>
      <c r="C233" s="1192"/>
      <c r="D233" s="1192"/>
      <c r="E233" s="1192"/>
      <c r="F233" s="1192"/>
      <c r="G233" s="1192"/>
      <c r="H233" s="2330"/>
      <c r="I233" s="2330"/>
      <c r="J233" s="2330"/>
      <c r="K233" s="2330"/>
      <c r="L233" s="2330"/>
      <c r="M233" s="2330"/>
      <c r="N233" s="2330"/>
      <c r="O233" s="2330"/>
      <c r="P233" s="2330"/>
      <c r="Q233" s="2330"/>
      <c r="R233" s="2330"/>
      <c r="S233" s="2330"/>
      <c r="T233" s="2330"/>
      <c r="U233" s="2330"/>
      <c r="V233" s="2330"/>
      <c r="W233" s="2330"/>
      <c r="X233" s="2330"/>
      <c r="Y233" s="2330"/>
      <c r="Z233" s="2330"/>
      <c r="AA233" s="2330"/>
      <c r="AB233" s="2330"/>
      <c r="AC233" s="2330"/>
      <c r="AD233" s="2330"/>
      <c r="AE233" s="2330"/>
      <c r="AF233" s="2330"/>
      <c r="AG233" s="2330"/>
      <c r="AH233" s="2330"/>
      <c r="AI233" s="2330"/>
      <c r="AJ233" s="2330"/>
      <c r="AK233" s="2330"/>
      <c r="AL233" s="2330"/>
      <c r="AM233" s="2330"/>
      <c r="AN233" s="2330"/>
      <c r="AO233" s="2330"/>
      <c r="AP233" s="2330"/>
      <c r="AQ233" s="2330"/>
      <c r="AR233" s="2330"/>
      <c r="AS233" s="2330"/>
      <c r="AT233" s="2330"/>
      <c r="AU233" s="2330"/>
      <c r="AV233" s="2330"/>
      <c r="AW233" s="2330"/>
      <c r="AX233" s="2330"/>
      <c r="AY233" s="2330"/>
      <c r="AZ233" s="2330"/>
      <c r="BA233" s="1192"/>
      <c r="BB233" s="1192"/>
      <c r="BC233" s="1192"/>
      <c r="BD233" s="1196"/>
      <c r="BE233" s="1196"/>
    </row>
    <row r="234" spans="1:57" ht="15.75" customHeight="1">
      <c r="A234" s="1192"/>
      <c r="B234" s="1191"/>
      <c r="C234" s="1192"/>
      <c r="D234" s="1192"/>
      <c r="E234" s="1192"/>
      <c r="F234" s="1192"/>
      <c r="G234" s="1192"/>
      <c r="H234" s="2330"/>
      <c r="I234" s="2330"/>
      <c r="J234" s="2330"/>
      <c r="K234" s="2330"/>
      <c r="L234" s="2330"/>
      <c r="M234" s="2330"/>
      <c r="N234" s="2330"/>
      <c r="O234" s="2330"/>
      <c r="P234" s="2330"/>
      <c r="Q234" s="2330"/>
      <c r="R234" s="2330"/>
      <c r="S234" s="2330"/>
      <c r="T234" s="2330"/>
      <c r="U234" s="2330"/>
      <c r="V234" s="2330"/>
      <c r="W234" s="2330"/>
      <c r="X234" s="2330"/>
      <c r="Y234" s="2330"/>
      <c r="Z234" s="2330"/>
      <c r="AA234" s="2330"/>
      <c r="AB234" s="2330"/>
      <c r="AC234" s="2330"/>
      <c r="AD234" s="2330"/>
      <c r="AE234" s="2330"/>
      <c r="AF234" s="2330"/>
      <c r="AG234" s="2330"/>
      <c r="AH234" s="2330"/>
      <c r="AI234" s="2330"/>
      <c r="AJ234" s="2330"/>
      <c r="AK234" s="2330"/>
      <c r="AL234" s="2330"/>
      <c r="AM234" s="2330"/>
      <c r="AN234" s="2330"/>
      <c r="AO234" s="2330"/>
      <c r="AP234" s="2330"/>
      <c r="AQ234" s="2330"/>
      <c r="AR234" s="2330"/>
      <c r="AS234" s="2330"/>
      <c r="AT234" s="2330"/>
      <c r="AU234" s="2330"/>
      <c r="AV234" s="2330"/>
      <c r="AW234" s="2330"/>
      <c r="AX234" s="2330"/>
      <c r="AY234" s="2330"/>
      <c r="AZ234" s="2330"/>
      <c r="BA234" s="1192"/>
      <c r="BB234" s="1192"/>
      <c r="BC234" s="1192"/>
      <c r="BD234" s="1196"/>
      <c r="BE234" s="1196"/>
    </row>
    <row r="235" spans="1:57" ht="15.75" customHeight="1">
      <c r="A235" s="1192"/>
      <c r="B235" s="1191"/>
      <c r="C235" s="1192"/>
      <c r="D235" s="1192"/>
      <c r="E235" s="1192"/>
      <c r="F235" s="1192"/>
      <c r="G235" s="1192"/>
      <c r="H235" s="2330"/>
      <c r="I235" s="2330"/>
      <c r="J235" s="2330"/>
      <c r="K235" s="2330"/>
      <c r="L235" s="2330"/>
      <c r="M235" s="2330"/>
      <c r="N235" s="2330"/>
      <c r="O235" s="2330"/>
      <c r="P235" s="2330"/>
      <c r="Q235" s="2330"/>
      <c r="R235" s="2330"/>
      <c r="S235" s="2330"/>
      <c r="T235" s="2330"/>
      <c r="U235" s="2330"/>
      <c r="V235" s="2330"/>
      <c r="W235" s="2330"/>
      <c r="X235" s="2330"/>
      <c r="Y235" s="2330"/>
      <c r="Z235" s="2330"/>
      <c r="AA235" s="2330"/>
      <c r="AB235" s="2330"/>
      <c r="AC235" s="2330"/>
      <c r="AD235" s="2330"/>
      <c r="AE235" s="2330"/>
      <c r="AF235" s="2330"/>
      <c r="AG235" s="2330"/>
      <c r="AH235" s="2330"/>
      <c r="AI235" s="2330"/>
      <c r="AJ235" s="2330"/>
      <c r="AK235" s="2330"/>
      <c r="AL235" s="2330"/>
      <c r="AM235" s="2330"/>
      <c r="AN235" s="2330"/>
      <c r="AO235" s="2330"/>
      <c r="AP235" s="2330"/>
      <c r="AQ235" s="2330"/>
      <c r="AR235" s="2330"/>
      <c r="AS235" s="2330"/>
      <c r="AT235" s="2330"/>
      <c r="AU235" s="2330"/>
      <c r="AV235" s="2330"/>
      <c r="AW235" s="2330"/>
      <c r="AX235" s="2330"/>
      <c r="AY235" s="2330"/>
      <c r="AZ235" s="2330"/>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1" t="s">
        <v>2289</v>
      </c>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2331"/>
      <c r="AD237" s="2331"/>
      <c r="AE237" s="2331"/>
      <c r="AF237" s="2331"/>
      <c r="AG237" s="2331"/>
      <c r="AH237" s="2331"/>
      <c r="AI237" s="2331"/>
      <c r="AJ237" s="2331"/>
      <c r="AK237" s="2331"/>
      <c r="AL237" s="2331"/>
      <c r="AM237" s="2331"/>
      <c r="AN237" s="2331"/>
      <c r="AO237" s="2331"/>
      <c r="AP237" s="2331"/>
      <c r="AQ237" s="2331"/>
      <c r="AR237" s="2331"/>
      <c r="AS237" s="2331"/>
      <c r="AT237" s="2331"/>
      <c r="AU237" s="2331"/>
      <c r="AV237" s="2331"/>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1" t="s">
        <v>2288</v>
      </c>
      <c r="I239" s="2321"/>
      <c r="J239" s="2321"/>
      <c r="K239" s="2321"/>
      <c r="L239" s="1243"/>
      <c r="M239" s="1243"/>
      <c r="N239" s="1243"/>
      <c r="O239" s="1243"/>
      <c r="P239" s="1243"/>
      <c r="Q239" s="1243"/>
      <c r="R239" s="1243"/>
      <c r="S239" s="2332"/>
      <c r="T239" s="2333"/>
      <c r="U239" s="2333"/>
      <c r="V239" s="2333"/>
      <c r="W239" s="2333"/>
      <c r="X239" s="2333"/>
      <c r="Y239" s="2333"/>
      <c r="Z239" s="2333"/>
      <c r="AA239" s="2333"/>
      <c r="AB239" s="2333"/>
      <c r="AC239" s="2333"/>
      <c r="AD239" s="2333"/>
      <c r="AE239" s="2333"/>
      <c r="AF239" s="2333"/>
      <c r="AG239" s="2333"/>
      <c r="AH239" s="2333"/>
      <c r="AI239" s="2333"/>
      <c r="AJ239" s="2334"/>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1" t="s">
        <v>2287</v>
      </c>
      <c r="I241" s="2321"/>
      <c r="J241" s="2321"/>
      <c r="K241" s="1245"/>
      <c r="L241" s="1243"/>
      <c r="M241" s="1243"/>
      <c r="N241" s="1243"/>
      <c r="O241" s="1243"/>
      <c r="P241" s="1243"/>
      <c r="Q241" s="1243"/>
      <c r="R241" s="1243"/>
      <c r="S241" s="2322"/>
      <c r="T241" s="2323"/>
      <c r="U241" s="2323"/>
      <c r="V241" s="2323"/>
      <c r="W241" s="2323"/>
      <c r="X241" s="2323"/>
      <c r="Y241" s="2323"/>
      <c r="Z241" s="2323"/>
      <c r="AA241" s="2323"/>
      <c r="AB241" s="2323"/>
      <c r="AC241" s="2323"/>
      <c r="AD241" s="2323"/>
      <c r="AE241" s="2323"/>
      <c r="AF241" s="2323"/>
      <c r="AG241" s="2323"/>
      <c r="AH241" s="2323"/>
      <c r="AI241" s="2323"/>
      <c r="AJ241" s="2324"/>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1" t="s">
        <v>441</v>
      </c>
      <c r="I243" s="2321"/>
      <c r="J243" s="1245"/>
      <c r="K243" s="1245"/>
      <c r="L243" s="1243"/>
      <c r="M243" s="1243"/>
      <c r="N243" s="1243"/>
      <c r="O243" s="1243"/>
      <c r="P243" s="1243"/>
      <c r="Q243" s="1243"/>
      <c r="R243" s="1243"/>
      <c r="S243" s="2322"/>
      <c r="T243" s="2323"/>
      <c r="U243" s="2323"/>
      <c r="V243" s="2323"/>
      <c r="W243" s="2323"/>
      <c r="X243" s="2323"/>
      <c r="Y243" s="2323"/>
      <c r="Z243" s="2323"/>
      <c r="AA243" s="2323"/>
      <c r="AB243" s="2323"/>
      <c r="AC243" s="2323"/>
      <c r="AD243" s="2323"/>
      <c r="AE243" s="2323"/>
      <c r="AF243" s="2323"/>
      <c r="AG243" s="2323"/>
      <c r="AH243" s="2323"/>
      <c r="AI243" s="2323"/>
      <c r="AJ243" s="2324"/>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5" t="s">
        <v>2286</v>
      </c>
      <c r="I245" s="2325"/>
      <c r="J245" s="2325"/>
      <c r="K245" s="2325"/>
      <c r="L245" s="2325"/>
      <c r="M245" s="2325"/>
      <c r="N245" s="2325"/>
      <c r="O245" s="2325"/>
      <c r="P245" s="1243"/>
      <c r="Q245" s="1243"/>
      <c r="R245" s="1243"/>
      <c r="S245" s="2322"/>
      <c r="T245" s="2323"/>
      <c r="U245" s="2323"/>
      <c r="V245" s="2323"/>
      <c r="W245" s="2323"/>
      <c r="X245" s="2323"/>
      <c r="Y245" s="2323"/>
      <c r="Z245" s="2323"/>
      <c r="AA245" s="2323"/>
      <c r="AB245" s="2323"/>
      <c r="AC245" s="2323"/>
      <c r="AD245" s="2323"/>
      <c r="AE245" s="2323"/>
      <c r="AF245" s="2323"/>
      <c r="AG245" s="2323"/>
      <c r="AH245" s="2323"/>
      <c r="AI245" s="2323"/>
      <c r="AJ245" s="2324"/>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6" t="s">
        <v>2285</v>
      </c>
      <c r="I247" s="2326"/>
      <c r="J247" s="1243"/>
      <c r="K247" s="1243"/>
      <c r="L247" s="1243"/>
      <c r="M247" s="1243"/>
      <c r="N247" s="1243"/>
      <c r="O247" s="1243"/>
      <c r="P247" s="1243"/>
      <c r="Q247" s="1243"/>
      <c r="R247" s="1243"/>
      <c r="S247" s="2327"/>
      <c r="T247" s="2328"/>
      <c r="U247" s="2328"/>
      <c r="V247" s="2328"/>
      <c r="W247" s="2328"/>
      <c r="X247" s="2328"/>
      <c r="Y247" s="2328"/>
      <c r="Z247" s="2328"/>
      <c r="AA247" s="2328"/>
      <c r="AB247" s="2328"/>
      <c r="AC247" s="2328"/>
      <c r="AD247" s="2328"/>
      <c r="AE247" s="2328"/>
      <c r="AF247" s="2328"/>
      <c r="AG247" s="2328"/>
      <c r="AH247" s="2328"/>
      <c r="AI247" s="2328"/>
      <c r="AJ247" s="2329"/>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5" customWidth="1"/>
    <col min="41" max="41" width="5.42578125" style="30" hidden="1"/>
    <col min="42" max="45" width="5.42578125" style="14" hidden="1"/>
    <col min="46" max="46" width="10.85546875" style="14" hidden="1"/>
    <col min="47" max="48" width="5.42578125" style="14" hidden="1"/>
    <col min="49" max="49" width="8.7109375" style="14" hidden="1"/>
    <col min="50" max="50" width="7.42578125" style="14" hidden="1"/>
    <col min="51" max="55" width="5.42578125" style="14" hidden="1"/>
    <col min="56" max="60" width="5.42578125" style="32" hidden="1"/>
    <col min="61" max="81" width="5.42578125" style="14" hidden="1"/>
    <col min="82" max="16384" width="9.140625" style="14" hidden="1"/>
  </cols>
  <sheetData>
    <row r="1" spans="1:42" ht="15.75" customHeight="1">
      <c r="A1" s="2565" t="s">
        <v>1300</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row>
    <row r="2" spans="1:42" s="537" customFormat="1" ht="12.75" customHeight="1" thickBot="1">
      <c r="A2" s="2566"/>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6" t="s">
        <v>1305</v>
      </c>
      <c r="AF7" s="2406"/>
      <c r="AG7" s="2406"/>
      <c r="AH7" s="2406"/>
      <c r="AI7" s="2406"/>
      <c r="AJ7" s="2406"/>
      <c r="AK7" s="2406"/>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9" t="s">
        <v>591</v>
      </c>
      <c r="C13" s="2559"/>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67"/>
      <c r="AH13" s="2567"/>
      <c r="AI13" s="2567"/>
      <c r="AJ13" s="256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9" t="s">
        <v>591</v>
      </c>
      <c r="C16" s="2559"/>
      <c r="D16" s="548"/>
      <c r="E16" s="2551" t="s">
        <v>1307</v>
      </c>
      <c r="F16" s="2552"/>
      <c r="G16" s="2552"/>
      <c r="H16" s="2552"/>
      <c r="I16" s="2552"/>
      <c r="J16" s="2552"/>
      <c r="K16" s="2552"/>
      <c r="L16" s="2552"/>
      <c r="M16" s="2552"/>
      <c r="N16" s="2552"/>
      <c r="O16" s="2552"/>
      <c r="P16" s="2552"/>
      <c r="Q16" s="2552"/>
      <c r="R16" s="2552"/>
      <c r="S16" s="2552"/>
      <c r="T16" s="2552"/>
      <c r="U16" s="2552"/>
      <c r="V16" s="2552"/>
      <c r="W16" s="2552"/>
      <c r="X16" s="2552"/>
      <c r="Y16" s="2552"/>
      <c r="Z16" s="2552"/>
      <c r="AA16" s="2552"/>
      <c r="AB16" s="2552"/>
      <c r="AC16" s="2552"/>
      <c r="AD16" s="2552"/>
      <c r="AE16" s="2552"/>
      <c r="AF16" s="2552"/>
      <c r="AG16" s="2552"/>
      <c r="AH16" s="2552"/>
      <c r="AI16" s="2552"/>
      <c r="AJ16" s="2553"/>
      <c r="AK16" s="541"/>
      <c r="AL16" s="541"/>
      <c r="AM16" s="541"/>
      <c r="AN16" s="536"/>
      <c r="AO16" s="551">
        <f>IF($B25="yes",20,0)</f>
        <v>0</v>
      </c>
      <c r="AP16" s="14"/>
    </row>
    <row r="17" spans="1:42" s="537" customFormat="1" ht="12.75" customHeight="1">
      <c r="A17" s="541"/>
      <c r="B17" s="541"/>
      <c r="C17" s="541"/>
      <c r="D17" s="552"/>
      <c r="E17" s="2554"/>
      <c r="F17" s="2555"/>
      <c r="G17" s="2555"/>
      <c r="H17" s="2555"/>
      <c r="I17" s="2555"/>
      <c r="J17" s="2555"/>
      <c r="K17" s="2555"/>
      <c r="L17" s="2555"/>
      <c r="M17" s="2555"/>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6"/>
      <c r="AK17" s="541"/>
      <c r="AL17" s="541"/>
      <c r="AM17" s="541"/>
      <c r="AN17" s="536"/>
      <c r="AO17" s="551">
        <f>IF($B28="yes",20,0)</f>
        <v>0</v>
      </c>
    </row>
    <row r="18" spans="1:42" s="537" customFormat="1" ht="12.75" customHeight="1">
      <c r="A18" s="541"/>
      <c r="B18" s="541"/>
      <c r="C18" s="541"/>
      <c r="D18" s="552"/>
      <c r="E18" s="2554"/>
      <c r="F18" s="2555"/>
      <c r="G18" s="2555"/>
      <c r="H18" s="2555"/>
      <c r="I18" s="2555"/>
      <c r="J18" s="2555"/>
      <c r="K18" s="2555"/>
      <c r="L18" s="2555"/>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6"/>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75"/>
      <c r="F20" s="2576"/>
      <c r="G20" s="2576"/>
      <c r="H20" s="2576"/>
      <c r="I20" s="2576"/>
      <c r="J20" s="2576"/>
      <c r="K20" s="2576"/>
      <c r="L20" s="2576"/>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9" t="s">
        <v>591</v>
      </c>
      <c r="C22" s="2559"/>
      <c r="D22" s="548"/>
      <c r="E22" s="2569" t="s">
        <v>1310</v>
      </c>
      <c r="F22" s="2570"/>
      <c r="G22" s="2570"/>
      <c r="H22" s="2570"/>
      <c r="I22" s="2570"/>
      <c r="J22" s="2570"/>
      <c r="K22" s="2570"/>
      <c r="L22" s="2570"/>
      <c r="M22" s="2570"/>
      <c r="N22" s="2570"/>
      <c r="O22" s="2570"/>
      <c r="P22" s="2570"/>
      <c r="Q22" s="2570"/>
      <c r="R22" s="2570"/>
      <c r="S22" s="2570"/>
      <c r="T22" s="2570"/>
      <c r="U22" s="2570"/>
      <c r="V22" s="2570"/>
      <c r="W22" s="2570"/>
      <c r="X22" s="2570"/>
      <c r="Y22" s="2570"/>
      <c r="Z22" s="2570"/>
      <c r="AA22" s="2570"/>
      <c r="AB22" s="2570"/>
      <c r="AC22" s="2570"/>
      <c r="AD22" s="2570"/>
      <c r="AE22" s="2570"/>
      <c r="AF22" s="2570"/>
      <c r="AG22" s="2570"/>
      <c r="AH22" s="2570"/>
      <c r="AI22" s="2570"/>
      <c r="AJ22" s="2571"/>
      <c r="AK22" s="541"/>
      <c r="AL22" s="541"/>
      <c r="AM22" s="541"/>
      <c r="AN22" s="536"/>
      <c r="AO22" s="551">
        <f>IF($B40="yes",14,0)</f>
        <v>0</v>
      </c>
    </row>
    <row r="23" spans="1:42" s="537" customFormat="1" ht="12.75" customHeight="1">
      <c r="A23" s="541"/>
      <c r="B23" s="541"/>
      <c r="C23" s="541"/>
      <c r="D23" s="551"/>
      <c r="E23" s="2572"/>
      <c r="F23" s="2573"/>
      <c r="G23" s="2573"/>
      <c r="H23" s="2573"/>
      <c r="I23" s="2573"/>
      <c r="J23" s="2573"/>
      <c r="K23" s="2573"/>
      <c r="L23" s="2573"/>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4"/>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9" t="s">
        <v>591</v>
      </c>
      <c r="C25" s="2559"/>
      <c r="D25" s="548"/>
      <c r="E25" s="2486" t="s">
        <v>2035</v>
      </c>
      <c r="F25" s="2487"/>
      <c r="G25" s="2487"/>
      <c r="H25" s="2487"/>
      <c r="I25" s="2487"/>
      <c r="J25" s="2487"/>
      <c r="K25" s="2487"/>
      <c r="L25" s="2487"/>
      <c r="M25" s="2487"/>
      <c r="N25" s="2487"/>
      <c r="O25" s="2487"/>
      <c r="P25" s="2487"/>
      <c r="Q25" s="2487"/>
      <c r="R25" s="2487"/>
      <c r="S25" s="2487"/>
      <c r="T25" s="2487"/>
      <c r="U25" s="2487"/>
      <c r="V25" s="2487"/>
      <c r="W25" s="2487"/>
      <c r="X25" s="2487"/>
      <c r="Y25" s="2487"/>
      <c r="Z25" s="2487"/>
      <c r="AA25" s="2487"/>
      <c r="AB25" s="2487"/>
      <c r="AC25" s="2487"/>
      <c r="AD25" s="2487"/>
      <c r="AE25" s="2487"/>
      <c r="AF25" s="2487"/>
      <c r="AG25" s="2487"/>
      <c r="AH25" s="2487"/>
      <c r="AI25" s="2487"/>
      <c r="AJ25" s="2488"/>
      <c r="AK25" s="541"/>
      <c r="AL25" s="541"/>
      <c r="AM25" s="541"/>
      <c r="AN25" s="536"/>
      <c r="AO25" s="551">
        <f>IF($B45="yes",6,0)</f>
        <v>0</v>
      </c>
    </row>
    <row r="26" spans="1:42" s="537" customFormat="1" ht="12.75" customHeight="1">
      <c r="A26" s="541"/>
      <c r="B26" s="541"/>
      <c r="C26" s="541"/>
      <c r="D26" s="551"/>
      <c r="E26" s="2511"/>
      <c r="F26" s="2512"/>
      <c r="G26" s="2512"/>
      <c r="H26" s="2512"/>
      <c r="I26" s="2512"/>
      <c r="J26" s="2512"/>
      <c r="K26" s="2512"/>
      <c r="L26" s="2512"/>
      <c r="M26" s="2512"/>
      <c r="N26" s="2512"/>
      <c r="O26" s="2512"/>
      <c r="P26" s="2512"/>
      <c r="Q26" s="2512"/>
      <c r="R26" s="2512"/>
      <c r="S26" s="2512"/>
      <c r="T26" s="2512"/>
      <c r="U26" s="2512"/>
      <c r="V26" s="2512"/>
      <c r="W26" s="2512"/>
      <c r="X26" s="2512"/>
      <c r="Y26" s="2512"/>
      <c r="Z26" s="2512"/>
      <c r="AA26" s="2512"/>
      <c r="AB26" s="2512"/>
      <c r="AC26" s="2512"/>
      <c r="AD26" s="2512"/>
      <c r="AE26" s="2512"/>
      <c r="AF26" s="2512"/>
      <c r="AG26" s="2512"/>
      <c r="AH26" s="2512"/>
      <c r="AI26" s="2512"/>
      <c r="AJ26" s="2513"/>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9" t="s">
        <v>591</v>
      </c>
      <c r="C28" s="2559"/>
      <c r="D28" s="548"/>
      <c r="E28" s="2588" t="s">
        <v>2252</v>
      </c>
      <c r="F28" s="2589"/>
      <c r="G28" s="2589"/>
      <c r="H28" s="2589"/>
      <c r="I28" s="2589"/>
      <c r="J28" s="2589"/>
      <c r="K28" s="2589"/>
      <c r="L28" s="2589"/>
      <c r="M28" s="2589"/>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90"/>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559" t="s">
        <v>591</v>
      </c>
      <c r="C33" s="2559"/>
      <c r="D33" s="548"/>
      <c r="E33" s="2569" t="s">
        <v>2254</v>
      </c>
      <c r="F33" s="2570"/>
      <c r="G33" s="2570"/>
      <c r="H33" s="2570"/>
      <c r="I33" s="2570"/>
      <c r="J33" s="2570"/>
      <c r="K33" s="2570"/>
      <c r="L33" s="2570"/>
      <c r="M33" s="2570"/>
      <c r="N33" s="2570"/>
      <c r="O33" s="2570"/>
      <c r="P33" s="2570"/>
      <c r="Q33" s="2570"/>
      <c r="R33" s="2570"/>
      <c r="S33" s="2570"/>
      <c r="T33" s="2570"/>
      <c r="U33" s="2570"/>
      <c r="V33" s="2570"/>
      <c r="W33" s="2570"/>
      <c r="X33" s="2570"/>
      <c r="Y33" s="2570"/>
      <c r="Z33" s="2570"/>
      <c r="AA33" s="2570"/>
      <c r="AB33" s="2570"/>
      <c r="AC33" s="2570"/>
      <c r="AD33" s="2570"/>
      <c r="AE33" s="2570"/>
      <c r="AF33" s="2570"/>
      <c r="AG33" s="2570"/>
      <c r="AH33" s="2570"/>
      <c r="AI33" s="2570"/>
      <c r="AJ33" s="2571"/>
      <c r="AK33" s="541"/>
      <c r="AL33" s="541"/>
      <c r="AM33" s="541"/>
      <c r="AN33" s="536"/>
      <c r="AO33" s="551"/>
    </row>
    <row r="34" spans="1:41" s="537" customFormat="1" ht="12.75" customHeight="1">
      <c r="A34" s="541"/>
      <c r="B34" s="541"/>
      <c r="C34" s="541"/>
      <c r="E34" s="2572"/>
      <c r="F34" s="2573"/>
      <c r="G34" s="257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9" t="s">
        <v>591</v>
      </c>
      <c r="C36" s="2559"/>
      <c r="D36" s="548"/>
      <c r="E36" s="2486" t="s">
        <v>2255</v>
      </c>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c r="AJ36" s="2488"/>
      <c r="AK36" s="541"/>
      <c r="AL36" s="541"/>
      <c r="AM36" s="541"/>
      <c r="AN36" s="536"/>
    </row>
    <row r="37" spans="1:41" s="537" customFormat="1" ht="12.75" customHeight="1">
      <c r="A37" s="541"/>
      <c r="B37" s="541"/>
      <c r="C37" s="541"/>
      <c r="E37" s="2489"/>
      <c r="F37" s="2490"/>
      <c r="G37" s="2490"/>
      <c r="H37" s="2490"/>
      <c r="I37" s="2490"/>
      <c r="J37" s="2490"/>
      <c r="K37" s="2490"/>
      <c r="L37" s="2490"/>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1"/>
      <c r="AK37" s="541"/>
      <c r="AL37" s="541"/>
      <c r="AM37" s="541"/>
      <c r="AN37" s="536"/>
    </row>
    <row r="38" spans="1:41" s="537" customFormat="1" ht="12.75" customHeight="1">
      <c r="A38" s="541"/>
      <c r="B38" s="541"/>
      <c r="C38" s="541"/>
      <c r="E38" s="2511"/>
      <c r="F38" s="2512"/>
      <c r="G38" s="2512"/>
      <c r="H38" s="2512"/>
      <c r="I38" s="2512"/>
      <c r="J38" s="2512"/>
      <c r="K38" s="2512"/>
      <c r="L38" s="2512"/>
      <c r="M38" s="2512"/>
      <c r="N38" s="2512"/>
      <c r="O38" s="2512"/>
      <c r="P38" s="2512"/>
      <c r="Q38" s="2512"/>
      <c r="R38" s="2512"/>
      <c r="S38" s="2512"/>
      <c r="T38" s="2512"/>
      <c r="U38" s="2512"/>
      <c r="V38" s="2512"/>
      <c r="W38" s="2512"/>
      <c r="X38" s="2512"/>
      <c r="Y38" s="2512"/>
      <c r="Z38" s="2512"/>
      <c r="AA38" s="2512"/>
      <c r="AB38" s="2512"/>
      <c r="AC38" s="2512"/>
      <c r="AD38" s="2512"/>
      <c r="AE38" s="2512"/>
      <c r="AF38" s="2512"/>
      <c r="AG38" s="2512"/>
      <c r="AH38" s="2512"/>
      <c r="AI38" s="2512"/>
      <c r="AJ38" s="251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59" t="s">
        <v>591</v>
      </c>
      <c r="C40" s="2559"/>
      <c r="D40" s="548"/>
      <c r="E40" s="2486" t="s">
        <v>2253</v>
      </c>
      <c r="F40" s="2487"/>
      <c r="G40" s="2487"/>
      <c r="H40" s="2487"/>
      <c r="I40" s="2487"/>
      <c r="J40" s="2487"/>
      <c r="K40" s="2487"/>
      <c r="L40" s="2487"/>
      <c r="M40" s="2487"/>
      <c r="N40" s="2487"/>
      <c r="O40" s="2487"/>
      <c r="P40" s="2487"/>
      <c r="Q40" s="2487"/>
      <c r="R40" s="2487"/>
      <c r="S40" s="2487"/>
      <c r="T40" s="2487"/>
      <c r="U40" s="2487"/>
      <c r="V40" s="2487"/>
      <c r="W40" s="2487"/>
      <c r="X40" s="2487"/>
      <c r="Y40" s="2487"/>
      <c r="Z40" s="2487"/>
      <c r="AA40" s="2487"/>
      <c r="AB40" s="2487"/>
      <c r="AC40" s="2487"/>
      <c r="AD40" s="2487"/>
      <c r="AE40" s="2487"/>
      <c r="AF40" s="2487"/>
      <c r="AG40" s="2487"/>
      <c r="AH40" s="2487"/>
      <c r="AI40" s="2487"/>
      <c r="AJ40" s="2488"/>
      <c r="AK40" s="541"/>
      <c r="AL40" s="541"/>
      <c r="AM40" s="541"/>
      <c r="AN40" s="536"/>
    </row>
    <row r="41" spans="1:41" s="537" customFormat="1" ht="12.75" customHeight="1">
      <c r="A41" s="541"/>
      <c r="B41" s="541"/>
      <c r="C41" s="541"/>
      <c r="E41" s="2511"/>
      <c r="F41" s="2512"/>
      <c r="G41" s="2512"/>
      <c r="H41" s="2512"/>
      <c r="I41" s="2512"/>
      <c r="J41" s="2512"/>
      <c r="K41" s="2512"/>
      <c r="L41" s="2512"/>
      <c r="M41" s="2512"/>
      <c r="N41" s="2512"/>
      <c r="O41" s="2512"/>
      <c r="P41" s="2512"/>
      <c r="Q41" s="2512"/>
      <c r="R41" s="2512"/>
      <c r="S41" s="2512"/>
      <c r="T41" s="2512"/>
      <c r="U41" s="2512"/>
      <c r="V41" s="2512"/>
      <c r="W41" s="2512"/>
      <c r="X41" s="2512"/>
      <c r="Y41" s="2512"/>
      <c r="Z41" s="2512"/>
      <c r="AA41" s="2512"/>
      <c r="AB41" s="2512"/>
      <c r="AC41" s="2512"/>
      <c r="AD41" s="2512"/>
      <c r="AE41" s="2512"/>
      <c r="AF41" s="2512"/>
      <c r="AG41" s="2512"/>
      <c r="AH41" s="2512"/>
      <c r="AI41" s="2512"/>
      <c r="AJ41" s="251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9" t="s">
        <v>591</v>
      </c>
      <c r="C45" s="2559"/>
      <c r="D45" s="1144"/>
      <c r="E45" s="2486" t="s">
        <v>2010</v>
      </c>
      <c r="F45" s="2487"/>
      <c r="G45" s="2487"/>
      <c r="H45" s="2487"/>
      <c r="I45" s="2487"/>
      <c r="J45" s="2487"/>
      <c r="K45" s="2487"/>
      <c r="L45" s="2487"/>
      <c r="M45" s="2487"/>
      <c r="N45" s="2487"/>
      <c r="O45" s="2487"/>
      <c r="P45" s="2487"/>
      <c r="Q45" s="2487"/>
      <c r="R45" s="2487"/>
      <c r="S45" s="2487"/>
      <c r="T45" s="2487"/>
      <c r="U45" s="2487"/>
      <c r="V45" s="2487"/>
      <c r="W45" s="2487"/>
      <c r="X45" s="2487"/>
      <c r="Y45" s="2487"/>
      <c r="Z45" s="2487"/>
      <c r="AA45" s="2487"/>
      <c r="AB45" s="2487"/>
      <c r="AC45" s="2487"/>
      <c r="AD45" s="2487"/>
      <c r="AE45" s="2487"/>
      <c r="AF45" s="2487"/>
      <c r="AG45" s="2487"/>
      <c r="AH45" s="2487"/>
      <c r="AI45" s="2487"/>
      <c r="AJ45" s="2488"/>
      <c r="AK45" s="1144"/>
      <c r="AL45" s="541"/>
      <c r="AM45" s="541"/>
      <c r="AN45" s="536"/>
    </row>
    <row r="46" spans="1:41" s="537" customFormat="1" ht="12.75" customHeight="1">
      <c r="A46" s="541"/>
      <c r="B46" s="541"/>
      <c r="C46" s="541"/>
      <c r="E46" s="2489"/>
      <c r="F46" s="2490"/>
      <c r="G46" s="2490"/>
      <c r="H46" s="2490"/>
      <c r="I46" s="2490"/>
      <c r="J46" s="2490"/>
      <c r="K46" s="2490"/>
      <c r="L46" s="2490"/>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1"/>
      <c r="AK46" s="541"/>
      <c r="AL46" s="541"/>
      <c r="AM46" s="541"/>
      <c r="AN46" s="536"/>
    </row>
    <row r="47" spans="1:41" s="537" customFormat="1" ht="12.75" customHeight="1">
      <c r="A47" s="541"/>
      <c r="D47" s="548"/>
      <c r="E47" s="2511"/>
      <c r="F47" s="2512"/>
      <c r="G47" s="2512"/>
      <c r="H47" s="2512"/>
      <c r="I47" s="2512"/>
      <c r="J47" s="2512"/>
      <c r="K47" s="2512"/>
      <c r="L47" s="2512"/>
      <c r="M47" s="2512"/>
      <c r="N47" s="2512"/>
      <c r="O47" s="2512"/>
      <c r="P47" s="2512"/>
      <c r="Q47" s="2512"/>
      <c r="R47" s="2512"/>
      <c r="S47" s="2512"/>
      <c r="T47" s="2512"/>
      <c r="U47" s="2512"/>
      <c r="V47" s="2512"/>
      <c r="W47" s="2512"/>
      <c r="X47" s="2512"/>
      <c r="Y47" s="2512"/>
      <c r="Z47" s="2512"/>
      <c r="AA47" s="2512"/>
      <c r="AB47" s="2512"/>
      <c r="AC47" s="2512"/>
      <c r="AD47" s="2512"/>
      <c r="AE47" s="2512"/>
      <c r="AF47" s="2512"/>
      <c r="AG47" s="2512"/>
      <c r="AH47" s="2512"/>
      <c r="AI47" s="2512"/>
      <c r="AJ47" s="251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9" t="s">
        <v>591</v>
      </c>
      <c r="C52" s="2559"/>
      <c r="D52" s="541"/>
      <c r="E52" s="2486" t="s">
        <v>2015</v>
      </c>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7"/>
      <c r="AC52" s="2487"/>
      <c r="AD52" s="2487"/>
      <c r="AE52" s="2487"/>
      <c r="AF52" s="2487"/>
      <c r="AG52" s="2487"/>
      <c r="AH52" s="2487"/>
      <c r="AI52" s="2487"/>
      <c r="AJ52" s="2488"/>
      <c r="AK52" s="541"/>
      <c r="AL52" s="541"/>
      <c r="AM52" s="541"/>
      <c r="AN52" s="536"/>
      <c r="AO52" s="560"/>
    </row>
    <row r="53" spans="1:50" s="537" customFormat="1" ht="12.75" customHeight="1">
      <c r="A53" s="541"/>
      <c r="D53" s="548"/>
      <c r="E53" s="2489"/>
      <c r="F53" s="2490"/>
      <c r="G53" s="2490"/>
      <c r="H53" s="2490"/>
      <c r="I53" s="2490"/>
      <c r="J53" s="2490"/>
      <c r="K53" s="2490"/>
      <c r="L53" s="2490"/>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1"/>
      <c r="AK53" s="541"/>
      <c r="AL53" s="541"/>
      <c r="AM53" s="541"/>
      <c r="AN53" s="536"/>
      <c r="AO53" s="560"/>
    </row>
    <row r="54" spans="1:50" s="537" customFormat="1" ht="12.75" customHeight="1">
      <c r="A54" s="541"/>
      <c r="D54" s="541"/>
      <c r="E54" s="2511"/>
      <c r="F54" s="2512"/>
      <c r="G54" s="2512"/>
      <c r="H54" s="2512"/>
      <c r="I54" s="2512"/>
      <c r="J54" s="2512"/>
      <c r="K54" s="2512"/>
      <c r="L54" s="2512"/>
      <c r="M54" s="2512"/>
      <c r="N54" s="2512"/>
      <c r="O54" s="2512"/>
      <c r="P54" s="2512"/>
      <c r="Q54" s="2512"/>
      <c r="R54" s="2512"/>
      <c r="S54" s="2512"/>
      <c r="T54" s="2512"/>
      <c r="U54" s="2512"/>
      <c r="V54" s="2512"/>
      <c r="W54" s="2512"/>
      <c r="X54" s="2512"/>
      <c r="Y54" s="2512"/>
      <c r="Z54" s="2512"/>
      <c r="AA54" s="2512"/>
      <c r="AB54" s="2512"/>
      <c r="AC54" s="2512"/>
      <c r="AD54" s="2512"/>
      <c r="AE54" s="2512"/>
      <c r="AF54" s="2512"/>
      <c r="AG54" s="2512"/>
      <c r="AH54" s="2512"/>
      <c r="AI54" s="2512"/>
      <c r="AJ54" s="251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9" t="s">
        <v>591</v>
      </c>
      <c r="C56" s="2559"/>
      <c r="D56" s="541"/>
      <c r="E56" s="2585" t="s">
        <v>2016</v>
      </c>
      <c r="F56" s="2586"/>
      <c r="G56" s="2586"/>
      <c r="H56" s="2586"/>
      <c r="I56" s="2586"/>
      <c r="J56" s="2586"/>
      <c r="K56" s="2586"/>
      <c r="L56" s="2586"/>
      <c r="M56" s="2586"/>
      <c r="N56" s="2586"/>
      <c r="O56" s="2586"/>
      <c r="P56" s="2586"/>
      <c r="Q56" s="2586"/>
      <c r="R56" s="2586"/>
      <c r="S56" s="2586"/>
      <c r="T56" s="2586"/>
      <c r="U56" s="2586"/>
      <c r="V56" s="2586"/>
      <c r="W56" s="2586"/>
      <c r="X56" s="2586"/>
      <c r="Y56" s="2586"/>
      <c r="Z56" s="2586"/>
      <c r="AA56" s="2586"/>
      <c r="AB56" s="2586"/>
      <c r="AC56" s="2586"/>
      <c r="AD56" s="2586"/>
      <c r="AE56" s="2586"/>
      <c r="AF56" s="2586"/>
      <c r="AG56" s="2586"/>
      <c r="AH56" s="2586"/>
      <c r="AI56" s="2586"/>
      <c r="AJ56" s="2587"/>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9" t="s">
        <v>591</v>
      </c>
      <c r="C58" s="2559"/>
      <c r="D58" s="541"/>
      <c r="E58" s="2486" t="s">
        <v>2017</v>
      </c>
      <c r="F58" s="2487"/>
      <c r="G58" s="2487"/>
      <c r="H58" s="2487"/>
      <c r="I58" s="2487"/>
      <c r="J58" s="2487"/>
      <c r="K58" s="2487"/>
      <c r="L58" s="2487"/>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8"/>
      <c r="AK58" s="541"/>
      <c r="AL58" s="541"/>
      <c r="AM58" s="541"/>
      <c r="AN58" s="536"/>
    </row>
    <row r="59" spans="1:50" s="537" customFormat="1" ht="12.75" customHeight="1">
      <c r="A59" s="541"/>
      <c r="B59" s="548"/>
      <c r="C59" s="548"/>
      <c r="D59" s="548"/>
      <c r="E59" s="2511"/>
      <c r="F59" s="2512"/>
      <c r="G59" s="2512"/>
      <c r="H59" s="2512"/>
      <c r="I59" s="2512"/>
      <c r="J59" s="2512"/>
      <c r="K59" s="2512"/>
      <c r="L59" s="2512"/>
      <c r="M59" s="2512"/>
      <c r="N59" s="2512"/>
      <c r="O59" s="2512"/>
      <c r="P59" s="2512"/>
      <c r="Q59" s="2512"/>
      <c r="R59" s="2512"/>
      <c r="S59" s="2512"/>
      <c r="T59" s="2512"/>
      <c r="U59" s="2512"/>
      <c r="V59" s="2512"/>
      <c r="W59" s="2512"/>
      <c r="X59" s="2512"/>
      <c r="Y59" s="2512"/>
      <c r="Z59" s="2512"/>
      <c r="AA59" s="2512"/>
      <c r="AB59" s="2512"/>
      <c r="AC59" s="2512"/>
      <c r="AD59" s="2512"/>
      <c r="AE59" s="2512"/>
      <c r="AF59" s="2512"/>
      <c r="AG59" s="2512"/>
      <c r="AH59" s="2512"/>
      <c r="AI59" s="2512"/>
      <c r="AJ59" s="251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32">
        <f>AO39</f>
        <v>0</v>
      </c>
      <c r="AL62" s="2533"/>
      <c r="AM62" s="2534"/>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6" t="s">
        <v>1314</v>
      </c>
      <c r="AF65" s="2406"/>
      <c r="AG65" s="2406"/>
      <c r="AH65" s="2406"/>
      <c r="AI65" s="2406"/>
      <c r="AJ65" s="2406"/>
      <c r="AK65" s="2406"/>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9" t="s">
        <v>591</v>
      </c>
      <c r="C68" s="2559"/>
      <c r="D68" s="548" t="s">
        <v>1315</v>
      </c>
      <c r="E68" s="2551" t="s">
        <v>2018</v>
      </c>
      <c r="F68" s="2552"/>
      <c r="G68" s="2552"/>
      <c r="H68" s="2552"/>
      <c r="I68" s="2552"/>
      <c r="J68" s="2552"/>
      <c r="K68" s="2552"/>
      <c r="L68" s="2552"/>
      <c r="M68" s="2552"/>
      <c r="N68" s="2552"/>
      <c r="O68" s="2552"/>
      <c r="P68" s="2552"/>
      <c r="Q68" s="2552"/>
      <c r="R68" s="2552"/>
      <c r="S68" s="2552"/>
      <c r="T68" s="2552"/>
      <c r="U68" s="2552"/>
      <c r="V68" s="2552"/>
      <c r="W68" s="2552"/>
      <c r="X68" s="2552"/>
      <c r="Y68" s="2552"/>
      <c r="Z68" s="2552"/>
      <c r="AA68" s="2552"/>
      <c r="AB68" s="2552"/>
      <c r="AC68" s="2552"/>
      <c r="AD68" s="2552"/>
      <c r="AE68" s="2552"/>
      <c r="AF68" s="2552"/>
      <c r="AG68" s="2552"/>
      <c r="AH68" s="2552"/>
      <c r="AI68" s="2552"/>
      <c r="AJ68" s="2553"/>
      <c r="AK68" s="544"/>
      <c r="AL68" s="541"/>
      <c r="AM68" s="541"/>
      <c r="AN68" s="536"/>
      <c r="AO68" s="551">
        <f>IF($B68="yes",10,0)</f>
        <v>0</v>
      </c>
    </row>
    <row r="69" spans="1:42" s="537" customFormat="1" ht="12.75" customHeight="1">
      <c r="A69" s="539"/>
      <c r="B69" s="541"/>
      <c r="C69" s="541"/>
      <c r="D69" s="552"/>
      <c r="E69" s="2554"/>
      <c r="F69" s="2555"/>
      <c r="G69" s="2555"/>
      <c r="H69" s="2555"/>
      <c r="I69" s="2555"/>
      <c r="J69" s="2555"/>
      <c r="K69" s="2555"/>
      <c r="L69" s="2555"/>
      <c r="M69" s="2555"/>
      <c r="N69" s="2555"/>
      <c r="O69" s="2555"/>
      <c r="P69" s="2555"/>
      <c r="Q69" s="2555"/>
      <c r="R69" s="2555"/>
      <c r="S69" s="2555"/>
      <c r="T69" s="2555"/>
      <c r="U69" s="2555"/>
      <c r="V69" s="2555"/>
      <c r="W69" s="2555"/>
      <c r="X69" s="2555"/>
      <c r="Y69" s="2555"/>
      <c r="Z69" s="2555"/>
      <c r="AA69" s="2555"/>
      <c r="AB69" s="2555"/>
      <c r="AC69" s="2555"/>
      <c r="AD69" s="2555"/>
      <c r="AE69" s="2555"/>
      <c r="AF69" s="2555"/>
      <c r="AG69" s="2555"/>
      <c r="AH69" s="2555"/>
      <c r="AI69" s="2555"/>
      <c r="AJ69" s="2556"/>
      <c r="AK69" s="544"/>
      <c r="AL69" s="541"/>
      <c r="AM69" s="541"/>
      <c r="AN69" s="536"/>
      <c r="AO69" s="551">
        <f>IF($B74="yes",10,0)</f>
        <v>10</v>
      </c>
    </row>
    <row r="70" spans="1:42" s="537" customFormat="1" ht="12.75" customHeight="1">
      <c r="A70" s="539"/>
      <c r="B70" s="541"/>
      <c r="C70" s="541"/>
      <c r="D70" s="552"/>
      <c r="E70" s="2554"/>
      <c r="F70" s="2555"/>
      <c r="G70" s="2555"/>
      <c r="H70" s="2555"/>
      <c r="I70" s="2555"/>
      <c r="J70" s="2555"/>
      <c r="K70" s="2555"/>
      <c r="L70" s="2555"/>
      <c r="M70" s="2555"/>
      <c r="N70" s="2555"/>
      <c r="O70" s="2555"/>
      <c r="P70" s="2555"/>
      <c r="Q70" s="2555"/>
      <c r="R70" s="2555"/>
      <c r="S70" s="2555"/>
      <c r="T70" s="2555"/>
      <c r="U70" s="2555"/>
      <c r="V70" s="2555"/>
      <c r="W70" s="2555"/>
      <c r="X70" s="2555"/>
      <c r="Y70" s="2555"/>
      <c r="Z70" s="2555"/>
      <c r="AA70" s="2555"/>
      <c r="AB70" s="2555"/>
      <c r="AC70" s="2555"/>
      <c r="AD70" s="2555"/>
      <c r="AE70" s="2555"/>
      <c r="AF70" s="2555"/>
      <c r="AG70" s="2555"/>
      <c r="AH70" s="2555"/>
      <c r="AI70" s="2555"/>
      <c r="AJ70" s="2556"/>
      <c r="AK70" s="544"/>
      <c r="AL70" s="541"/>
      <c r="AM70" s="541"/>
      <c r="AN70" s="536"/>
      <c r="AO70" s="551">
        <f>IF($B81="yes",10,0)</f>
        <v>0</v>
      </c>
    </row>
    <row r="71" spans="1:42" s="537" customFormat="1" ht="12.75" customHeight="1">
      <c r="A71" s="539"/>
      <c r="B71" s="541"/>
      <c r="C71" s="541"/>
      <c r="D71" s="552"/>
      <c r="E71" s="2554"/>
      <c r="F71" s="2555"/>
      <c r="G71" s="2555"/>
      <c r="H71" s="2555"/>
      <c r="I71" s="2555"/>
      <c r="J71" s="2555"/>
      <c r="K71" s="2555"/>
      <c r="L71" s="2555"/>
      <c r="M71" s="2555"/>
      <c r="N71" s="2555"/>
      <c r="O71" s="2555"/>
      <c r="P71" s="2555"/>
      <c r="Q71" s="2555"/>
      <c r="R71" s="2555"/>
      <c r="S71" s="2555"/>
      <c r="T71" s="2555"/>
      <c r="U71" s="2555"/>
      <c r="V71" s="2555"/>
      <c r="W71" s="2555"/>
      <c r="X71" s="2555"/>
      <c r="Y71" s="2555"/>
      <c r="Z71" s="2555"/>
      <c r="AA71" s="2555"/>
      <c r="AB71" s="2555"/>
      <c r="AC71" s="2555"/>
      <c r="AD71" s="2555"/>
      <c r="AE71" s="2555"/>
      <c r="AF71" s="2555"/>
      <c r="AG71" s="2555"/>
      <c r="AH71" s="2555"/>
      <c r="AI71" s="2555"/>
      <c r="AJ71" s="2556"/>
      <c r="AK71" s="544"/>
      <c r="AL71" s="541"/>
      <c r="AM71" s="541"/>
      <c r="AN71" s="536"/>
      <c r="AO71" s="537">
        <f>IF(SUM(AO68:AO70)&gt;10,10,(SUM(AO68:AO70)))</f>
        <v>10</v>
      </c>
      <c r="AP71" s="575" t="s">
        <v>1316</v>
      </c>
    </row>
    <row r="72" spans="1:42" s="537" customFormat="1" ht="12.75" customHeight="1">
      <c r="A72" s="539"/>
      <c r="B72" s="541"/>
      <c r="C72" s="541"/>
      <c r="D72" s="552"/>
      <c r="E72" s="2581"/>
      <c r="F72" s="2582"/>
      <c r="G72" s="2582"/>
      <c r="H72" s="2582"/>
      <c r="I72" s="2582"/>
      <c r="J72" s="2582"/>
      <c r="K72" s="2582"/>
      <c r="L72" s="2582"/>
      <c r="M72" s="2582"/>
      <c r="N72" s="2582"/>
      <c r="O72" s="2582"/>
      <c r="P72" s="2582"/>
      <c r="Q72" s="2582"/>
      <c r="R72" s="2582"/>
      <c r="S72" s="2582"/>
      <c r="T72" s="2582"/>
      <c r="U72" s="2582"/>
      <c r="V72" s="2582"/>
      <c r="W72" s="2582"/>
      <c r="X72" s="2582"/>
      <c r="Y72" s="2582"/>
      <c r="Z72" s="2582"/>
      <c r="AA72" s="2582"/>
      <c r="AB72" s="2582"/>
      <c r="AC72" s="2582"/>
      <c r="AD72" s="2582"/>
      <c r="AE72" s="2582"/>
      <c r="AF72" s="2582"/>
      <c r="AG72" s="2582"/>
      <c r="AH72" s="2582"/>
      <c r="AI72" s="2582"/>
      <c r="AJ72" s="2583"/>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9" t="s">
        <v>545</v>
      </c>
      <c r="C74" s="2559"/>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84" t="s">
        <v>545</v>
      </c>
      <c r="F75" s="2559"/>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9" t="s">
        <v>591</v>
      </c>
      <c r="F76" s="2580"/>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9" t="s">
        <v>591</v>
      </c>
      <c r="F77" s="2580"/>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84" t="s">
        <v>545</v>
      </c>
      <c r="F79" s="2559"/>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9" t="s">
        <v>591</v>
      </c>
      <c r="C81" s="2559"/>
      <c r="D81" s="548" t="s">
        <v>1320</v>
      </c>
      <c r="E81" s="2486" t="s">
        <v>1740</v>
      </c>
      <c r="F81" s="2487"/>
      <c r="G81" s="2487"/>
      <c r="H81" s="2487"/>
      <c r="I81" s="2487"/>
      <c r="J81" s="2487"/>
      <c r="K81" s="2487"/>
      <c r="L81" s="2487"/>
      <c r="M81" s="2487"/>
      <c r="N81" s="2487"/>
      <c r="O81" s="2487"/>
      <c r="P81" s="2487"/>
      <c r="Q81" s="2487"/>
      <c r="R81" s="2487"/>
      <c r="S81" s="2487"/>
      <c r="T81" s="2487"/>
      <c r="U81" s="2487"/>
      <c r="V81" s="2487"/>
      <c r="W81" s="2487"/>
      <c r="X81" s="2487"/>
      <c r="Y81" s="2487"/>
      <c r="Z81" s="2487"/>
      <c r="AA81" s="2487"/>
      <c r="AB81" s="2487"/>
      <c r="AC81" s="2487"/>
      <c r="AD81" s="2487"/>
      <c r="AE81" s="2487"/>
      <c r="AF81" s="2487"/>
      <c r="AG81" s="2487"/>
      <c r="AH81" s="2487"/>
      <c r="AI81" s="2487"/>
      <c r="AJ81" s="2488"/>
      <c r="AK81" s="544"/>
      <c r="AL81" s="541"/>
      <c r="AM81" s="541"/>
      <c r="AN81" s="536"/>
    </row>
    <row r="82" spans="1:43" s="537" customFormat="1" ht="12.75" customHeight="1">
      <c r="A82" s="539"/>
      <c r="B82" s="541"/>
      <c r="C82" s="541"/>
      <c r="D82" s="551"/>
      <c r="E82" s="2511"/>
      <c r="F82" s="2512"/>
      <c r="G82" s="2512"/>
      <c r="H82" s="2512"/>
      <c r="I82" s="2512"/>
      <c r="J82" s="2512"/>
      <c r="K82" s="2512"/>
      <c r="L82" s="2512"/>
      <c r="M82" s="2512"/>
      <c r="N82" s="2512"/>
      <c r="O82" s="2512"/>
      <c r="P82" s="2512"/>
      <c r="Q82" s="2512"/>
      <c r="R82" s="2512"/>
      <c r="S82" s="2512"/>
      <c r="T82" s="2512"/>
      <c r="U82" s="2512"/>
      <c r="V82" s="2512"/>
      <c r="W82" s="2512"/>
      <c r="X82" s="2512"/>
      <c r="Y82" s="2512"/>
      <c r="Z82" s="2512"/>
      <c r="AA82" s="2512"/>
      <c r="AB82" s="2512"/>
      <c r="AC82" s="2512"/>
      <c r="AD82" s="2512"/>
      <c r="AE82" s="2512"/>
      <c r="AF82" s="2512"/>
      <c r="AG82" s="2512"/>
      <c r="AH82" s="2512"/>
      <c r="AI82" s="2512"/>
      <c r="AJ82" s="251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32">
        <f>IF(AK62&gt;0,0,AO71)</f>
        <v>10</v>
      </c>
      <c r="AL84" s="2533"/>
      <c r="AM84" s="2534"/>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6" t="s">
        <v>1305</v>
      </c>
      <c r="AF87" s="2406"/>
      <c r="AG87" s="2406"/>
      <c r="AH87" s="2406"/>
      <c r="AI87" s="2406"/>
      <c r="AJ87" s="2406"/>
      <c r="AK87" s="2406"/>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9" t="s">
        <v>545</v>
      </c>
      <c r="C90" s="2559"/>
      <c r="D90" s="548" t="s">
        <v>1315</v>
      </c>
      <c r="E90" s="2551" t="s">
        <v>1325</v>
      </c>
      <c r="F90" s="2552"/>
      <c r="G90" s="2552"/>
      <c r="H90" s="2552"/>
      <c r="I90" s="2552"/>
      <c r="J90" s="2552"/>
      <c r="K90" s="2552"/>
      <c r="L90" s="2552"/>
      <c r="M90" s="2552"/>
      <c r="N90" s="2552"/>
      <c r="O90" s="2552"/>
      <c r="P90" s="2552"/>
      <c r="Q90" s="2552"/>
      <c r="R90" s="2552"/>
      <c r="S90" s="2552"/>
      <c r="T90" s="2552"/>
      <c r="U90" s="2552"/>
      <c r="V90" s="2552"/>
      <c r="W90" s="2552"/>
      <c r="X90" s="2552"/>
      <c r="Y90" s="2552"/>
      <c r="Z90" s="2552"/>
      <c r="AA90" s="2552"/>
      <c r="AB90" s="2552"/>
      <c r="AC90" s="2552"/>
      <c r="AD90" s="2552"/>
      <c r="AE90" s="2552"/>
      <c r="AF90" s="2552"/>
      <c r="AG90" s="2552"/>
      <c r="AH90" s="2552"/>
      <c r="AI90" s="2552"/>
      <c r="AJ90" s="2553"/>
      <c r="AK90" s="544"/>
      <c r="AL90" s="541"/>
      <c r="AM90" s="541"/>
      <c r="AN90" s="536"/>
    </row>
    <row r="91" spans="1:43" s="537" customFormat="1" ht="12.75" customHeight="1">
      <c r="A91" s="539"/>
      <c r="B91" s="540"/>
      <c r="C91" s="540"/>
      <c r="D91" s="540"/>
      <c r="E91" s="2554"/>
      <c r="F91" s="2555"/>
      <c r="G91" s="2555"/>
      <c r="H91" s="2555"/>
      <c r="I91" s="2555"/>
      <c r="J91" s="2555"/>
      <c r="K91" s="2555"/>
      <c r="L91" s="2555"/>
      <c r="M91" s="2555"/>
      <c r="N91" s="2555"/>
      <c r="O91" s="2555"/>
      <c r="P91" s="2555"/>
      <c r="Q91" s="2555"/>
      <c r="R91" s="2555"/>
      <c r="S91" s="2555"/>
      <c r="T91" s="2555"/>
      <c r="U91" s="2555"/>
      <c r="V91" s="2555"/>
      <c r="W91" s="2555"/>
      <c r="X91" s="2555"/>
      <c r="Y91" s="2555"/>
      <c r="Z91" s="2555"/>
      <c r="AA91" s="2555"/>
      <c r="AB91" s="2555"/>
      <c r="AC91" s="2555"/>
      <c r="AD91" s="2555"/>
      <c r="AE91" s="2555"/>
      <c r="AF91" s="2555"/>
      <c r="AG91" s="2555"/>
      <c r="AH91" s="2555"/>
      <c r="AI91" s="2555"/>
      <c r="AJ91" s="2556"/>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47">
        <f>Application!AC753</f>
        <v>0.41875000000000001</v>
      </c>
      <c r="F93" s="2548"/>
      <c r="G93" s="2548"/>
      <c r="H93" s="2548"/>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8">
        <f>0.6-ROUNDUP(E93,2)</f>
        <v>0.18</v>
      </c>
      <c r="F94" s="2353"/>
      <c r="G94" s="2353"/>
      <c r="H94" s="2353"/>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63">
        <f>IF(E94*200&gt;20,20,E94*200)</f>
        <v>20</v>
      </c>
      <c r="F95" s="2564"/>
      <c r="G95" s="2564"/>
      <c r="H95" s="2564"/>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9" t="s">
        <v>545</v>
      </c>
      <c r="C98" s="2559"/>
      <c r="D98" s="548" t="s">
        <v>1317</v>
      </c>
      <c r="E98" s="2551" t="s">
        <v>1725</v>
      </c>
      <c r="F98" s="2552"/>
      <c r="G98" s="2552"/>
      <c r="H98" s="2552"/>
      <c r="I98" s="2552"/>
      <c r="J98" s="2552"/>
      <c r="K98" s="2552"/>
      <c r="L98" s="2552"/>
      <c r="M98" s="2552"/>
      <c r="N98" s="2552"/>
      <c r="O98" s="2552"/>
      <c r="P98" s="2552"/>
      <c r="Q98" s="2552"/>
      <c r="R98" s="2552"/>
      <c r="S98" s="2552"/>
      <c r="T98" s="2552"/>
      <c r="U98" s="2552"/>
      <c r="V98" s="2552"/>
      <c r="W98" s="2552"/>
      <c r="X98" s="2552"/>
      <c r="Y98" s="2552"/>
      <c r="Z98" s="2552"/>
      <c r="AA98" s="2552"/>
      <c r="AB98" s="2552"/>
      <c r="AC98" s="2552"/>
      <c r="AD98" s="2552"/>
      <c r="AE98" s="2552"/>
      <c r="AF98" s="2552"/>
      <c r="AG98" s="2552"/>
      <c r="AH98" s="2552"/>
      <c r="AI98" s="2552"/>
      <c r="AJ98" s="2553"/>
      <c r="AK98" s="544"/>
      <c r="AL98" s="541"/>
      <c r="AM98" s="541"/>
      <c r="AN98" s="536"/>
    </row>
    <row r="99" spans="1:47" s="537" customFormat="1" ht="12.75" customHeight="1">
      <c r="A99" s="539"/>
      <c r="B99" s="540"/>
      <c r="C99" s="540"/>
      <c r="D99" s="540"/>
      <c r="E99" s="2554"/>
      <c r="F99" s="2555"/>
      <c r="G99" s="2555"/>
      <c r="H99" s="2555"/>
      <c r="I99" s="2555"/>
      <c r="J99" s="2555"/>
      <c r="K99" s="2555"/>
      <c r="L99" s="2555"/>
      <c r="M99" s="2555"/>
      <c r="N99" s="2555"/>
      <c r="O99" s="2555"/>
      <c r="P99" s="2555"/>
      <c r="Q99" s="2555"/>
      <c r="R99" s="2555"/>
      <c r="S99" s="2555"/>
      <c r="T99" s="2555"/>
      <c r="U99" s="2555"/>
      <c r="V99" s="2555"/>
      <c r="W99" s="2555"/>
      <c r="X99" s="2555"/>
      <c r="Y99" s="2555"/>
      <c r="Z99" s="2555"/>
      <c r="AA99" s="2555"/>
      <c r="AB99" s="2555"/>
      <c r="AC99" s="2555"/>
      <c r="AD99" s="2555"/>
      <c r="AE99" s="2555"/>
      <c r="AF99" s="2555"/>
      <c r="AG99" s="2555"/>
      <c r="AH99" s="2555"/>
      <c r="AI99" s="2555"/>
      <c r="AJ99" s="2556"/>
      <c r="AK99" s="544"/>
      <c r="AL99" s="541"/>
      <c r="AM99" s="541"/>
      <c r="AN99" s="536"/>
    </row>
    <row r="100" spans="1:47" s="537" customFormat="1" ht="12.75" customHeight="1">
      <c r="A100" s="539"/>
      <c r="B100" s="540"/>
      <c r="C100" s="540"/>
      <c r="D100" s="540"/>
      <c r="E100" s="2554"/>
      <c r="F100" s="2555"/>
      <c r="G100" s="2555"/>
      <c r="H100" s="2555"/>
      <c r="I100" s="2555"/>
      <c r="J100" s="2555"/>
      <c r="K100" s="2555"/>
      <c r="L100" s="2555"/>
      <c r="M100" s="2555"/>
      <c r="N100" s="2555"/>
      <c r="O100" s="2555"/>
      <c r="P100" s="2555"/>
      <c r="Q100" s="2555"/>
      <c r="R100" s="2555"/>
      <c r="S100" s="2555"/>
      <c r="T100" s="2555"/>
      <c r="U100" s="2555"/>
      <c r="V100" s="2555"/>
      <c r="W100" s="2555"/>
      <c r="X100" s="2555"/>
      <c r="Y100" s="2555"/>
      <c r="Z100" s="2555"/>
      <c r="AA100" s="2555"/>
      <c r="AB100" s="2555"/>
      <c r="AC100" s="2555"/>
      <c r="AD100" s="2555"/>
      <c r="AE100" s="2555"/>
      <c r="AF100" s="2555"/>
      <c r="AG100" s="2555"/>
      <c r="AH100" s="2555"/>
      <c r="AI100" s="2555"/>
      <c r="AJ100" s="2556"/>
      <c r="AK100" s="544"/>
      <c r="AL100" s="541"/>
      <c r="AM100" s="541"/>
      <c r="AN100" s="536"/>
    </row>
    <row r="101" spans="1:47" s="537" customFormat="1" ht="12.75" customHeight="1">
      <c r="A101" s="539"/>
      <c r="B101" s="540"/>
      <c r="C101" s="540"/>
      <c r="D101" s="540"/>
      <c r="E101" s="2554"/>
      <c r="F101" s="2555"/>
      <c r="G101" s="2555"/>
      <c r="H101" s="2555"/>
      <c r="I101" s="2555"/>
      <c r="J101" s="2555"/>
      <c r="K101" s="2555"/>
      <c r="L101" s="2555"/>
      <c r="M101" s="2555"/>
      <c r="N101" s="2555"/>
      <c r="O101" s="2555"/>
      <c r="P101" s="2555"/>
      <c r="Q101" s="2555"/>
      <c r="R101" s="2555"/>
      <c r="S101" s="2555"/>
      <c r="T101" s="2555"/>
      <c r="U101" s="2555"/>
      <c r="V101" s="2555"/>
      <c r="W101" s="2555"/>
      <c r="X101" s="2555"/>
      <c r="Y101" s="2555"/>
      <c r="Z101" s="2555"/>
      <c r="AA101" s="2555"/>
      <c r="AB101" s="2555"/>
      <c r="AC101" s="2555"/>
      <c r="AD101" s="2555"/>
      <c r="AE101" s="2555"/>
      <c r="AF101" s="2555"/>
      <c r="AG101" s="2555"/>
      <c r="AH101" s="2555"/>
      <c r="AI101" s="2555"/>
      <c r="AJ101" s="2556"/>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47">
        <f>Application!AC753</f>
        <v>0.41875000000000001</v>
      </c>
      <c r="F103" s="2548"/>
      <c r="G103" s="2548"/>
      <c r="H103" s="2548"/>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47">
        <f ca="1">SUMIF(Application!AC718:AG752,0.2,Application!G718:J752)/Application!G753+SUMIF(Application!AC718:AG752,0.25,Application!G718:J752)/Application!G753+SUMIF(Application!AC718:AG752,0.3,Application!G718:J752)/Application!G753</f>
        <v>0.40625</v>
      </c>
      <c r="F104" s="2548"/>
      <c r="G104" s="2548"/>
      <c r="H104" s="2548"/>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47">
        <f ca="1">SUMIF(Application!AC718:AG752,0.35,Application!G718:J752)/Application!G753+SUMIF(Application!AC718:AG752,0.4,Application!G718:J752)/Application!G753+SUMIF(Application!AC718:AG752,0.45,Application!G718:J752)/Application!G753+SUMIF(Application!AC718:AG752,0.5,Application!G718:J752)/Application!G753</f>
        <v>0.59375</v>
      </c>
      <c r="F105" s="2548"/>
      <c r="G105" s="2548"/>
      <c r="H105" s="2548"/>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45">
        <f ca="1">IF(AND(E103&lt;=0.6,OR(AND(E104&gt;=0.1,E105&gt;=0.1),AND(E104&gt;0.1,(E104+E105)&gt;=0.2))),20,0)</f>
        <v>20</v>
      </c>
      <c r="F106" s="2546"/>
      <c r="G106" s="2546"/>
      <c r="H106" s="2546"/>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32">
        <f ca="1">MAX(AP95,AP106)</f>
        <v>20</v>
      </c>
      <c r="AL109" s="2533"/>
      <c r="AM109" s="2534"/>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6" t="s">
        <v>1314</v>
      </c>
      <c r="AF112" s="2406"/>
      <c r="AG112" s="2406"/>
      <c r="AH112" s="2406"/>
      <c r="AI112" s="2406"/>
      <c r="AJ112" s="2406"/>
      <c r="AK112" s="2406"/>
      <c r="AL112" s="541"/>
      <c r="AM112" s="541"/>
      <c r="AN112" s="536"/>
      <c r="AO112" s="537" t="str">
        <f>Application!B718</f>
        <v>SRO/Studio</v>
      </c>
      <c r="AQ112" s="537">
        <f>Application!O718</f>
        <v>300</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300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300</v>
      </c>
    </row>
    <row r="115" spans="1:52" s="537" customFormat="1" ht="12.75" customHeight="1">
      <c r="A115" s="541"/>
      <c r="B115" s="2559" t="s">
        <v>591</v>
      </c>
      <c r="C115" s="2559"/>
      <c r="D115" s="548" t="s">
        <v>1315</v>
      </c>
      <c r="E115" s="2551" t="s">
        <v>1858</v>
      </c>
      <c r="F115" s="2552"/>
      <c r="G115" s="2552"/>
      <c r="H115" s="2552"/>
      <c r="I115" s="2552"/>
      <c r="J115" s="2552"/>
      <c r="K115" s="2552"/>
      <c r="L115" s="2552"/>
      <c r="M115" s="2552"/>
      <c r="N115" s="2552"/>
      <c r="O115" s="2552"/>
      <c r="P115" s="2552"/>
      <c r="Q115" s="2552"/>
      <c r="R115" s="2552"/>
      <c r="S115" s="2552"/>
      <c r="T115" s="2552"/>
      <c r="U115" s="2552"/>
      <c r="V115" s="2552"/>
      <c r="W115" s="2552"/>
      <c r="X115" s="2552"/>
      <c r="Y115" s="2552"/>
      <c r="Z115" s="2552"/>
      <c r="AA115" s="2552"/>
      <c r="AB115" s="2552"/>
      <c r="AC115" s="2552"/>
      <c r="AD115" s="2552"/>
      <c r="AE115" s="2552"/>
      <c r="AF115" s="2552"/>
      <c r="AG115" s="2552"/>
      <c r="AH115" s="2552"/>
      <c r="AI115" s="2552"/>
      <c r="AJ115" s="2553"/>
      <c r="AK115" s="541"/>
      <c r="AL115" s="541"/>
      <c r="AM115" s="541"/>
      <c r="AN115" s="536"/>
      <c r="AO115" s="537">
        <f>Application!B721</f>
        <v>0</v>
      </c>
      <c r="AQ115" s="537">
        <f>Application!O721</f>
        <v>0</v>
      </c>
      <c r="AU115" s="537" t="s">
        <v>1840</v>
      </c>
      <c r="AV115" s="596" t="s">
        <v>1841</v>
      </c>
      <c r="AW115" s="537" t="s">
        <v>1842</v>
      </c>
    </row>
    <row r="116" spans="1:52" s="537" customFormat="1" ht="12.75" customHeight="1">
      <c r="A116" s="541"/>
      <c r="B116" s="540"/>
      <c r="C116" s="540"/>
      <c r="D116" s="540"/>
      <c r="E116" s="2554"/>
      <c r="F116" s="2555"/>
      <c r="G116" s="2555"/>
      <c r="H116" s="2555"/>
      <c r="I116" s="2555"/>
      <c r="J116" s="2555"/>
      <c r="K116" s="2555"/>
      <c r="L116" s="2555"/>
      <c r="M116" s="2555"/>
      <c r="N116" s="2555"/>
      <c r="O116" s="2555"/>
      <c r="P116" s="2555"/>
      <c r="Q116" s="2555"/>
      <c r="R116" s="2555"/>
      <c r="S116" s="2555"/>
      <c r="T116" s="2555"/>
      <c r="U116" s="2555"/>
      <c r="V116" s="2555"/>
      <c r="W116" s="2555"/>
      <c r="X116" s="2555"/>
      <c r="Y116" s="2555"/>
      <c r="Z116" s="2555"/>
      <c r="AA116" s="2555"/>
      <c r="AB116" s="2555"/>
      <c r="AC116" s="2555"/>
      <c r="AD116" s="2555"/>
      <c r="AE116" s="2555"/>
      <c r="AF116" s="2555"/>
      <c r="AG116" s="2555"/>
      <c r="AH116" s="2555"/>
      <c r="AI116" s="2555"/>
      <c r="AJ116" s="2556"/>
      <c r="AK116" s="541"/>
      <c r="AL116" s="541"/>
      <c r="AM116" s="541"/>
      <c r="AN116" s="536"/>
      <c r="AO116" s="537">
        <f>Application!B722</f>
        <v>0</v>
      </c>
      <c r="AQ116" s="537">
        <f>Application!O722</f>
        <v>0</v>
      </c>
      <c r="AU116" s="857" t="str">
        <f>E124</f>
        <v>Studio/SRO</v>
      </c>
      <c r="AV116" s="537">
        <f t="array" ref="AV116">SUM(IF(Application!B718:F752="SRO/Studio",Application!G718:J752))</f>
        <v>96</v>
      </c>
      <c r="AW116" s="1012">
        <f>AV116/AV122</f>
        <v>1</v>
      </c>
    </row>
    <row r="117" spans="1:52" s="537" customFormat="1" ht="12.75" customHeight="1">
      <c r="A117" s="541"/>
      <c r="B117" s="540"/>
      <c r="C117" s="540"/>
      <c r="D117" s="540"/>
      <c r="E117" s="2554"/>
      <c r="F117" s="2555"/>
      <c r="G117" s="2555"/>
      <c r="H117" s="2555"/>
      <c r="I117" s="2555"/>
      <c r="J117" s="2555"/>
      <c r="K117" s="2555"/>
      <c r="L117" s="2555"/>
      <c r="M117" s="2555"/>
      <c r="N117" s="2555"/>
      <c r="O117" s="2555"/>
      <c r="P117" s="2555"/>
      <c r="Q117" s="2555"/>
      <c r="R117" s="2555"/>
      <c r="S117" s="2555"/>
      <c r="T117" s="2555"/>
      <c r="U117" s="2555"/>
      <c r="V117" s="2555"/>
      <c r="W117" s="2555"/>
      <c r="X117" s="2555"/>
      <c r="Y117" s="2555"/>
      <c r="Z117" s="2555"/>
      <c r="AA117" s="2555"/>
      <c r="AB117" s="2555"/>
      <c r="AC117" s="2555"/>
      <c r="AD117" s="2555"/>
      <c r="AE117" s="2555"/>
      <c r="AF117" s="2555"/>
      <c r="AG117" s="2555"/>
      <c r="AH117" s="2555"/>
      <c r="AI117" s="2555"/>
      <c r="AJ117" s="2556"/>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554"/>
      <c r="F118" s="2555"/>
      <c r="G118" s="2555"/>
      <c r="H118" s="2555"/>
      <c r="I118" s="2555"/>
      <c r="J118" s="2555"/>
      <c r="K118" s="2555"/>
      <c r="L118" s="2555"/>
      <c r="M118" s="2555"/>
      <c r="N118" s="2555"/>
      <c r="O118" s="2555"/>
      <c r="P118" s="2555"/>
      <c r="Q118" s="2555"/>
      <c r="R118" s="2555"/>
      <c r="S118" s="2555"/>
      <c r="T118" s="2555"/>
      <c r="U118" s="2555"/>
      <c r="V118" s="2555"/>
      <c r="W118" s="2555"/>
      <c r="X118" s="2555"/>
      <c r="Y118" s="2555"/>
      <c r="Z118" s="2555"/>
      <c r="AA118" s="2555"/>
      <c r="AB118" s="2555"/>
      <c r="AC118" s="2555"/>
      <c r="AD118" s="2555"/>
      <c r="AE118" s="2555"/>
      <c r="AF118" s="2555"/>
      <c r="AG118" s="2555"/>
      <c r="AH118" s="2555"/>
      <c r="AI118" s="2555"/>
      <c r="AJ118" s="2556"/>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554"/>
      <c r="F119" s="2555"/>
      <c r="G119" s="2555"/>
      <c r="H119" s="2555"/>
      <c r="I119" s="2555"/>
      <c r="J119" s="2555"/>
      <c r="K119" s="2555"/>
      <c r="L119" s="2555"/>
      <c r="M119" s="2555"/>
      <c r="N119" s="2555"/>
      <c r="O119" s="2555"/>
      <c r="P119" s="2555"/>
      <c r="Q119" s="2555"/>
      <c r="R119" s="2555"/>
      <c r="S119" s="2555"/>
      <c r="T119" s="2555"/>
      <c r="U119" s="2555"/>
      <c r="V119" s="2555"/>
      <c r="W119" s="2555"/>
      <c r="X119" s="2555"/>
      <c r="Y119" s="2555"/>
      <c r="Z119" s="2555"/>
      <c r="AA119" s="2555"/>
      <c r="AB119" s="2555"/>
      <c r="AC119" s="2555"/>
      <c r="AD119" s="2555"/>
      <c r="AE119" s="2555"/>
      <c r="AF119" s="2555"/>
      <c r="AG119" s="2555"/>
      <c r="AH119" s="2555"/>
      <c r="AI119" s="2555"/>
      <c r="AJ119" s="2556"/>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554"/>
      <c r="F120" s="2555"/>
      <c r="G120" s="2555"/>
      <c r="H120" s="2555"/>
      <c r="I120" s="2555"/>
      <c r="J120" s="2555"/>
      <c r="K120" s="2555"/>
      <c r="L120" s="2555"/>
      <c r="M120" s="2555"/>
      <c r="N120" s="2555"/>
      <c r="O120" s="2555"/>
      <c r="P120" s="2555"/>
      <c r="Q120" s="2555"/>
      <c r="R120" s="2555"/>
      <c r="S120" s="2555"/>
      <c r="T120" s="2555"/>
      <c r="U120" s="2555"/>
      <c r="V120" s="2555"/>
      <c r="W120" s="2555"/>
      <c r="X120" s="2555"/>
      <c r="Y120" s="2555"/>
      <c r="Z120" s="2555"/>
      <c r="AA120" s="2555"/>
      <c r="AB120" s="2555"/>
      <c r="AC120" s="2555"/>
      <c r="AD120" s="2555"/>
      <c r="AE120" s="2555"/>
      <c r="AF120" s="2555"/>
      <c r="AG120" s="2555"/>
      <c r="AH120" s="2555"/>
      <c r="AI120" s="2555"/>
      <c r="AJ120" s="2556"/>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554"/>
      <c r="F121" s="2555"/>
      <c r="G121" s="2555"/>
      <c r="H121" s="2555"/>
      <c r="I121" s="2555"/>
      <c r="J121" s="2555"/>
      <c r="K121" s="2555"/>
      <c r="L121" s="2555"/>
      <c r="M121" s="2555"/>
      <c r="N121" s="2555"/>
      <c r="O121" s="2555"/>
      <c r="P121" s="2555"/>
      <c r="Q121" s="2555"/>
      <c r="R121" s="2555"/>
      <c r="S121" s="2555"/>
      <c r="T121" s="2555"/>
      <c r="U121" s="2555"/>
      <c r="V121" s="2555"/>
      <c r="W121" s="2555"/>
      <c r="X121" s="2555"/>
      <c r="Y121" s="2555"/>
      <c r="Z121" s="2555"/>
      <c r="AA121" s="2555"/>
      <c r="AB121" s="2555"/>
      <c r="AC121" s="2555"/>
      <c r="AD121" s="2555"/>
      <c r="AE121" s="2555"/>
      <c r="AF121" s="2555"/>
      <c r="AG121" s="2555"/>
      <c r="AH121" s="2555"/>
      <c r="AI121" s="2555"/>
      <c r="AJ121" s="2556"/>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54"/>
      <c r="F122" s="2555"/>
      <c r="G122" s="2555"/>
      <c r="H122" s="2555"/>
      <c r="I122" s="2555"/>
      <c r="J122" s="2555"/>
      <c r="K122" s="2555"/>
      <c r="L122" s="2555"/>
      <c r="M122" s="2555"/>
      <c r="N122" s="2555"/>
      <c r="O122" s="2555"/>
      <c r="P122" s="2555"/>
      <c r="Q122" s="2555"/>
      <c r="R122" s="2555"/>
      <c r="S122" s="2555"/>
      <c r="T122" s="2555"/>
      <c r="U122" s="2555"/>
      <c r="V122" s="2555"/>
      <c r="W122" s="2555"/>
      <c r="X122" s="2555"/>
      <c r="Y122" s="2555"/>
      <c r="Z122" s="2555"/>
      <c r="AA122" s="2555"/>
      <c r="AB122" s="2555"/>
      <c r="AC122" s="2555"/>
      <c r="AD122" s="2555"/>
      <c r="AE122" s="2555"/>
      <c r="AF122" s="2555"/>
      <c r="AG122" s="2555"/>
      <c r="AH122" s="2555"/>
      <c r="AI122" s="2555"/>
      <c r="AJ122" s="2556"/>
      <c r="AK122" s="541"/>
      <c r="AL122" s="541"/>
      <c r="AM122" s="541"/>
      <c r="AN122" s="536"/>
      <c r="AO122" s="537">
        <f>Application!B728</f>
        <v>0</v>
      </c>
      <c r="AQ122" s="537">
        <f>Application!O728</f>
        <v>0</v>
      </c>
      <c r="AV122" s="537">
        <f>SUM(AV116:AV121)</f>
        <v>96</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547" t="s">
        <v>1588</v>
      </c>
      <c r="F124" s="2548"/>
      <c r="G124" s="2548"/>
      <c r="H124" s="2548"/>
      <c r="I124" s="578"/>
      <c r="J124" s="2548" t="s">
        <v>1631</v>
      </c>
      <c r="K124" s="2548"/>
      <c r="L124" s="2548"/>
      <c r="M124" s="2548"/>
      <c r="N124" s="578"/>
      <c r="O124" s="2548" t="s">
        <v>1632</v>
      </c>
      <c r="P124" s="2548"/>
      <c r="Q124" s="2548"/>
      <c r="R124" s="2548"/>
      <c r="S124" s="578"/>
      <c r="T124" s="2548" t="s">
        <v>1334</v>
      </c>
      <c r="U124" s="2548"/>
      <c r="V124" s="2548"/>
      <c r="W124" s="2548"/>
      <c r="X124" s="578"/>
      <c r="Y124" s="2548" t="s">
        <v>1633</v>
      </c>
      <c r="Z124" s="2548"/>
      <c r="AA124" s="2548"/>
      <c r="AB124" s="2548"/>
      <c r="AC124" s="578"/>
      <c r="AD124" s="2548" t="s">
        <v>1634</v>
      </c>
      <c r="AE124" s="2548"/>
      <c r="AF124" s="2548"/>
      <c r="AG124" s="2548"/>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49">
        <v>1600</v>
      </c>
      <c r="F127" s="2550"/>
      <c r="G127" s="2550"/>
      <c r="H127" s="2550"/>
      <c r="I127" s="865"/>
      <c r="J127" s="2550"/>
      <c r="K127" s="2550"/>
      <c r="L127" s="2550"/>
      <c r="M127" s="2550"/>
      <c r="N127" s="865"/>
      <c r="O127" s="2550"/>
      <c r="P127" s="2550"/>
      <c r="Q127" s="2550"/>
      <c r="R127" s="2550"/>
      <c r="S127" s="865"/>
      <c r="T127" s="2550"/>
      <c r="U127" s="2550"/>
      <c r="V127" s="2550"/>
      <c r="W127" s="2550"/>
      <c r="X127" s="865"/>
      <c r="Y127" s="2550"/>
      <c r="Z127" s="2550"/>
      <c r="AA127" s="2550"/>
      <c r="AB127" s="2550"/>
      <c r="AC127" s="865"/>
      <c r="AD127" s="2550"/>
      <c r="AE127" s="2550"/>
      <c r="AF127" s="2550"/>
      <c r="AG127" s="2550"/>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57">
        <f>Application!DX670</f>
        <v>300</v>
      </c>
      <c r="F130" s="2558"/>
      <c r="G130" s="2558"/>
      <c r="H130" s="2558"/>
      <c r="I130" s="865"/>
      <c r="J130" s="2558">
        <f>Application!EC670</f>
        <v>0</v>
      </c>
      <c r="K130" s="2558"/>
      <c r="L130" s="2558"/>
      <c r="M130" s="2558"/>
      <c r="N130" s="865"/>
      <c r="O130" s="2558">
        <f>Application!EH670</f>
        <v>0</v>
      </c>
      <c r="P130" s="2558"/>
      <c r="Q130" s="2558"/>
      <c r="R130" s="2558"/>
      <c r="S130" s="869"/>
      <c r="T130" s="2558">
        <f>Application!EM670</f>
        <v>0</v>
      </c>
      <c r="U130" s="2558"/>
      <c r="V130" s="2558"/>
      <c r="W130" s="2558"/>
      <c r="X130" s="869"/>
      <c r="Y130" s="2558">
        <f>Application!ER670</f>
        <v>0</v>
      </c>
      <c r="Z130" s="2558"/>
      <c r="AA130" s="2558"/>
      <c r="AB130" s="2558"/>
      <c r="AC130" s="869"/>
      <c r="AD130" s="2558">
        <f>Application!EW670</f>
        <v>0</v>
      </c>
      <c r="AE130" s="2558"/>
      <c r="AF130" s="2558"/>
      <c r="AG130" s="2558"/>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52">
        <f>(E127-E130)/E127</f>
        <v>0.8125</v>
      </c>
      <c r="F133" s="2353"/>
      <c r="G133" s="2353"/>
      <c r="H133" s="2354"/>
      <c r="I133" s="578"/>
      <c r="J133" s="2352" t="e">
        <f>(J127-J130)/J127</f>
        <v>#DIV/0!</v>
      </c>
      <c r="K133" s="2353"/>
      <c r="L133" s="2353"/>
      <c r="M133" s="2354"/>
      <c r="N133" s="578"/>
      <c r="O133" s="2352" t="e">
        <f>(O127-O130)/O127</f>
        <v>#DIV/0!</v>
      </c>
      <c r="P133" s="2353"/>
      <c r="Q133" s="2353"/>
      <c r="R133" s="2354"/>
      <c r="S133" s="578"/>
      <c r="T133" s="2352" t="e">
        <f>(T127-T130)/T127</f>
        <v>#DIV/0!</v>
      </c>
      <c r="U133" s="2353"/>
      <c r="V133" s="2353"/>
      <c r="W133" s="2354"/>
      <c r="X133" s="578"/>
      <c r="Y133" s="2352" t="e">
        <f>(Y127-Y130)/Y127</f>
        <v>#DIV/0!</v>
      </c>
      <c r="Z133" s="2353"/>
      <c r="AA133" s="2353"/>
      <c r="AB133" s="2354"/>
      <c r="AC133" s="578"/>
      <c r="AD133" s="2352" t="e">
        <f>(AD127-AD130)/AD127</f>
        <v>#DIV/0!</v>
      </c>
      <c r="AE133" s="2353"/>
      <c r="AF133" s="2353"/>
      <c r="AG133" s="235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60">
        <f>IF(((E133-0.1)*AW116)&gt;0,((E133-0.1)*AW116),0)</f>
        <v>0.71250000000000002</v>
      </c>
      <c r="F136" s="2561"/>
      <c r="G136" s="2561"/>
      <c r="H136" s="2562"/>
      <c r="I136" s="578"/>
      <c r="J136" s="2560" t="e">
        <f>IF(((J133-0.1)*AW117)&gt;0,((J133-0.1)*AW117),0)</f>
        <v>#DIV/0!</v>
      </c>
      <c r="K136" s="2561"/>
      <c r="L136" s="2561"/>
      <c r="M136" s="2562"/>
      <c r="N136" s="578"/>
      <c r="O136" s="2560" t="e">
        <f>IF(((O133-0.1)*AW118)&gt;0,((O133-0.1)*AW118),0)</f>
        <v>#DIV/0!</v>
      </c>
      <c r="P136" s="2561"/>
      <c r="Q136" s="2561"/>
      <c r="R136" s="2562"/>
      <c r="S136" s="578"/>
      <c r="T136" s="2560" t="e">
        <f>IF(((T133-0.1)*AW119)&gt;0,((T133-0.1)*AW119),0)</f>
        <v>#DIV/0!</v>
      </c>
      <c r="U136" s="2561"/>
      <c r="V136" s="2561"/>
      <c r="W136" s="2562"/>
      <c r="X136" s="578"/>
      <c r="Y136" s="2560" t="e">
        <f>IF(((Y133-0.1)*AW120)&gt;0,((Y133-0.1)*AW120),0)</f>
        <v>#DIV/0!</v>
      </c>
      <c r="Z136" s="2561"/>
      <c r="AA136" s="2561"/>
      <c r="AB136" s="2562"/>
      <c r="AC136" s="578"/>
      <c r="AD136" s="2560" t="e">
        <f>IF(((AD133-0.1)*AW121)&gt;0,((AD133-0.1)*AW121),0)</f>
        <v>#DIV/0!</v>
      </c>
      <c r="AE136" s="2561"/>
      <c r="AF136" s="2561"/>
      <c r="AG136" s="2562"/>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52">
        <f>ROUNDDOWN(SUMIF(E136:AG136,"&gt;0"),2)</f>
        <v>0.71</v>
      </c>
      <c r="F138" s="2353"/>
      <c r="G138" s="2353"/>
      <c r="H138" s="2354"/>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32">
        <f>IF((E138*100)&gt;10,10,E138*100)</f>
        <v>10</v>
      </c>
      <c r="F139" s="2533"/>
      <c r="G139" s="2533"/>
      <c r="H139" s="2534"/>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32">
        <f>E139</f>
        <v>10</v>
      </c>
      <c r="AL143" s="2533"/>
      <c r="AM143" s="2534"/>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6" t="s">
        <v>1314</v>
      </c>
      <c r="AF146" s="2406"/>
      <c r="AG146" s="2406"/>
      <c r="AH146" s="2406"/>
      <c r="AI146" s="2406"/>
      <c r="AJ146" s="2406"/>
      <c r="AK146" s="2406"/>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6" t="s">
        <v>1338</v>
      </c>
      <c r="AG148" s="2466"/>
      <c r="AH148" s="2466"/>
      <c r="AI148" s="2466"/>
      <c r="AJ148" s="2466"/>
      <c r="AK148" s="2466"/>
      <c r="AL148" s="2466"/>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36" t="s">
        <v>2627</v>
      </c>
      <c r="C150" s="2536"/>
      <c r="D150" s="2536"/>
      <c r="E150" s="2536"/>
      <c r="F150" s="2536"/>
      <c r="G150" s="2536"/>
      <c r="H150" s="2536"/>
      <c r="I150" s="2536"/>
      <c r="J150" s="2536"/>
      <c r="K150" s="2536"/>
      <c r="L150" s="2536"/>
      <c r="M150" s="2536"/>
      <c r="N150" s="2536"/>
      <c r="O150" s="2536"/>
      <c r="P150" s="2536"/>
      <c r="Q150" s="2536"/>
      <c r="R150" s="2536"/>
      <c r="S150" s="2536"/>
      <c r="T150" s="2536"/>
      <c r="U150" s="2536"/>
      <c r="V150" s="2536"/>
      <c r="W150" s="2536"/>
      <c r="X150" s="2536"/>
      <c r="Y150" s="2536"/>
      <c r="Z150" s="2536"/>
      <c r="AA150" s="2536"/>
      <c r="AB150" s="2536"/>
      <c r="AC150" s="2536"/>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37" t="s">
        <v>1341</v>
      </c>
      <c r="C153" s="2537"/>
      <c r="D153" s="2537"/>
      <c r="E153" s="2537"/>
      <c r="F153" s="2537"/>
      <c r="G153" s="2537"/>
      <c r="H153" s="2537"/>
      <c r="I153" s="2537"/>
      <c r="J153" s="2537"/>
      <c r="K153" s="2537"/>
      <c r="L153" s="2537"/>
      <c r="M153" s="2537"/>
      <c r="N153" s="2537"/>
      <c r="O153" s="2537"/>
      <c r="P153" s="2537"/>
      <c r="Q153" s="2537"/>
      <c r="R153" s="2537"/>
      <c r="S153" s="2537"/>
      <c r="T153" s="2537"/>
      <c r="U153" s="2537"/>
      <c r="V153" s="2537"/>
      <c r="W153" s="2537"/>
      <c r="X153" s="2537"/>
      <c r="Y153" s="2537"/>
      <c r="Z153" s="2537"/>
      <c r="AA153" s="2537"/>
      <c r="AB153" s="2537"/>
      <c r="AC153" s="2537"/>
      <c r="AD153" s="2537"/>
      <c r="AE153" s="2537"/>
      <c r="AF153" s="2537"/>
      <c r="AG153" s="2537"/>
      <c r="AH153" s="2537"/>
      <c r="AI153" s="2537"/>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8" t="s">
        <v>591</v>
      </c>
      <c r="AC155" s="233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37" t="s">
        <v>1343</v>
      </c>
      <c r="C158" s="2537"/>
      <c r="D158" s="2537"/>
      <c r="E158" s="2537"/>
      <c r="F158" s="2537"/>
      <c r="G158" s="2537"/>
      <c r="H158" s="2537"/>
      <c r="I158" s="2537"/>
      <c r="J158" s="2537"/>
      <c r="K158" s="2537"/>
      <c r="L158" s="2537"/>
      <c r="M158" s="2537"/>
      <c r="N158" s="2537"/>
      <c r="O158" s="2537"/>
      <c r="P158" s="2537"/>
      <c r="Q158" s="2537"/>
      <c r="R158" s="2537"/>
      <c r="S158" s="2537"/>
      <c r="T158" s="2537"/>
      <c r="U158" s="2537"/>
      <c r="V158" s="2537"/>
      <c r="W158" s="2537"/>
      <c r="X158" s="2537"/>
      <c r="Y158" s="2537"/>
      <c r="Z158" s="2537"/>
      <c r="AA158" s="2537"/>
      <c r="AB158" s="2537"/>
      <c r="AC158" s="2537"/>
      <c r="AD158" s="2537"/>
      <c r="AE158" s="2537"/>
      <c r="AF158" s="2537"/>
      <c r="AG158" s="2537"/>
      <c r="AH158" s="2537"/>
      <c r="AI158" s="2537"/>
      <c r="AJ158" s="253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35" t="s">
        <v>2479</v>
      </c>
      <c r="C161" s="2335"/>
      <c r="D161" s="2335"/>
      <c r="E161" s="2335"/>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D161" s="2335"/>
      <c r="AE161" s="2335"/>
      <c r="AF161" s="2335"/>
      <c r="AG161" s="2335"/>
      <c r="AH161" s="2335"/>
      <c r="AI161" s="2335"/>
      <c r="AJ161" s="2335"/>
      <c r="AK161" s="1182"/>
      <c r="AM161" s="540"/>
      <c r="AN161" s="536"/>
      <c r="AO161" s="477"/>
      <c r="AP161" s="490"/>
    </row>
    <row r="162" spans="1:42" s="537" customFormat="1" ht="12.75" customHeight="1">
      <c r="B162" s="2335"/>
      <c r="C162" s="2335"/>
      <c r="D162" s="2335"/>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D162" s="2335"/>
      <c r="AE162" s="2335"/>
      <c r="AF162" s="2335"/>
      <c r="AG162" s="2335"/>
      <c r="AH162" s="2335"/>
      <c r="AI162" s="2335"/>
      <c r="AJ162" s="2335"/>
      <c r="AK162" s="1182"/>
      <c r="AM162" s="540"/>
      <c r="AN162" s="536"/>
      <c r="AO162" s="477"/>
      <c r="AP162" s="490"/>
    </row>
    <row r="163" spans="1:42" s="537" customFormat="1" ht="12.75" customHeight="1">
      <c r="C163" s="2336" t="s">
        <v>2480</v>
      </c>
      <c r="D163" s="2336"/>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D163" s="2336"/>
      <c r="AE163" s="2336"/>
      <c r="AF163" s="2336"/>
      <c r="AG163" s="2336"/>
      <c r="AH163" s="2336"/>
      <c r="AI163" s="2336"/>
      <c r="AJ163" s="2336"/>
      <c r="AK163" s="1182"/>
      <c r="AM163" s="540"/>
      <c r="AN163" s="536"/>
      <c r="AO163" s="477"/>
      <c r="AP163" s="490"/>
    </row>
    <row r="164" spans="1:42" s="537" customFormat="1" ht="12.75" customHeight="1">
      <c r="B164" s="1182"/>
      <c r="C164" s="2337" t="s">
        <v>2478</v>
      </c>
      <c r="D164" s="2337"/>
      <c r="E164" s="2337"/>
      <c r="F164" s="2337"/>
      <c r="G164" s="2337"/>
      <c r="H164" s="2337"/>
      <c r="I164" s="2337"/>
      <c r="J164" s="2337"/>
      <c r="K164" s="2337"/>
      <c r="L164" s="2337"/>
      <c r="M164" s="2337"/>
      <c r="N164" s="2337"/>
      <c r="O164" s="2337"/>
      <c r="P164" s="2337"/>
      <c r="Q164" s="2337"/>
      <c r="R164" s="2337"/>
      <c r="S164" s="2337"/>
      <c r="T164" s="2337"/>
      <c r="U164" s="2337"/>
      <c r="V164" s="2337"/>
      <c r="W164" s="2337"/>
      <c r="X164" s="2337"/>
      <c r="Y164" s="2337"/>
      <c r="Z164" s="2337"/>
      <c r="AA164" s="1172"/>
      <c r="AB164" s="1172"/>
      <c r="AC164" s="1172"/>
      <c r="AD164" s="1172"/>
      <c r="AE164" s="1172"/>
      <c r="AF164" s="1172"/>
      <c r="AG164" s="1172"/>
      <c r="AH164" s="1172"/>
      <c r="AJ164" s="2338" t="s">
        <v>591</v>
      </c>
      <c r="AK164" s="233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26">
        <f>IF($AB$155="N/A",VLOOKUP($B$153,$AO$151:$AP$154,2,FALSE),VLOOKUP($B$158,$AO$156:$AP$158,2,FALSE))</f>
        <v>7</v>
      </c>
      <c r="AK166" s="2426"/>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6" t="s">
        <v>1352</v>
      </c>
      <c r="AG168" s="2466"/>
      <c r="AH168" s="2466"/>
      <c r="AI168" s="2466"/>
      <c r="AJ168" s="2466"/>
      <c r="AK168" s="2466"/>
      <c r="AL168" s="2466"/>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7" t="s">
        <v>1350</v>
      </c>
      <c r="D170" s="2537"/>
      <c r="E170" s="2537"/>
      <c r="F170" s="2537"/>
      <c r="G170" s="2537"/>
      <c r="H170" s="2537"/>
      <c r="I170" s="2537"/>
      <c r="J170" s="2537"/>
      <c r="K170" s="2537"/>
      <c r="L170" s="2537"/>
      <c r="M170" s="2537"/>
      <c r="N170" s="2537"/>
      <c r="O170" s="2537"/>
      <c r="P170" s="2537"/>
      <c r="Q170" s="2537"/>
      <c r="R170" s="2537"/>
      <c r="S170" s="2537"/>
      <c r="T170" s="2537"/>
      <c r="U170" s="2537"/>
      <c r="V170" s="2537"/>
      <c r="W170" s="2537"/>
      <c r="X170" s="2537"/>
      <c r="Y170" s="2537"/>
      <c r="Z170" s="2537"/>
      <c r="AA170" s="2537"/>
      <c r="AB170" s="2537"/>
      <c r="AC170" s="2537"/>
      <c r="AD170" s="2537"/>
      <c r="AE170" s="2537"/>
      <c r="AF170" s="2537"/>
      <c r="AG170" s="2537"/>
      <c r="AH170" s="2537"/>
      <c r="AI170" s="2537"/>
      <c r="AJ170" s="537"/>
      <c r="AK170" s="537"/>
      <c r="AL170" s="537"/>
      <c r="AM170" s="604"/>
      <c r="AN170" s="598"/>
      <c r="AO170" s="477" t="s">
        <v>306</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8" t="s">
        <v>591</v>
      </c>
      <c r="AG172" s="233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37" t="s">
        <v>1343</v>
      </c>
      <c r="D174" s="2537"/>
      <c r="E174" s="2537"/>
      <c r="F174" s="2537"/>
      <c r="G174" s="2537"/>
      <c r="H174" s="2537"/>
      <c r="I174" s="2537"/>
      <c r="J174" s="2537"/>
      <c r="K174" s="2537"/>
      <c r="L174" s="2537"/>
      <c r="M174" s="2537"/>
      <c r="N174" s="2537"/>
      <c r="O174" s="2537"/>
      <c r="P174" s="2537"/>
      <c r="Q174" s="2537"/>
      <c r="R174" s="2537"/>
      <c r="S174" s="2537"/>
      <c r="T174" s="2537"/>
      <c r="U174" s="2537"/>
      <c r="V174" s="2537"/>
      <c r="W174" s="2537"/>
      <c r="X174" s="2537"/>
      <c r="Y174" s="2537"/>
      <c r="Z174" s="2537"/>
      <c r="AA174" s="2537"/>
      <c r="AB174" s="2537"/>
      <c r="AC174" s="2537"/>
      <c r="AD174" s="253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8" t="str">
        <f>Application!AA335</f>
        <v>Mercy Housing Management Group</v>
      </c>
      <c r="D178" s="2538"/>
      <c r="E178" s="2538"/>
      <c r="F178" s="2538"/>
      <c r="G178" s="2538"/>
      <c r="H178" s="2538"/>
      <c r="I178" s="2538"/>
      <c r="J178" s="2538"/>
      <c r="K178" s="2538"/>
      <c r="L178" s="2538"/>
      <c r="M178" s="2538"/>
      <c r="N178" s="2538"/>
      <c r="O178" s="2538"/>
      <c r="P178" s="2538"/>
      <c r="Q178" s="2538"/>
      <c r="R178" s="2538"/>
      <c r="S178" s="2538"/>
      <c r="T178" s="2538"/>
      <c r="U178" s="2538"/>
      <c r="V178" s="2538"/>
      <c r="W178" s="2538"/>
      <c r="X178" s="2538"/>
      <c r="Y178" s="2538"/>
      <c r="Z178" s="2538"/>
      <c r="AA178" s="2538"/>
      <c r="AB178" s="2538"/>
      <c r="AC178" s="2538"/>
      <c r="AD178" s="2538"/>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25">
        <f>IF($AF$172="N/A",VLOOKUP($C$170,$AO$170:$AP$173,2,FALSE),VLOOKUP($C$174,$AO$177:$AP$179,2,FALSE))</f>
        <v>3</v>
      </c>
      <c r="AK180" s="2425"/>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32">
        <f>$AJ$166+$AJ$180</f>
        <v>10</v>
      </c>
      <c r="AL183" s="2533"/>
      <c r="AM183" s="2534"/>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6" t="s">
        <v>1314</v>
      </c>
      <c r="AF186" s="2406"/>
      <c r="AG186" s="2406"/>
      <c r="AH186" s="2406"/>
      <c r="AI186" s="2406"/>
      <c r="AJ186" s="2406"/>
      <c r="AK186" s="2406"/>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35" t="s">
        <v>1362</v>
      </c>
      <c r="C188" s="2535"/>
      <c r="D188" s="2535"/>
      <c r="E188" s="2535"/>
      <c r="F188" s="2535"/>
      <c r="G188" s="2535"/>
      <c r="H188" s="2535"/>
      <c r="I188" s="2535"/>
      <c r="J188" s="2535"/>
      <c r="K188" s="2535"/>
      <c r="L188" s="2535"/>
      <c r="M188" s="2535"/>
      <c r="N188" s="2535"/>
      <c r="O188" s="2535"/>
      <c r="P188" s="2535"/>
      <c r="Q188" s="2535"/>
      <c r="R188" s="2535"/>
      <c r="S188" s="2535"/>
      <c r="T188" s="2535"/>
      <c r="U188" s="2535"/>
      <c r="V188" s="2535"/>
      <c r="W188" s="2535"/>
      <c r="X188" s="2535"/>
      <c r="Y188" s="2535"/>
      <c r="Z188" s="2535"/>
      <c r="AA188" s="2535"/>
      <c r="AB188" s="2535"/>
      <c r="AC188" s="2535"/>
      <c r="AD188" s="537"/>
      <c r="AE188" s="537"/>
      <c r="AF188" s="2466" t="s">
        <v>1363</v>
      </c>
      <c r="AG188" s="2466"/>
      <c r="AH188" s="2466"/>
      <c r="AI188" s="2466"/>
      <c r="AJ188" s="2466"/>
      <c r="AK188" s="2466"/>
      <c r="AL188" s="2466"/>
      <c r="AN188" s="598"/>
      <c r="AP188" s="551" t="s">
        <v>1043</v>
      </c>
      <c r="AQ188" s="551">
        <v>10</v>
      </c>
    </row>
    <row r="189" spans="1:73" s="551" customFormat="1" ht="12.75" customHeight="1">
      <c r="A189" s="537"/>
      <c r="B189" s="2337" t="s">
        <v>1726</v>
      </c>
      <c r="C189" s="2337"/>
      <c r="D189" s="2337"/>
      <c r="E189" s="2337"/>
      <c r="F189" s="2337"/>
      <c r="G189" s="2337"/>
      <c r="H189" s="2337"/>
      <c r="I189" s="2337"/>
      <c r="J189" s="2337"/>
      <c r="K189" s="2337"/>
      <c r="L189" s="2337"/>
      <c r="M189" s="2337"/>
      <c r="N189" s="2337"/>
      <c r="O189" s="2337"/>
      <c r="P189" s="2337"/>
      <c r="Q189" s="2337"/>
      <c r="R189" s="2337"/>
      <c r="S189" s="2337"/>
      <c r="T189" s="2536" t="s">
        <v>591</v>
      </c>
      <c r="U189" s="2536"/>
      <c r="V189" s="2536"/>
      <c r="W189" s="2536"/>
      <c r="X189" s="2536"/>
      <c r="Y189" s="2536"/>
      <c r="Z189" s="2536"/>
      <c r="AA189" s="2536"/>
      <c r="AB189" s="2536"/>
      <c r="AC189" s="2536"/>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73">
        <f>IF(AK84&gt;0,VLOOKUP($B$188,AP185:AQ191,2,FALSE),0)</f>
        <v>10</v>
      </c>
      <c r="AL191" s="2374"/>
      <c r="AM191" s="2375"/>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6" t="s">
        <v>1372</v>
      </c>
      <c r="AF194" s="2406"/>
      <c r="AG194" s="2406"/>
      <c r="AH194" s="2406"/>
      <c r="AI194" s="2406"/>
      <c r="AJ194" s="2406"/>
      <c r="AK194" s="2406"/>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9" t="s">
        <v>2754</v>
      </c>
      <c r="C199" s="2529"/>
      <c r="D199" s="2529"/>
      <c r="E199" s="2529"/>
      <c r="F199" s="2529"/>
      <c r="G199" s="2529"/>
      <c r="H199" s="2529"/>
      <c r="I199" s="2529"/>
      <c r="J199" s="2529"/>
      <c r="K199" s="2529"/>
      <c r="L199" s="2529"/>
      <c r="M199" s="2529"/>
      <c r="N199" s="2529"/>
      <c r="O199" s="2529"/>
      <c r="P199" s="2529"/>
      <c r="Q199" s="2529"/>
      <c r="R199" s="2529"/>
      <c r="S199" s="2529"/>
      <c r="T199" s="2529"/>
      <c r="U199" s="2529"/>
      <c r="V199" s="2529"/>
      <c r="W199" s="2529"/>
      <c r="X199" s="2529"/>
      <c r="Y199" s="2529"/>
      <c r="Z199" s="2529"/>
      <c r="AA199" s="2529"/>
      <c r="AB199" s="2529"/>
      <c r="AC199" s="847"/>
      <c r="AD199" s="2519">
        <v>20000000</v>
      </c>
      <c r="AE199" s="2519"/>
      <c r="AF199" s="2519"/>
      <c r="AG199" s="2519"/>
      <c r="AH199" s="2519"/>
      <c r="AI199" s="2519"/>
      <c r="AJ199" s="2519"/>
      <c r="AK199" s="611"/>
    </row>
    <row r="200" spans="1:40">
      <c r="A200" s="606"/>
      <c r="B200" s="2529" t="s">
        <v>2712</v>
      </c>
      <c r="C200" s="2529"/>
      <c r="D200" s="2529"/>
      <c r="E200" s="2529"/>
      <c r="F200" s="2529"/>
      <c r="G200" s="2529"/>
      <c r="H200" s="2529"/>
      <c r="I200" s="2529"/>
      <c r="J200" s="2529"/>
      <c r="K200" s="2529"/>
      <c r="L200" s="2529"/>
      <c r="M200" s="2529"/>
      <c r="N200" s="2529"/>
      <c r="O200" s="2529"/>
      <c r="P200" s="2529"/>
      <c r="Q200" s="2529"/>
      <c r="R200" s="2529"/>
      <c r="S200" s="2529"/>
      <c r="T200" s="2529"/>
      <c r="U200" s="2529"/>
      <c r="V200" s="2529"/>
      <c r="W200" s="2529"/>
      <c r="X200" s="2529"/>
      <c r="Y200" s="2529"/>
      <c r="Z200" s="2529"/>
      <c r="AA200" s="2529"/>
      <c r="AB200" s="2529"/>
      <c r="AC200" s="847"/>
      <c r="AD200" s="2519">
        <v>1000000</v>
      </c>
      <c r="AE200" s="2519"/>
      <c r="AF200" s="2519"/>
      <c r="AG200" s="2519"/>
      <c r="AH200" s="2519"/>
      <c r="AI200" s="2519"/>
      <c r="AJ200" s="2519"/>
      <c r="AK200" s="611"/>
    </row>
    <row r="201" spans="1:40">
      <c r="A201" s="606"/>
      <c r="B201" s="2529" t="s">
        <v>2728</v>
      </c>
      <c r="C201" s="2529"/>
      <c r="D201" s="2529"/>
      <c r="E201" s="2529"/>
      <c r="F201" s="2529"/>
      <c r="G201" s="2529"/>
      <c r="H201" s="2529"/>
      <c r="I201" s="2529"/>
      <c r="J201" s="2529"/>
      <c r="K201" s="2529"/>
      <c r="L201" s="2529"/>
      <c r="M201" s="2529"/>
      <c r="N201" s="2529"/>
      <c r="O201" s="2529"/>
      <c r="P201" s="2529"/>
      <c r="Q201" s="2529"/>
      <c r="R201" s="2529"/>
      <c r="S201" s="2529"/>
      <c r="T201" s="2529"/>
      <c r="U201" s="2529"/>
      <c r="V201" s="2529"/>
      <c r="W201" s="2529"/>
      <c r="X201" s="2529"/>
      <c r="Y201" s="2529"/>
      <c r="Z201" s="2529"/>
      <c r="AA201" s="2529"/>
      <c r="AB201" s="2529"/>
      <c r="AC201" s="847"/>
      <c r="AD201" s="2519">
        <v>11800000</v>
      </c>
      <c r="AE201" s="2519"/>
      <c r="AF201" s="2519"/>
      <c r="AG201" s="2519"/>
      <c r="AH201" s="2519"/>
      <c r="AI201" s="2519"/>
      <c r="AJ201" s="2519"/>
      <c r="AK201" s="611"/>
    </row>
    <row r="202" spans="1:40">
      <c r="A202" s="606"/>
      <c r="B202" s="2529"/>
      <c r="C202" s="2529"/>
      <c r="D202" s="2529"/>
      <c r="E202" s="2529"/>
      <c r="F202" s="2529"/>
      <c r="G202" s="2529"/>
      <c r="H202" s="2529"/>
      <c r="I202" s="2529"/>
      <c r="J202" s="2529"/>
      <c r="K202" s="2529"/>
      <c r="L202" s="2529"/>
      <c r="M202" s="2529"/>
      <c r="N202" s="2529"/>
      <c r="O202" s="2529"/>
      <c r="P202" s="2529"/>
      <c r="Q202" s="2529"/>
      <c r="R202" s="2529"/>
      <c r="S202" s="2529"/>
      <c r="T202" s="2529"/>
      <c r="U202" s="2529"/>
      <c r="V202" s="2529"/>
      <c r="W202" s="2529"/>
      <c r="X202" s="2529"/>
      <c r="Y202" s="2529"/>
      <c r="Z202" s="2529"/>
      <c r="AA202" s="2529"/>
      <c r="AB202" s="2529"/>
      <c r="AC202" s="847"/>
      <c r="AD202" s="2519"/>
      <c r="AE202" s="2519"/>
      <c r="AF202" s="2519"/>
      <c r="AG202" s="2519"/>
      <c r="AH202" s="2519"/>
      <c r="AI202" s="2519"/>
      <c r="AJ202" s="2519"/>
      <c r="AK202" s="611"/>
    </row>
    <row r="203" spans="1:40">
      <c r="A203" s="606"/>
      <c r="B203" s="2529"/>
      <c r="C203" s="2529"/>
      <c r="D203" s="2529"/>
      <c r="E203" s="2529"/>
      <c r="F203" s="2529"/>
      <c r="G203" s="2529"/>
      <c r="H203" s="2529"/>
      <c r="I203" s="2529"/>
      <c r="J203" s="2529"/>
      <c r="K203" s="2529"/>
      <c r="L203" s="2529"/>
      <c r="M203" s="2529"/>
      <c r="N203" s="2529"/>
      <c r="O203" s="2529"/>
      <c r="P203" s="2529"/>
      <c r="Q203" s="2529"/>
      <c r="R203" s="2529"/>
      <c r="S203" s="2529"/>
      <c r="T203" s="2529"/>
      <c r="U203" s="2529"/>
      <c r="V203" s="2529"/>
      <c r="W203" s="2529"/>
      <c r="X203" s="2529"/>
      <c r="Y203" s="2529"/>
      <c r="Z203" s="2529"/>
      <c r="AA203" s="2529"/>
      <c r="AB203" s="2529"/>
      <c r="AC203" s="847"/>
      <c r="AD203" s="2519"/>
      <c r="AE203" s="2519"/>
      <c r="AF203" s="2519"/>
      <c r="AG203" s="2519"/>
      <c r="AH203" s="2519"/>
      <c r="AI203" s="2519"/>
      <c r="AJ203" s="2519"/>
      <c r="AK203" s="611"/>
    </row>
    <row r="204" spans="1:40">
      <c r="A204" s="606"/>
      <c r="B204" s="2529"/>
      <c r="C204" s="2529"/>
      <c r="D204" s="2529"/>
      <c r="E204" s="2529"/>
      <c r="F204" s="2529"/>
      <c r="G204" s="2529"/>
      <c r="H204" s="2529"/>
      <c r="I204" s="2529"/>
      <c r="J204" s="2529"/>
      <c r="K204" s="2529"/>
      <c r="L204" s="2529"/>
      <c r="M204" s="2529"/>
      <c r="N204" s="2529"/>
      <c r="O204" s="2529"/>
      <c r="P204" s="2529"/>
      <c r="Q204" s="2529"/>
      <c r="R204" s="2529"/>
      <c r="S204" s="2529"/>
      <c r="T204" s="2529"/>
      <c r="U204" s="2529"/>
      <c r="V204" s="2529"/>
      <c r="W204" s="2529"/>
      <c r="X204" s="2529"/>
      <c r="Y204" s="2529"/>
      <c r="Z204" s="2529"/>
      <c r="AA204" s="2529"/>
      <c r="AB204" s="2529"/>
      <c r="AC204" s="847"/>
      <c r="AD204" s="2519"/>
      <c r="AE204" s="2519"/>
      <c r="AF204" s="2519"/>
      <c r="AG204" s="2519"/>
      <c r="AH204" s="2519"/>
      <c r="AI204" s="2519"/>
      <c r="AJ204" s="2519"/>
      <c r="AK204" s="611"/>
    </row>
    <row r="205" spans="1:40">
      <c r="A205" s="606"/>
      <c r="B205" s="2529"/>
      <c r="C205" s="2529"/>
      <c r="D205" s="2529"/>
      <c r="E205" s="2529"/>
      <c r="F205" s="2529"/>
      <c r="G205" s="2529"/>
      <c r="H205" s="2529"/>
      <c r="I205" s="2529"/>
      <c r="J205" s="2529"/>
      <c r="K205" s="2529"/>
      <c r="L205" s="2529"/>
      <c r="M205" s="2529"/>
      <c r="N205" s="2529"/>
      <c r="O205" s="2529"/>
      <c r="P205" s="2529"/>
      <c r="Q205" s="2529"/>
      <c r="R205" s="2529"/>
      <c r="S205" s="2529"/>
      <c r="T205" s="2529"/>
      <c r="U205" s="2529"/>
      <c r="V205" s="2529"/>
      <c r="W205" s="2529"/>
      <c r="X205" s="2529"/>
      <c r="Y205" s="2529"/>
      <c r="Z205" s="2529"/>
      <c r="AA205" s="2529"/>
      <c r="AB205" s="2529"/>
      <c r="AC205" s="847"/>
      <c r="AD205" s="2519"/>
      <c r="AE205" s="2519"/>
      <c r="AF205" s="2519"/>
      <c r="AG205" s="2519"/>
      <c r="AH205" s="2519"/>
      <c r="AI205" s="2519"/>
      <c r="AJ205" s="2519"/>
      <c r="AK205" s="611"/>
    </row>
    <row r="206" spans="1:40">
      <c r="A206" s="606"/>
      <c r="B206" s="2529"/>
      <c r="C206" s="2529"/>
      <c r="D206" s="2529"/>
      <c r="E206" s="2529"/>
      <c r="F206" s="2529"/>
      <c r="G206" s="2529"/>
      <c r="H206" s="2529"/>
      <c r="I206" s="2529"/>
      <c r="J206" s="2529"/>
      <c r="K206" s="2529"/>
      <c r="L206" s="2529"/>
      <c r="M206" s="2529"/>
      <c r="N206" s="2529"/>
      <c r="O206" s="2529"/>
      <c r="P206" s="2529"/>
      <c r="Q206" s="2529"/>
      <c r="R206" s="2529"/>
      <c r="S206" s="2529"/>
      <c r="T206" s="2529"/>
      <c r="U206" s="2529"/>
      <c r="V206" s="2529"/>
      <c r="W206" s="2529"/>
      <c r="X206" s="2529"/>
      <c r="Y206" s="2529"/>
      <c r="Z206" s="2529"/>
      <c r="AA206" s="2529"/>
      <c r="AB206" s="2529"/>
      <c r="AC206" s="847"/>
      <c r="AD206" s="2519"/>
      <c r="AE206" s="2519"/>
      <c r="AF206" s="2519"/>
      <c r="AG206" s="2519"/>
      <c r="AH206" s="2519"/>
      <c r="AI206" s="2519"/>
      <c r="AJ206" s="2519"/>
      <c r="AK206" s="611"/>
    </row>
    <row r="207" spans="1:40">
      <c r="A207" s="606"/>
      <c r="B207" s="2529"/>
      <c r="C207" s="2529"/>
      <c r="D207" s="2529"/>
      <c r="E207" s="2529"/>
      <c r="F207" s="2529"/>
      <c r="G207" s="2529"/>
      <c r="H207" s="2529"/>
      <c r="I207" s="2529"/>
      <c r="J207" s="2529"/>
      <c r="K207" s="2529"/>
      <c r="L207" s="2529"/>
      <c r="M207" s="2529"/>
      <c r="N207" s="2529"/>
      <c r="O207" s="2529"/>
      <c r="P207" s="2529"/>
      <c r="Q207" s="2529"/>
      <c r="R207" s="2529"/>
      <c r="S207" s="2529"/>
      <c r="T207" s="2529"/>
      <c r="U207" s="2529"/>
      <c r="V207" s="2529"/>
      <c r="W207" s="2529"/>
      <c r="X207" s="2529"/>
      <c r="Y207" s="2529"/>
      <c r="Z207" s="2529"/>
      <c r="AA207" s="2529"/>
      <c r="AB207" s="2529"/>
      <c r="AC207" s="847"/>
      <c r="AD207" s="2519"/>
      <c r="AE207" s="2519"/>
      <c r="AF207" s="2519"/>
      <c r="AG207" s="2519"/>
      <c r="AH207" s="2519"/>
      <c r="AI207" s="2519"/>
      <c r="AJ207" s="2519"/>
      <c r="AK207" s="611"/>
    </row>
    <row r="208" spans="1:40">
      <c r="A208" s="606"/>
      <c r="B208" s="2529"/>
      <c r="C208" s="2529"/>
      <c r="D208" s="2529"/>
      <c r="E208" s="2529"/>
      <c r="F208" s="2529"/>
      <c r="G208" s="2529"/>
      <c r="H208" s="2529"/>
      <c r="I208" s="2529"/>
      <c r="J208" s="2529"/>
      <c r="K208" s="2529"/>
      <c r="L208" s="2529"/>
      <c r="M208" s="2529"/>
      <c r="N208" s="2529"/>
      <c r="O208" s="2529"/>
      <c r="P208" s="2529"/>
      <c r="Q208" s="2529"/>
      <c r="R208" s="2529"/>
      <c r="S208" s="2529"/>
      <c r="T208" s="2529"/>
      <c r="U208" s="2529"/>
      <c r="V208" s="2529"/>
      <c r="W208" s="2529"/>
      <c r="X208" s="2529"/>
      <c r="Y208" s="2529"/>
      <c r="Z208" s="2529"/>
      <c r="AA208" s="2529"/>
      <c r="AB208" s="2529"/>
      <c r="AC208" s="847"/>
      <c r="AD208" s="2519"/>
      <c r="AE208" s="2519"/>
      <c r="AF208" s="2519"/>
      <c r="AG208" s="2519"/>
      <c r="AH208" s="2519"/>
      <c r="AI208" s="2519"/>
      <c r="AJ208" s="2519"/>
      <c r="AK208" s="611"/>
    </row>
    <row r="209" spans="1:37">
      <c r="A209" s="606"/>
      <c r="B209" s="2544" t="s">
        <v>1627</v>
      </c>
      <c r="C209" s="2544"/>
      <c r="D209" s="2544"/>
      <c r="E209" s="2544"/>
      <c r="F209" s="2544"/>
      <c r="G209" s="2544"/>
      <c r="H209" s="2544"/>
      <c r="I209" s="2544"/>
      <c r="J209" s="2544"/>
      <c r="K209" s="2544"/>
      <c r="L209" s="2544"/>
      <c r="M209" s="2544"/>
      <c r="N209" s="2544"/>
      <c r="O209" s="2544"/>
      <c r="P209" s="2544"/>
      <c r="Q209" s="2544"/>
      <c r="R209" s="2544"/>
      <c r="S209" s="2544"/>
      <c r="T209" s="2544"/>
      <c r="U209" s="2544"/>
      <c r="V209" s="2544"/>
      <c r="W209" s="2544"/>
      <c r="X209" s="2544"/>
      <c r="Y209" s="2544"/>
      <c r="Z209" s="2544"/>
      <c r="AA209" s="2544"/>
      <c r="AB209" s="2544"/>
      <c r="AC209" s="537"/>
      <c r="AD209" s="2517">
        <f>AB260</f>
        <v>8753291.9271233119</v>
      </c>
      <c r="AE209" s="2517"/>
      <c r="AF209" s="2517"/>
      <c r="AG209" s="2517"/>
      <c r="AH209" s="2517"/>
      <c r="AI209" s="2517"/>
      <c r="AJ209" s="2517"/>
      <c r="AK209" s="611"/>
    </row>
    <row r="210" spans="1:37">
      <c r="A210" s="606"/>
      <c r="B210" s="2391" t="s">
        <v>1590</v>
      </c>
      <c r="C210" s="2391"/>
      <c r="D210" s="2391"/>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847"/>
      <c r="AD210" s="2518">
        <f>'Sources and Uses Budget'!B15</f>
        <v>0</v>
      </c>
      <c r="AE210" s="2518"/>
      <c r="AF210" s="2518"/>
      <c r="AG210" s="2518"/>
      <c r="AH210" s="2518"/>
      <c r="AI210" s="2518"/>
      <c r="AJ210" s="2518"/>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23">
        <f>SUM(AD199:AJ209)-AD210</f>
        <v>41553291.927123308</v>
      </c>
      <c r="AE211" s="2523"/>
      <c r="AF211" s="2523"/>
      <c r="AG211" s="2523"/>
      <c r="AH211" s="2523"/>
      <c r="AI211" s="2523"/>
      <c r="AJ211" s="2523"/>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42" t="s">
        <v>1607</v>
      </c>
      <c r="J222" s="2542"/>
      <c r="K222" s="2542"/>
      <c r="L222" s="537"/>
      <c r="M222" s="537"/>
      <c r="N222" s="537"/>
      <c r="O222" s="537"/>
      <c r="P222" s="537"/>
      <c r="Q222" s="537"/>
      <c r="R222" s="537"/>
      <c r="S222" s="537"/>
      <c r="T222" s="2357" t="s">
        <v>1601</v>
      </c>
      <c r="U222" s="2357"/>
      <c r="V222" s="2357"/>
      <c r="W222" s="2357"/>
      <c r="X222" s="2357"/>
      <c r="Y222" s="2357"/>
      <c r="Z222" s="850"/>
      <c r="AA222" s="490"/>
      <c r="AB222" s="2539" t="s">
        <v>1602</v>
      </c>
      <c r="AC222" s="2539"/>
      <c r="AD222" s="2539"/>
      <c r="AE222" s="2539"/>
      <c r="AF222" s="2539"/>
      <c r="AG222" s="2539"/>
      <c r="AH222" s="828"/>
      <c r="AI222" s="828"/>
      <c r="AJ222" s="828"/>
      <c r="AK222" s="611"/>
    </row>
    <row r="223" spans="1:37">
      <c r="A223" s="606"/>
      <c r="B223" s="2540" t="s">
        <v>1587</v>
      </c>
      <c r="C223" s="2540"/>
      <c r="D223" s="2540"/>
      <c r="E223" s="2540"/>
      <c r="F223" s="2540"/>
      <c r="G223" s="2540"/>
      <c r="I223" s="2541" t="s">
        <v>1608</v>
      </c>
      <c r="J223" s="2541"/>
      <c r="K223" s="2541"/>
      <c r="L223" s="1009"/>
      <c r="N223" s="2392" t="s">
        <v>1603</v>
      </c>
      <c r="O223" s="2392"/>
      <c r="P223" s="2392"/>
      <c r="Q223" s="2392"/>
      <c r="R223" s="2392"/>
      <c r="T223" s="2392" t="s">
        <v>1604</v>
      </c>
      <c r="U223" s="2392"/>
      <c r="V223" s="2392"/>
      <c r="W223" s="2392"/>
      <c r="X223" s="2392"/>
      <c r="Y223" s="2392"/>
      <c r="Z223" s="851"/>
      <c r="AA223" s="490"/>
      <c r="AB223" s="2407" t="s">
        <v>1605</v>
      </c>
      <c r="AC223" s="2407"/>
      <c r="AD223" s="2407"/>
      <c r="AE223" s="2407"/>
      <c r="AF223" s="2407"/>
      <c r="AG223" s="2407"/>
      <c r="AH223" s="828"/>
      <c r="AI223" s="828"/>
      <c r="AJ223" s="828"/>
      <c r="AK223" s="611"/>
    </row>
    <row r="224" spans="1:37">
      <c r="A224" s="606"/>
      <c r="B224" s="2408" t="s">
        <v>323</v>
      </c>
      <c r="C224" s="2408"/>
      <c r="D224" s="2408"/>
      <c r="E224" s="2408"/>
      <c r="F224" s="2408"/>
      <c r="G224" s="2408"/>
      <c r="H224" s="853"/>
      <c r="I224" s="2361"/>
      <c r="J224" s="2361"/>
      <c r="K224" s="2361"/>
      <c r="L224" s="1009"/>
      <c r="N224" s="2359"/>
      <c r="O224" s="2359"/>
      <c r="P224" s="2359"/>
      <c r="Q224" s="2359"/>
      <c r="R224" s="2359"/>
      <c r="T224" s="2358"/>
      <c r="U224" s="2358"/>
      <c r="V224" s="2358"/>
      <c r="W224" s="2358"/>
      <c r="X224" s="2358"/>
      <c r="Y224" s="2358"/>
      <c r="Z224" s="852"/>
      <c r="AA224" s="852"/>
      <c r="AB224" s="2356">
        <f t="shared" ref="AB224:AB233" si="0">MAX(($T224-$N224)*$I224*12,0)</f>
        <v>0</v>
      </c>
      <c r="AC224" s="2356"/>
      <c r="AD224" s="2356"/>
      <c r="AE224" s="2356"/>
      <c r="AF224" s="2356"/>
      <c r="AG224" s="2356"/>
      <c r="AH224" s="828"/>
      <c r="AI224" s="828"/>
      <c r="AJ224" s="828"/>
      <c r="AK224" s="611"/>
    </row>
    <row r="225" spans="1:37">
      <c r="A225" s="606"/>
      <c r="B225" s="2408" t="s">
        <v>1184</v>
      </c>
      <c r="C225" s="2408"/>
      <c r="D225" s="2408"/>
      <c r="E225" s="2408"/>
      <c r="F225" s="2408"/>
      <c r="G225" s="2408"/>
      <c r="I225" s="2361"/>
      <c r="J225" s="2361"/>
      <c r="K225" s="2361"/>
      <c r="L225" s="1009"/>
      <c r="N225" s="2359"/>
      <c r="O225" s="2359"/>
      <c r="P225" s="2359"/>
      <c r="Q225" s="2359"/>
      <c r="R225" s="2359"/>
      <c r="T225" s="2358"/>
      <c r="U225" s="2358"/>
      <c r="V225" s="2358"/>
      <c r="W225" s="2358"/>
      <c r="X225" s="2358"/>
      <c r="Y225" s="2358"/>
      <c r="Z225" s="852"/>
      <c r="AA225" s="852"/>
      <c r="AB225" s="2356">
        <f t="shared" si="0"/>
        <v>0</v>
      </c>
      <c r="AC225" s="2356"/>
      <c r="AD225" s="2356"/>
      <c r="AE225" s="2356"/>
      <c r="AF225" s="2356"/>
      <c r="AG225" s="2356"/>
      <c r="AH225" s="828"/>
      <c r="AI225" s="828"/>
      <c r="AJ225" s="828"/>
      <c r="AK225" s="611"/>
    </row>
    <row r="226" spans="1:37">
      <c r="A226" s="606"/>
      <c r="B226" s="2408" t="s">
        <v>1184</v>
      </c>
      <c r="C226" s="2408"/>
      <c r="D226" s="2408"/>
      <c r="E226" s="2408"/>
      <c r="F226" s="2408"/>
      <c r="G226" s="2408"/>
      <c r="I226" s="2361"/>
      <c r="J226" s="2361"/>
      <c r="K226" s="2361"/>
      <c r="L226" s="1009"/>
      <c r="N226" s="2359"/>
      <c r="O226" s="2359"/>
      <c r="P226" s="2359"/>
      <c r="Q226" s="2359"/>
      <c r="R226" s="2359"/>
      <c r="T226" s="2358"/>
      <c r="U226" s="2358"/>
      <c r="V226" s="2358"/>
      <c r="W226" s="2358"/>
      <c r="X226" s="2358"/>
      <c r="Y226" s="2358"/>
      <c r="Z226" s="852"/>
      <c r="AA226" s="852"/>
      <c r="AB226" s="2356">
        <f t="shared" si="0"/>
        <v>0</v>
      </c>
      <c r="AC226" s="2356"/>
      <c r="AD226" s="2356"/>
      <c r="AE226" s="2356"/>
      <c r="AF226" s="2356"/>
      <c r="AG226" s="2356"/>
      <c r="AH226" s="828"/>
      <c r="AI226" s="828"/>
      <c r="AJ226" s="828"/>
      <c r="AK226" s="611"/>
    </row>
    <row r="227" spans="1:37">
      <c r="A227" s="606"/>
      <c r="B227" s="2408" t="s">
        <v>1184</v>
      </c>
      <c r="C227" s="2408"/>
      <c r="D227" s="2408"/>
      <c r="E227" s="2408"/>
      <c r="F227" s="2408"/>
      <c r="G227" s="2408"/>
      <c r="I227" s="2361"/>
      <c r="J227" s="2361"/>
      <c r="K227" s="2361"/>
      <c r="L227" s="1009"/>
      <c r="N227" s="2359"/>
      <c r="O227" s="2359"/>
      <c r="P227" s="2359"/>
      <c r="Q227" s="2359"/>
      <c r="R227" s="2359"/>
      <c r="T227" s="2358"/>
      <c r="U227" s="2358"/>
      <c r="V227" s="2358"/>
      <c r="W227" s="2358"/>
      <c r="X227" s="2358"/>
      <c r="Y227" s="2358"/>
      <c r="Z227" s="852"/>
      <c r="AA227" s="852"/>
      <c r="AB227" s="2356">
        <f t="shared" si="0"/>
        <v>0</v>
      </c>
      <c r="AC227" s="2356"/>
      <c r="AD227" s="2356"/>
      <c r="AE227" s="2356"/>
      <c r="AF227" s="2356"/>
      <c r="AG227" s="2356"/>
      <c r="AH227" s="828"/>
      <c r="AI227" s="828"/>
      <c r="AJ227" s="828"/>
      <c r="AK227" s="611"/>
    </row>
    <row r="228" spans="1:37">
      <c r="A228" s="606"/>
      <c r="B228" s="2408" t="s">
        <v>1184</v>
      </c>
      <c r="C228" s="2408"/>
      <c r="D228" s="2408"/>
      <c r="E228" s="2408"/>
      <c r="F228" s="2408"/>
      <c r="G228" s="2408"/>
      <c r="I228" s="2361"/>
      <c r="J228" s="2361"/>
      <c r="K228" s="2361"/>
      <c r="L228" s="1016"/>
      <c r="N228" s="2359"/>
      <c r="O228" s="2359"/>
      <c r="P228" s="2359"/>
      <c r="Q228" s="2359"/>
      <c r="R228" s="2359"/>
      <c r="T228" s="2358"/>
      <c r="U228" s="2358"/>
      <c r="V228" s="2358"/>
      <c r="W228" s="2358"/>
      <c r="X228" s="2358"/>
      <c r="Y228" s="2358"/>
      <c r="Z228" s="852"/>
      <c r="AA228" s="852"/>
      <c r="AB228" s="2356">
        <f t="shared" si="0"/>
        <v>0</v>
      </c>
      <c r="AC228" s="2356"/>
      <c r="AD228" s="2356"/>
      <c r="AE228" s="2356"/>
      <c r="AF228" s="2356"/>
      <c r="AG228" s="2356"/>
      <c r="AH228" s="828"/>
      <c r="AI228" s="828"/>
      <c r="AJ228" s="828"/>
      <c r="AK228" s="611"/>
    </row>
    <row r="229" spans="1:37">
      <c r="A229" s="606"/>
      <c r="B229" s="2408" t="s">
        <v>1184</v>
      </c>
      <c r="C229" s="2408"/>
      <c r="D229" s="2408"/>
      <c r="E229" s="2408"/>
      <c r="F229" s="2408"/>
      <c r="G229" s="2408"/>
      <c r="I229" s="2361"/>
      <c r="J229" s="2361"/>
      <c r="K229" s="2361"/>
      <c r="L229" s="1016"/>
      <c r="N229" s="2359"/>
      <c r="O229" s="2359"/>
      <c r="P229" s="2359"/>
      <c r="Q229" s="2359"/>
      <c r="R229" s="2359"/>
      <c r="T229" s="2358"/>
      <c r="U229" s="2358"/>
      <c r="V229" s="2358"/>
      <c r="W229" s="2358"/>
      <c r="X229" s="2358"/>
      <c r="Y229" s="2358"/>
      <c r="Z229" s="852"/>
      <c r="AA229" s="852"/>
      <c r="AB229" s="2356">
        <f t="shared" si="0"/>
        <v>0</v>
      </c>
      <c r="AC229" s="2356"/>
      <c r="AD229" s="2356"/>
      <c r="AE229" s="2356"/>
      <c r="AF229" s="2356"/>
      <c r="AG229" s="2356"/>
      <c r="AH229" s="828"/>
      <c r="AI229" s="828"/>
      <c r="AJ229" s="828"/>
      <c r="AK229" s="611"/>
    </row>
    <row r="230" spans="1:37">
      <c r="A230" s="606"/>
      <c r="B230" s="2408" t="s">
        <v>1184</v>
      </c>
      <c r="C230" s="2408"/>
      <c r="D230" s="2408"/>
      <c r="E230" s="2408"/>
      <c r="F230" s="2408"/>
      <c r="G230" s="2408"/>
      <c r="I230" s="2361"/>
      <c r="J230" s="2361"/>
      <c r="K230" s="2361"/>
      <c r="L230" s="1016"/>
      <c r="N230" s="2359"/>
      <c r="O230" s="2359"/>
      <c r="P230" s="2359"/>
      <c r="Q230" s="2359"/>
      <c r="R230" s="2359"/>
      <c r="T230" s="2358"/>
      <c r="U230" s="2358"/>
      <c r="V230" s="2358"/>
      <c r="W230" s="2358"/>
      <c r="X230" s="2358"/>
      <c r="Y230" s="2358"/>
      <c r="Z230" s="852"/>
      <c r="AA230" s="852"/>
      <c r="AB230" s="2356">
        <f t="shared" si="0"/>
        <v>0</v>
      </c>
      <c r="AC230" s="2356"/>
      <c r="AD230" s="2356"/>
      <c r="AE230" s="2356"/>
      <c r="AF230" s="2356"/>
      <c r="AG230" s="2356"/>
      <c r="AH230" s="828"/>
      <c r="AI230" s="828"/>
      <c r="AJ230" s="828"/>
      <c r="AK230" s="611"/>
    </row>
    <row r="231" spans="1:37">
      <c r="A231" s="606"/>
      <c r="B231" s="2408" t="s">
        <v>1184</v>
      </c>
      <c r="C231" s="2408"/>
      <c r="D231" s="2408"/>
      <c r="E231" s="2408"/>
      <c r="F231" s="2408"/>
      <c r="G231" s="2408"/>
      <c r="I231" s="2361"/>
      <c r="J231" s="2361"/>
      <c r="K231" s="2361"/>
      <c r="L231" s="1016"/>
      <c r="N231" s="2359"/>
      <c r="O231" s="2359"/>
      <c r="P231" s="2359"/>
      <c r="Q231" s="2359"/>
      <c r="R231" s="2359"/>
      <c r="T231" s="2358"/>
      <c r="U231" s="2358"/>
      <c r="V231" s="2358"/>
      <c r="W231" s="2358"/>
      <c r="X231" s="2358"/>
      <c r="Y231" s="2358"/>
      <c r="Z231" s="852"/>
      <c r="AA231" s="852"/>
      <c r="AB231" s="2356">
        <f t="shared" si="0"/>
        <v>0</v>
      </c>
      <c r="AC231" s="2356"/>
      <c r="AD231" s="2356"/>
      <c r="AE231" s="2356"/>
      <c r="AF231" s="2356"/>
      <c r="AG231" s="2356"/>
      <c r="AH231" s="828"/>
      <c r="AI231" s="828"/>
      <c r="AJ231" s="828"/>
      <c r="AK231" s="611"/>
    </row>
    <row r="232" spans="1:37">
      <c r="A232" s="606"/>
      <c r="B232" s="2408" t="s">
        <v>1184</v>
      </c>
      <c r="C232" s="2408"/>
      <c r="D232" s="2408"/>
      <c r="E232" s="2408"/>
      <c r="F232" s="2408"/>
      <c r="G232" s="2408"/>
      <c r="I232" s="2361"/>
      <c r="J232" s="2361"/>
      <c r="K232" s="2361"/>
      <c r="L232" s="1016"/>
      <c r="N232" s="2359"/>
      <c r="O232" s="2359"/>
      <c r="P232" s="2359"/>
      <c r="Q232" s="2359"/>
      <c r="R232" s="2359"/>
      <c r="T232" s="2358"/>
      <c r="U232" s="2358"/>
      <c r="V232" s="2358"/>
      <c r="W232" s="2358"/>
      <c r="X232" s="2358"/>
      <c r="Y232" s="2358"/>
      <c r="Z232" s="852"/>
      <c r="AA232" s="852"/>
      <c r="AB232" s="2356">
        <f t="shared" si="0"/>
        <v>0</v>
      </c>
      <c r="AC232" s="2356"/>
      <c r="AD232" s="2356"/>
      <c r="AE232" s="2356"/>
      <c r="AF232" s="2356"/>
      <c r="AG232" s="2356"/>
      <c r="AH232" s="828"/>
      <c r="AI232" s="828"/>
      <c r="AJ232" s="828"/>
      <c r="AK232" s="611"/>
    </row>
    <row r="233" spans="1:37">
      <c r="A233" s="606"/>
      <c r="B233" s="2408" t="s">
        <v>1184</v>
      </c>
      <c r="C233" s="2408"/>
      <c r="D233" s="2408"/>
      <c r="E233" s="2408"/>
      <c r="F233" s="2408"/>
      <c r="G233" s="2408"/>
      <c r="I233" s="2543"/>
      <c r="J233" s="2543"/>
      <c r="K233" s="2543"/>
      <c r="L233" s="1016"/>
      <c r="N233" s="2359"/>
      <c r="O233" s="2359"/>
      <c r="P233" s="2359"/>
      <c r="Q233" s="2359"/>
      <c r="R233" s="2359"/>
      <c r="T233" s="2358"/>
      <c r="U233" s="2358"/>
      <c r="V233" s="2358"/>
      <c r="W233" s="2358"/>
      <c r="X233" s="2358"/>
      <c r="Y233" s="2358"/>
      <c r="Z233" s="852"/>
      <c r="AA233" s="852"/>
      <c r="AB233" s="2362">
        <f t="shared" si="0"/>
        <v>0</v>
      </c>
      <c r="AC233" s="2362"/>
      <c r="AD233" s="2362"/>
      <c r="AE233" s="2362"/>
      <c r="AF233" s="2362"/>
      <c r="AG233" s="2362"/>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56">
        <f>SUM(AB224:AB233)</f>
        <v>0</v>
      </c>
      <c r="AC234" s="2356"/>
      <c r="AD234" s="2356"/>
      <c r="AE234" s="2356"/>
      <c r="AF234" s="2356"/>
      <c r="AG234" s="2356"/>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93">
        <v>940536</v>
      </c>
      <c r="AC240" s="2393"/>
      <c r="AD240" s="2393"/>
      <c r="AE240" s="2393"/>
      <c r="AF240" s="2393"/>
      <c r="AG240" s="2393"/>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93"/>
      <c r="AC243" s="2393"/>
      <c r="AD243" s="2393"/>
      <c r="AE243" s="2393"/>
      <c r="AF243" s="2393"/>
      <c r="AG243" s="2393"/>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55">
        <v>20</v>
      </c>
      <c r="AC244" s="2355"/>
      <c r="AD244" s="2355"/>
      <c r="AE244" s="2355"/>
      <c r="AF244" s="2355"/>
      <c r="AG244" s="2355"/>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63">
        <f>IFERROR(AB243/AB244,0)</f>
        <v>0</v>
      </c>
      <c r="AC245" s="2363"/>
      <c r="AD245" s="2363"/>
      <c r="AE245" s="2363"/>
      <c r="AF245" s="2363"/>
      <c r="AG245" s="236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62">
        <f>MAX(AB240,AB245)</f>
        <v>940536</v>
      </c>
      <c r="AC247" s="2362"/>
      <c r="AD247" s="2362"/>
      <c r="AE247" s="2362"/>
      <c r="AF247" s="2362"/>
      <c r="AG247" s="2362"/>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56">
        <f>AB234+AB247</f>
        <v>940536</v>
      </c>
      <c r="AC250" s="2356"/>
      <c r="AD250" s="2356"/>
      <c r="AE250" s="2356"/>
      <c r="AF250" s="2356"/>
      <c r="AG250" s="2356"/>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27">
        <v>0.05</v>
      </c>
      <c r="AC251" s="2527"/>
      <c r="AD251" s="2527"/>
      <c r="AE251" s="2527"/>
      <c r="AF251" s="2527"/>
      <c r="AG251" s="2527"/>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8">
        <f>AB250-(AB250*AB251)</f>
        <v>893509.2</v>
      </c>
      <c r="AC252" s="2528"/>
      <c r="AD252" s="2528"/>
      <c r="AE252" s="2528"/>
      <c r="AF252" s="2528"/>
      <c r="AG252" s="2528"/>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56">
        <f>AB252/AB258</f>
        <v>776964.52173913049</v>
      </c>
      <c r="AC254" s="2356"/>
      <c r="AD254" s="2356"/>
      <c r="AE254" s="2356"/>
      <c r="AF254" s="2356"/>
      <c r="AG254" s="2356"/>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9">
        <v>15</v>
      </c>
      <c r="AC256" s="2539"/>
      <c r="AD256" s="2539"/>
      <c r="AE256" s="2539"/>
      <c r="AF256" s="2539"/>
      <c r="AG256" s="2539"/>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30">
        <v>0.04</v>
      </c>
      <c r="AC257" s="2530"/>
      <c r="AD257" s="2530"/>
      <c r="AE257" s="2530"/>
      <c r="AF257" s="2530"/>
      <c r="AG257" s="2530"/>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31">
        <v>1.1499999999999999</v>
      </c>
      <c r="AC258" s="2531"/>
      <c r="AD258" s="2531"/>
      <c r="AE258" s="2531"/>
      <c r="AF258" s="2531"/>
      <c r="AG258" s="2531"/>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20">
        <f>PV(AB257/12,AB256*12,-AB254/12, ,0)</f>
        <v>8753291.9271233119</v>
      </c>
      <c r="AC260" s="2521"/>
      <c r="AD260" s="2521"/>
      <c r="AE260" s="2521"/>
      <c r="AF260" s="2521"/>
      <c r="AG260" s="2522"/>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24">
        <f>IFERROR(('Sources and Uses Budget'!D105/'Sources and Uses Budget'!B105),0)</f>
        <v>0</v>
      </c>
      <c r="AC266" s="2525"/>
      <c r="AD266" s="2525"/>
      <c r="AE266" s="2525"/>
      <c r="AF266" s="2525"/>
      <c r="AG266" s="2526"/>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70">
        <f>AD211*(1-AB266)</f>
        <v>41553291.927123308</v>
      </c>
      <c r="AH268" s="2370"/>
      <c r="AI268" s="2370"/>
      <c r="AJ268" s="2370"/>
      <c r="AK268" s="2370"/>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70">
        <f>'Sources and Uses Budget'!C105</f>
        <v>86046463</v>
      </c>
      <c r="AH269" s="2370"/>
      <c r="AI269" s="2370"/>
      <c r="AJ269" s="2370"/>
      <c r="AK269" s="237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16">
        <f>ROUNDDOWN(IF(AND(C292="Yes",AK84=10),((AG268*2)/AG269),AG268/AG269),2)</f>
        <v>0.48</v>
      </c>
      <c r="AH270" s="2516"/>
      <c r="AI270" s="2516"/>
      <c r="AJ270" s="2516"/>
      <c r="AK270" s="2516"/>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05">
        <f>IFERROR(IF(AG270=0,0,IF((AG270*100)&gt;8,8,(AG270*100))),0)</f>
        <v>8</v>
      </c>
      <c r="AL273" s="2505"/>
      <c r="AM273" s="2506"/>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387" t="s">
        <v>545</v>
      </c>
      <c r="D278" s="2387"/>
      <c r="E278" s="548"/>
      <c r="F278" s="2339" t="s">
        <v>2026</v>
      </c>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1"/>
      <c r="AE278" s="551"/>
      <c r="AF278" s="636"/>
      <c r="AG278" s="2514" t="s">
        <v>1363</v>
      </c>
      <c r="AH278" s="2514"/>
      <c r="AI278" s="2514"/>
      <c r="AJ278" s="2514"/>
      <c r="AK278" s="551"/>
      <c r="AL278" s="551"/>
      <c r="AM278" s="551"/>
      <c r="AO278" s="551"/>
    </row>
    <row r="279" spans="1:52" ht="13.7" customHeight="1">
      <c r="A279" s="551"/>
      <c r="B279" s="597"/>
      <c r="C279" s="637"/>
      <c r="D279" s="551"/>
      <c r="E279" s="548"/>
      <c r="F279" s="2342"/>
      <c r="G279" s="2343"/>
      <c r="H279" s="2343"/>
      <c r="I279" s="2343"/>
      <c r="J279" s="2343"/>
      <c r="K279" s="2343"/>
      <c r="L279" s="2343"/>
      <c r="M279" s="2343"/>
      <c r="N279" s="2343"/>
      <c r="O279" s="2343"/>
      <c r="P279" s="2343"/>
      <c r="Q279" s="2343"/>
      <c r="R279" s="2343"/>
      <c r="S279" s="2343"/>
      <c r="T279" s="2343"/>
      <c r="U279" s="2343"/>
      <c r="V279" s="2343"/>
      <c r="W279" s="2343"/>
      <c r="X279" s="2343"/>
      <c r="Y279" s="2343"/>
      <c r="Z279" s="2343"/>
      <c r="AA279" s="2343"/>
      <c r="AB279" s="2343"/>
      <c r="AC279" s="2343"/>
      <c r="AD279" s="2344"/>
      <c r="AE279" s="551"/>
      <c r="AF279" s="636"/>
      <c r="AG279" s="636"/>
      <c r="AH279" s="636"/>
      <c r="AI279" s="636"/>
      <c r="AJ279" s="551"/>
      <c r="AK279" s="551"/>
      <c r="AL279" s="551"/>
      <c r="AM279" s="551"/>
      <c r="AO279" s="551"/>
    </row>
    <row r="280" spans="1:52">
      <c r="A280" s="551"/>
      <c r="B280" s="597"/>
      <c r="C280" s="637"/>
      <c r="D280" s="551"/>
      <c r="E280" s="548"/>
      <c r="F280" s="2342"/>
      <c r="G280" s="2343"/>
      <c r="H280" s="2343"/>
      <c r="I280" s="2343"/>
      <c r="J280" s="2343"/>
      <c r="K280" s="2343"/>
      <c r="L280" s="2343"/>
      <c r="M280" s="2343"/>
      <c r="N280" s="2343"/>
      <c r="O280" s="2343"/>
      <c r="P280" s="2343"/>
      <c r="Q280" s="2343"/>
      <c r="R280" s="2343"/>
      <c r="S280" s="2343"/>
      <c r="T280" s="2343"/>
      <c r="U280" s="2343"/>
      <c r="V280" s="2343"/>
      <c r="W280" s="2343"/>
      <c r="X280" s="2343"/>
      <c r="Y280" s="2343"/>
      <c r="Z280" s="2343"/>
      <c r="AA280" s="2343"/>
      <c r="AB280" s="2343"/>
      <c r="AC280" s="2343"/>
      <c r="AD280" s="2344"/>
      <c r="AE280" s="551"/>
      <c r="AF280" s="636"/>
      <c r="AG280" s="636"/>
      <c r="AH280" s="636"/>
      <c r="AI280" s="636"/>
      <c r="AJ280" s="551"/>
      <c r="AK280" s="551"/>
      <c r="AL280" s="551"/>
      <c r="AM280" s="551"/>
      <c r="AO280" s="551"/>
      <c r="AP280" s="638"/>
    </row>
    <row r="281" spans="1:52">
      <c r="A281" s="551"/>
      <c r="B281" s="597"/>
      <c r="C281" s="637"/>
      <c r="D281" s="551"/>
      <c r="E281" s="548"/>
      <c r="F281" s="2342"/>
      <c r="G281" s="2343"/>
      <c r="H281" s="2343"/>
      <c r="I281" s="2343"/>
      <c r="J281" s="2343"/>
      <c r="K281" s="2343"/>
      <c r="L281" s="2343"/>
      <c r="M281" s="2343"/>
      <c r="N281" s="2343"/>
      <c r="O281" s="2343"/>
      <c r="P281" s="2343"/>
      <c r="Q281" s="2343"/>
      <c r="R281" s="2343"/>
      <c r="S281" s="2343"/>
      <c r="T281" s="2343"/>
      <c r="U281" s="2343"/>
      <c r="V281" s="2343"/>
      <c r="W281" s="2343"/>
      <c r="X281" s="2343"/>
      <c r="Y281" s="2343"/>
      <c r="Z281" s="2343"/>
      <c r="AA281" s="2343"/>
      <c r="AB281" s="2343"/>
      <c r="AC281" s="2343"/>
      <c r="AD281" s="2344"/>
      <c r="AE281" s="551"/>
      <c r="AF281" s="636"/>
      <c r="AG281" s="636"/>
      <c r="AH281" s="636"/>
      <c r="AI281" s="636"/>
      <c r="AJ281" s="551"/>
      <c r="AK281" s="551"/>
      <c r="AL281" s="551"/>
      <c r="AM281" s="551"/>
      <c r="AO281" s="551"/>
      <c r="AP281" s="638"/>
    </row>
    <row r="282" spans="1:52" ht="13.7" customHeight="1">
      <c r="A282" s="551"/>
      <c r="B282" s="597"/>
      <c r="C282" s="2515"/>
      <c r="D282" s="2515"/>
      <c r="E282" s="548"/>
      <c r="F282" s="2345"/>
      <c r="G282" s="2346"/>
      <c r="H282" s="2346"/>
      <c r="I282" s="2346"/>
      <c r="J282" s="2346"/>
      <c r="K282" s="2346"/>
      <c r="L282" s="2346"/>
      <c r="M282" s="2346"/>
      <c r="N282" s="2346"/>
      <c r="O282" s="2346"/>
      <c r="P282" s="2346"/>
      <c r="Q282" s="2346"/>
      <c r="R282" s="2346"/>
      <c r="S282" s="2346"/>
      <c r="T282" s="2346"/>
      <c r="U282" s="2346"/>
      <c r="V282" s="2346"/>
      <c r="W282" s="2346"/>
      <c r="X282" s="2346"/>
      <c r="Y282" s="2346"/>
      <c r="Z282" s="2346"/>
      <c r="AA282" s="2346"/>
      <c r="AB282" s="2346"/>
      <c r="AC282" s="2346"/>
      <c r="AD282" s="2347"/>
      <c r="AE282" s="551"/>
      <c r="AF282" s="636"/>
      <c r="AG282" s="2514"/>
      <c r="AH282" s="2514"/>
      <c r="AI282" s="2514"/>
      <c r="AJ282" s="2514"/>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05">
        <f>IF($C$278="yes",10,0)</f>
        <v>10</v>
      </c>
      <c r="AL285" s="2505"/>
      <c r="AM285" s="2506"/>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67" t="s">
        <v>1382</v>
      </c>
      <c r="B292" s="1667"/>
      <c r="C292" s="2338" t="s">
        <v>591</v>
      </c>
      <c r="D292" s="2387"/>
      <c r="E292" s="548"/>
      <c r="F292" s="2507" t="s">
        <v>1383</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3"/>
      <c r="AF292" s="551"/>
      <c r="AG292" s="2510" t="s">
        <v>2019</v>
      </c>
      <c r="AH292" s="2510"/>
      <c r="AI292" s="2510"/>
      <c r="AJ292" s="2510"/>
      <c r="AK292" s="2510"/>
      <c r="AL292" s="551"/>
      <c r="AM292" s="551"/>
      <c r="AN292" s="73"/>
      <c r="AO292" s="14"/>
      <c r="AP292" s="30"/>
      <c r="AS292" s="571"/>
      <c r="AT292" s="571"/>
      <c r="AU292" s="571"/>
      <c r="AV292" s="32"/>
      <c r="AW292" s="32"/>
    </row>
    <row r="293" spans="1:49">
      <c r="A293" s="641"/>
      <c r="B293" s="597"/>
      <c r="F293" s="2365"/>
      <c r="G293" s="2366"/>
      <c r="H293" s="2366"/>
      <c r="I293" s="2366"/>
      <c r="J293" s="2366"/>
      <c r="K293" s="2366"/>
      <c r="L293" s="2366"/>
      <c r="M293" s="2366"/>
      <c r="N293" s="2366"/>
      <c r="O293" s="2366"/>
      <c r="P293" s="2366"/>
      <c r="Q293" s="2366"/>
      <c r="R293" s="2366"/>
      <c r="S293" s="2366"/>
      <c r="T293" s="2366"/>
      <c r="U293" s="2366"/>
      <c r="V293" s="2366"/>
      <c r="W293" s="2366"/>
      <c r="X293" s="2366"/>
      <c r="Y293" s="2366"/>
      <c r="Z293" s="2366"/>
      <c r="AA293" s="2366"/>
      <c r="AB293" s="2366"/>
      <c r="AC293" s="2366"/>
      <c r="AD293" s="236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65"/>
      <c r="G294" s="2366"/>
      <c r="H294" s="2366"/>
      <c r="I294" s="2366"/>
      <c r="J294" s="2366"/>
      <c r="K294" s="2366"/>
      <c r="L294" s="2366"/>
      <c r="M294" s="2366"/>
      <c r="N294" s="2366"/>
      <c r="O294" s="2366"/>
      <c r="P294" s="2366"/>
      <c r="Q294" s="2366"/>
      <c r="R294" s="2366"/>
      <c r="S294" s="2366"/>
      <c r="T294" s="2366"/>
      <c r="U294" s="2366"/>
      <c r="V294" s="2366"/>
      <c r="W294" s="2366"/>
      <c r="X294" s="2366"/>
      <c r="Y294" s="2366"/>
      <c r="Z294" s="2366"/>
      <c r="AA294" s="2366"/>
      <c r="AB294" s="2366"/>
      <c r="AC294" s="2366"/>
      <c r="AD294" s="2367"/>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65" t="s">
        <v>2027</v>
      </c>
      <c r="G295" s="2366"/>
      <c r="H295" s="2366"/>
      <c r="I295" s="2366"/>
      <c r="J295" s="2366"/>
      <c r="K295" s="2366"/>
      <c r="L295" s="2366"/>
      <c r="M295" s="2366"/>
      <c r="N295" s="2366"/>
      <c r="O295" s="2366"/>
      <c r="P295" s="2366"/>
      <c r="Q295" s="2366"/>
      <c r="R295" s="2366"/>
      <c r="S295" s="2366"/>
      <c r="T295" s="2366"/>
      <c r="U295" s="2366"/>
      <c r="V295" s="2366"/>
      <c r="W295" s="2366"/>
      <c r="X295" s="2366"/>
      <c r="Y295" s="2366"/>
      <c r="Z295" s="2366"/>
      <c r="AA295" s="2366"/>
      <c r="AB295" s="2366"/>
      <c r="AC295" s="2366"/>
      <c r="AD295" s="2367"/>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365"/>
      <c r="G296" s="2366"/>
      <c r="H296" s="2366"/>
      <c r="I296" s="2366"/>
      <c r="J296" s="2366"/>
      <c r="K296" s="2366"/>
      <c r="L296" s="2366"/>
      <c r="M296" s="2366"/>
      <c r="N296" s="2366"/>
      <c r="O296" s="2366"/>
      <c r="P296" s="2366"/>
      <c r="Q296" s="2366"/>
      <c r="R296" s="2366"/>
      <c r="S296" s="2366"/>
      <c r="T296" s="2366"/>
      <c r="U296" s="2366"/>
      <c r="V296" s="2366"/>
      <c r="W296" s="2366"/>
      <c r="X296" s="2366"/>
      <c r="Y296" s="2366"/>
      <c r="Z296" s="2366"/>
      <c r="AA296" s="2366"/>
      <c r="AB296" s="2366"/>
      <c r="AC296" s="2366"/>
      <c r="AD296" s="236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65" t="s">
        <v>1384</v>
      </c>
      <c r="G297" s="2366"/>
      <c r="H297" s="2366"/>
      <c r="I297" s="2366"/>
      <c r="J297" s="2366"/>
      <c r="K297" s="2366"/>
      <c r="L297" s="2366"/>
      <c r="M297" s="2366"/>
      <c r="N297" s="2366"/>
      <c r="O297" s="2366"/>
      <c r="P297" s="2366"/>
      <c r="Q297" s="2366"/>
      <c r="R297" s="2366"/>
      <c r="S297" s="2366"/>
      <c r="T297" s="2366"/>
      <c r="U297" s="2366"/>
      <c r="V297" s="2366"/>
      <c r="W297" s="2366"/>
      <c r="X297" s="2366"/>
      <c r="Y297" s="2366"/>
      <c r="Z297" s="2366"/>
      <c r="AA297" s="2366"/>
      <c r="AB297" s="2366"/>
      <c r="AC297" s="2366"/>
      <c r="AD297" s="236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65"/>
      <c r="G298" s="2366"/>
      <c r="H298" s="2366"/>
      <c r="I298" s="2366"/>
      <c r="J298" s="2366"/>
      <c r="K298" s="2366"/>
      <c r="L298" s="2366"/>
      <c r="M298" s="2366"/>
      <c r="N298" s="2366"/>
      <c r="O298" s="2366"/>
      <c r="P298" s="2366"/>
      <c r="Q298" s="2366"/>
      <c r="R298" s="2366"/>
      <c r="S298" s="2366"/>
      <c r="T298" s="2366"/>
      <c r="U298" s="2366"/>
      <c r="V298" s="2366"/>
      <c r="W298" s="2366"/>
      <c r="X298" s="2366"/>
      <c r="Y298" s="2366"/>
      <c r="Z298" s="2366"/>
      <c r="AA298" s="2366"/>
      <c r="AB298" s="2366"/>
      <c r="AC298" s="2366"/>
      <c r="AD298" s="236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65" t="s">
        <v>1385</v>
      </c>
      <c r="G299" s="2366"/>
      <c r="H299" s="2366"/>
      <c r="I299" s="2366"/>
      <c r="J299" s="2366"/>
      <c r="K299" s="2366"/>
      <c r="L299" s="2366"/>
      <c r="M299" s="2366"/>
      <c r="N299" s="2366"/>
      <c r="O299" s="2366"/>
      <c r="P299" s="2366"/>
      <c r="Q299" s="2366"/>
      <c r="R299" s="2366"/>
      <c r="S299" s="2366"/>
      <c r="T299" s="2366"/>
      <c r="U299" s="2366"/>
      <c r="V299" s="2366"/>
      <c r="W299" s="2366"/>
      <c r="X299" s="2366"/>
      <c r="Y299" s="2366"/>
      <c r="Z299" s="2366"/>
      <c r="AA299" s="2366"/>
      <c r="AB299" s="2366"/>
      <c r="AC299" s="2366"/>
      <c r="AD299" s="236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8"/>
      <c r="G300" s="2369"/>
      <c r="H300" s="2369"/>
      <c r="I300" s="2369"/>
      <c r="J300" s="2369"/>
      <c r="K300" s="2369"/>
      <c r="L300" s="2369"/>
      <c r="M300" s="2369"/>
      <c r="N300" s="2369"/>
      <c r="O300" s="2369"/>
      <c r="P300" s="2369"/>
      <c r="Q300" s="2369"/>
      <c r="R300" s="2369"/>
      <c r="S300" s="2369"/>
      <c r="T300" s="2369"/>
      <c r="U300" s="2369"/>
      <c r="V300" s="2369"/>
      <c r="W300" s="2369"/>
      <c r="X300" s="2369"/>
      <c r="Y300" s="2369"/>
      <c r="Z300" s="2369"/>
      <c r="AA300" s="2369"/>
      <c r="AB300" s="2369"/>
      <c r="AC300" s="2369"/>
      <c r="AD300" s="2504"/>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67" t="s">
        <v>1386</v>
      </c>
      <c r="B302" s="1667"/>
      <c r="C302" s="2387" t="s">
        <v>545</v>
      </c>
      <c r="D302" s="2387"/>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9" t="s">
        <v>2021</v>
      </c>
      <c r="G303" s="2490"/>
      <c r="H303" s="2490"/>
      <c r="I303" s="2490"/>
      <c r="J303" s="2490"/>
      <c r="K303" s="2490"/>
      <c r="L303" s="2490"/>
      <c r="M303" s="2490"/>
      <c r="N303" s="2490"/>
      <c r="O303" s="2490"/>
      <c r="P303" s="2490"/>
      <c r="Q303" s="2490"/>
      <c r="R303" s="2490"/>
      <c r="S303" s="2490"/>
      <c r="T303" s="2490"/>
      <c r="U303" s="2490"/>
      <c r="V303" s="2490"/>
      <c r="W303" s="2490"/>
      <c r="X303" s="2490"/>
      <c r="Y303" s="2490"/>
      <c r="Z303" s="2490"/>
      <c r="AA303" s="2490"/>
      <c r="AB303" s="2490"/>
      <c r="AC303" s="2490"/>
      <c r="AD303" s="2491"/>
      <c r="AE303" s="552"/>
      <c r="AF303" s="552"/>
      <c r="AG303" s="552"/>
      <c r="AH303" s="552"/>
      <c r="AI303" s="552"/>
      <c r="AJ303" s="551"/>
      <c r="AK303" s="551"/>
      <c r="AL303" s="551"/>
      <c r="AM303" s="551"/>
      <c r="AR303" s="649"/>
    </row>
    <row r="304" spans="1:49" ht="15" customHeight="1">
      <c r="A304" s="551"/>
      <c r="B304" s="552"/>
      <c r="C304" s="551"/>
      <c r="D304" s="552"/>
      <c r="E304" s="551"/>
      <c r="F304" s="2489"/>
      <c r="G304" s="2490"/>
      <c r="H304" s="2490"/>
      <c r="I304" s="2490"/>
      <c r="J304" s="2490"/>
      <c r="K304" s="2490"/>
      <c r="L304" s="2490"/>
      <c r="M304" s="2490"/>
      <c r="N304" s="2490"/>
      <c r="O304" s="2490"/>
      <c r="P304" s="2490"/>
      <c r="Q304" s="2490"/>
      <c r="R304" s="2490"/>
      <c r="S304" s="2490"/>
      <c r="T304" s="2490"/>
      <c r="U304" s="2490"/>
      <c r="V304" s="2490"/>
      <c r="W304" s="2490"/>
      <c r="X304" s="2490"/>
      <c r="Y304" s="2490"/>
      <c r="Z304" s="2490"/>
      <c r="AA304" s="2490"/>
      <c r="AB304" s="2490"/>
      <c r="AC304" s="2490"/>
      <c r="AD304" s="2491"/>
      <c r="AE304" s="552"/>
      <c r="AF304" s="552"/>
      <c r="AG304" s="552"/>
      <c r="AH304" s="552"/>
      <c r="AI304" s="552"/>
      <c r="AJ304" s="551"/>
      <c r="AK304" s="551"/>
      <c r="AL304" s="551"/>
      <c r="AM304" s="551"/>
      <c r="AR304" s="649"/>
    </row>
    <row r="305" spans="1:44">
      <c r="A305" s="551"/>
      <c r="B305" s="552"/>
      <c r="C305" s="551"/>
      <c r="D305" s="552"/>
      <c r="E305" s="551"/>
      <c r="F305" s="2489"/>
      <c r="G305" s="2490"/>
      <c r="H305" s="2490"/>
      <c r="I305" s="2490"/>
      <c r="J305" s="2490"/>
      <c r="K305" s="2490"/>
      <c r="L305" s="2490"/>
      <c r="M305" s="2490"/>
      <c r="N305" s="2490"/>
      <c r="O305" s="2490"/>
      <c r="P305" s="2490"/>
      <c r="Q305" s="2490"/>
      <c r="R305" s="2490"/>
      <c r="S305" s="2490"/>
      <c r="T305" s="2490"/>
      <c r="U305" s="2490"/>
      <c r="V305" s="2490"/>
      <c r="W305" s="2490"/>
      <c r="X305" s="2490"/>
      <c r="Y305" s="2490"/>
      <c r="Z305" s="2490"/>
      <c r="AA305" s="2490"/>
      <c r="AB305" s="2490"/>
      <c r="AC305" s="2490"/>
      <c r="AD305" s="2491"/>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11"/>
      <c r="G306" s="2512"/>
      <c r="H306" s="2512"/>
      <c r="I306" s="2512"/>
      <c r="J306" s="2512"/>
      <c r="K306" s="2512"/>
      <c r="L306" s="2512"/>
      <c r="M306" s="2512"/>
      <c r="N306" s="2512"/>
      <c r="O306" s="2512"/>
      <c r="P306" s="2512"/>
      <c r="Q306" s="2512"/>
      <c r="R306" s="2512"/>
      <c r="S306" s="2512"/>
      <c r="T306" s="2512"/>
      <c r="U306" s="2512"/>
      <c r="V306" s="2512"/>
      <c r="W306" s="2512"/>
      <c r="X306" s="2512"/>
      <c r="Y306" s="2512"/>
      <c r="Z306" s="2512"/>
      <c r="AA306" s="2512"/>
      <c r="AB306" s="2512"/>
      <c r="AC306" s="2512"/>
      <c r="AD306" s="251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67" t="s">
        <v>1389</v>
      </c>
      <c r="B310" s="1667"/>
      <c r="C310" s="2387" t="s">
        <v>591</v>
      </c>
      <c r="D310" s="2387"/>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365" t="s">
        <v>2028</v>
      </c>
      <c r="G311" s="2366"/>
      <c r="H311" s="2366"/>
      <c r="I311" s="2366"/>
      <c r="J311" s="2366"/>
      <c r="K311" s="2366"/>
      <c r="L311" s="2366"/>
      <c r="M311" s="2366"/>
      <c r="N311" s="2366"/>
      <c r="O311" s="2366"/>
      <c r="P311" s="2366"/>
      <c r="Q311" s="2366"/>
      <c r="R311" s="2366"/>
      <c r="S311" s="2366"/>
      <c r="T311" s="2366"/>
      <c r="U311" s="2366"/>
      <c r="V311" s="2366"/>
      <c r="W311" s="2366"/>
      <c r="X311" s="2366"/>
      <c r="Y311" s="2366"/>
      <c r="Z311" s="2366"/>
      <c r="AA311" s="2366"/>
      <c r="AB311" s="2366"/>
      <c r="AC311" s="2366"/>
      <c r="AD311" s="2367"/>
      <c r="AE311" s="552"/>
      <c r="AF311" s="552"/>
      <c r="AG311" s="540"/>
      <c r="AH311" s="552"/>
      <c r="AI311" s="552"/>
      <c r="AJ311" s="551"/>
      <c r="AK311" s="551"/>
      <c r="AL311" s="551"/>
      <c r="AM311" s="551"/>
      <c r="AN311" s="73"/>
      <c r="AO311" s="14"/>
      <c r="AP311" s="558" t="s">
        <v>1184</v>
      </c>
    </row>
    <row r="312" spans="1:44" hidden="1">
      <c r="F312" s="2365"/>
      <c r="G312" s="2366"/>
      <c r="H312" s="2366"/>
      <c r="I312" s="2366"/>
      <c r="J312" s="2366"/>
      <c r="K312" s="2366"/>
      <c r="L312" s="2366"/>
      <c r="M312" s="2366"/>
      <c r="N312" s="2366"/>
      <c r="O312" s="2366"/>
      <c r="P312" s="2366"/>
      <c r="Q312" s="2366"/>
      <c r="R312" s="2366"/>
      <c r="S312" s="2366"/>
      <c r="T312" s="2366"/>
      <c r="U312" s="2366"/>
      <c r="V312" s="2366"/>
      <c r="W312" s="2366"/>
      <c r="X312" s="2366"/>
      <c r="Y312" s="2366"/>
      <c r="Z312" s="2366"/>
      <c r="AA312" s="2366"/>
      <c r="AB312" s="2366"/>
      <c r="AC312" s="2366"/>
      <c r="AD312" s="2367"/>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92" t="s">
        <v>1184</v>
      </c>
      <c r="G316" s="2493"/>
      <c r="H316" s="2493"/>
      <c r="I316" s="2493"/>
      <c r="J316" s="2493"/>
      <c r="K316" s="2493"/>
      <c r="L316" s="2493"/>
      <c r="M316" s="2493"/>
      <c r="N316" s="2493"/>
      <c r="O316" s="2493"/>
      <c r="P316" s="2493"/>
      <c r="Q316" s="2493"/>
      <c r="R316" s="2493"/>
      <c r="S316" s="2493"/>
      <c r="T316" s="2493"/>
      <c r="U316" s="2493"/>
      <c r="V316" s="2493"/>
      <c r="W316" s="2493"/>
      <c r="X316" s="2493"/>
      <c r="Y316" s="2493"/>
      <c r="Z316" s="2493"/>
      <c r="AA316" s="2493"/>
      <c r="AB316" s="2493"/>
      <c r="AC316" s="2493"/>
      <c r="AD316" s="2494"/>
      <c r="AE316" s="643"/>
      <c r="AF316" s="643"/>
      <c r="AG316" s="643"/>
      <c r="AH316" s="643"/>
      <c r="AI316" s="643"/>
      <c r="AJ316" s="643"/>
      <c r="AK316" s="643"/>
      <c r="AL316" s="551"/>
      <c r="AM316" s="551"/>
      <c r="AN316" s="73"/>
      <c r="AO316" s="14"/>
      <c r="AP316" s="30"/>
    </row>
    <row r="317" spans="1:44" hidden="1">
      <c r="A317" s="551"/>
      <c r="B317" s="552"/>
      <c r="C317" s="731"/>
      <c r="D317" s="731"/>
      <c r="E317" s="548"/>
      <c r="F317" s="2492"/>
      <c r="G317" s="2493"/>
      <c r="H317" s="2493"/>
      <c r="I317" s="2493"/>
      <c r="J317" s="2493"/>
      <c r="K317" s="2493"/>
      <c r="L317" s="2493"/>
      <c r="M317" s="2493"/>
      <c r="N317" s="2493"/>
      <c r="O317" s="2493"/>
      <c r="P317" s="2493"/>
      <c r="Q317" s="2493"/>
      <c r="R317" s="2493"/>
      <c r="S317" s="2493"/>
      <c r="T317" s="2493"/>
      <c r="U317" s="2493"/>
      <c r="V317" s="2493"/>
      <c r="W317" s="2493"/>
      <c r="X317" s="2493"/>
      <c r="Y317" s="2493"/>
      <c r="Z317" s="2493"/>
      <c r="AA317" s="2493"/>
      <c r="AB317" s="2493"/>
      <c r="AC317" s="2493"/>
      <c r="AD317" s="2494"/>
      <c r="AE317" s="552"/>
      <c r="AF317" s="552"/>
      <c r="AG317" s="540"/>
      <c r="AH317" s="552"/>
      <c r="AI317" s="552"/>
      <c r="AJ317" s="551"/>
      <c r="AK317" s="551"/>
      <c r="AL317" s="551"/>
      <c r="AM317" s="551"/>
      <c r="AN317" s="73"/>
      <c r="AO317" s="14"/>
      <c r="AP317" s="30"/>
    </row>
    <row r="318" spans="1:44" hidden="1">
      <c r="A318" s="551"/>
      <c r="B318" s="552"/>
      <c r="C318" s="731"/>
      <c r="D318" s="731"/>
      <c r="E318" s="548"/>
      <c r="F318" s="2492"/>
      <c r="G318" s="2493"/>
      <c r="H318" s="2493"/>
      <c r="I318" s="2493"/>
      <c r="J318" s="2493"/>
      <c r="K318" s="2493"/>
      <c r="L318" s="2493"/>
      <c r="M318" s="2493"/>
      <c r="N318" s="2493"/>
      <c r="O318" s="2493"/>
      <c r="P318" s="2493"/>
      <c r="Q318" s="2493"/>
      <c r="R318" s="2493"/>
      <c r="S318" s="2493"/>
      <c r="T318" s="2493"/>
      <c r="U318" s="2493"/>
      <c r="V318" s="2493"/>
      <c r="W318" s="2493"/>
      <c r="X318" s="2493"/>
      <c r="Y318" s="2493"/>
      <c r="Z318" s="2493"/>
      <c r="AA318" s="2493"/>
      <c r="AB318" s="2493"/>
      <c r="AC318" s="2493"/>
      <c r="AD318" s="2494"/>
      <c r="AE318" s="552"/>
      <c r="AF318" s="552"/>
      <c r="AG318" s="540"/>
      <c r="AH318" s="552"/>
      <c r="AI318" s="552"/>
      <c r="AJ318" s="551"/>
      <c r="AK318" s="551"/>
      <c r="AL318" s="551"/>
      <c r="AM318" s="551"/>
      <c r="AN318" s="73"/>
      <c r="AO318" s="14"/>
      <c r="AP318" s="30"/>
    </row>
    <row r="319" spans="1:44" hidden="1">
      <c r="A319" s="551"/>
      <c r="B319" s="552"/>
      <c r="C319" s="731"/>
      <c r="D319" s="731"/>
      <c r="E319" s="548"/>
      <c r="F319" s="2492"/>
      <c r="G319" s="2493"/>
      <c r="H319" s="2493"/>
      <c r="I319" s="2493"/>
      <c r="J319" s="2493"/>
      <c r="K319" s="2493"/>
      <c r="L319" s="2493"/>
      <c r="M319" s="2493"/>
      <c r="N319" s="2493"/>
      <c r="O319" s="2493"/>
      <c r="P319" s="2493"/>
      <c r="Q319" s="2493"/>
      <c r="R319" s="2493"/>
      <c r="S319" s="2493"/>
      <c r="T319" s="2493"/>
      <c r="U319" s="2493"/>
      <c r="V319" s="2493"/>
      <c r="W319" s="2493"/>
      <c r="X319" s="2493"/>
      <c r="Y319" s="2493"/>
      <c r="Z319" s="2493"/>
      <c r="AA319" s="2493"/>
      <c r="AB319" s="2493"/>
      <c r="AC319" s="2493"/>
      <c r="AD319" s="2494"/>
      <c r="AE319" s="552"/>
      <c r="AF319" s="552"/>
      <c r="AG319" s="540"/>
      <c r="AH319" s="552"/>
      <c r="AI319" s="552"/>
      <c r="AJ319" s="551"/>
      <c r="AK319" s="551"/>
      <c r="AL319" s="551"/>
      <c r="AM319" s="551"/>
      <c r="AN319" s="73"/>
      <c r="AO319" s="14"/>
      <c r="AP319" s="30"/>
    </row>
    <row r="320" spans="1:44" hidden="1">
      <c r="A320" s="551"/>
      <c r="B320" s="552"/>
      <c r="C320" s="731"/>
      <c r="D320" s="731"/>
      <c r="E320" s="548"/>
      <c r="F320" s="2495"/>
      <c r="G320" s="2496"/>
      <c r="H320" s="2496"/>
      <c r="I320" s="2496"/>
      <c r="J320" s="2496"/>
      <c r="K320" s="2496"/>
      <c r="L320" s="2496"/>
      <c r="M320" s="2496"/>
      <c r="N320" s="2496"/>
      <c r="O320" s="2496"/>
      <c r="P320" s="2496"/>
      <c r="Q320" s="2496"/>
      <c r="R320" s="2496"/>
      <c r="S320" s="2496"/>
      <c r="T320" s="2496"/>
      <c r="U320" s="2496"/>
      <c r="V320" s="2496"/>
      <c r="W320" s="2496"/>
      <c r="X320" s="2496"/>
      <c r="Y320" s="2496"/>
      <c r="Z320" s="2496"/>
      <c r="AA320" s="2496"/>
      <c r="AB320" s="2496"/>
      <c r="AC320" s="2496"/>
      <c r="AD320" s="2497"/>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98" t="s">
        <v>1184</v>
      </c>
      <c r="J324" s="2498"/>
      <c r="K324" s="2498"/>
      <c r="L324" s="2498"/>
      <c r="M324" s="2498"/>
      <c r="N324" s="2498"/>
      <c r="O324" s="2498"/>
      <c r="P324" s="2498"/>
      <c r="Q324" s="2498"/>
      <c r="R324" s="2498"/>
      <c r="S324" s="2498"/>
      <c r="T324" s="2498"/>
      <c r="U324" s="2498"/>
      <c r="V324" s="2498"/>
      <c r="W324" s="2498"/>
      <c r="X324" s="2498"/>
      <c r="Y324" s="2498"/>
      <c r="Z324" s="2498"/>
      <c r="AA324" s="2498"/>
      <c r="AB324" s="2498"/>
      <c r="AC324" s="2498"/>
      <c r="AD324" s="2499"/>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98"/>
      <c r="J325" s="2498"/>
      <c r="K325" s="2498"/>
      <c r="L325" s="2498"/>
      <c r="M325" s="2498"/>
      <c r="N325" s="2498"/>
      <c r="O325" s="2498"/>
      <c r="P325" s="2498"/>
      <c r="Q325" s="2498"/>
      <c r="R325" s="2498"/>
      <c r="S325" s="2498"/>
      <c r="T325" s="2498"/>
      <c r="U325" s="2498"/>
      <c r="V325" s="2498"/>
      <c r="W325" s="2498"/>
      <c r="X325" s="2498"/>
      <c r="Y325" s="2498"/>
      <c r="Z325" s="2498"/>
      <c r="AA325" s="2498"/>
      <c r="AB325" s="2498"/>
      <c r="AC325" s="2498"/>
      <c r="AD325" s="2499"/>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98"/>
      <c r="J326" s="2498"/>
      <c r="K326" s="2498"/>
      <c r="L326" s="2498"/>
      <c r="M326" s="2498"/>
      <c r="N326" s="2498"/>
      <c r="O326" s="2498"/>
      <c r="P326" s="2498"/>
      <c r="Q326" s="2498"/>
      <c r="R326" s="2498"/>
      <c r="S326" s="2498"/>
      <c r="T326" s="2498"/>
      <c r="U326" s="2498"/>
      <c r="V326" s="2498"/>
      <c r="W326" s="2498"/>
      <c r="X326" s="2498"/>
      <c r="Y326" s="2498"/>
      <c r="Z326" s="2498"/>
      <c r="AA326" s="2498"/>
      <c r="AB326" s="2498"/>
      <c r="AC326" s="2498"/>
      <c r="AD326" s="2499"/>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00"/>
      <c r="J327" s="2500"/>
      <c r="K327" s="2500"/>
      <c r="L327" s="2500"/>
      <c r="M327" s="2500"/>
      <c r="N327" s="2500"/>
      <c r="O327" s="2500"/>
      <c r="P327" s="2500"/>
      <c r="Q327" s="2500"/>
      <c r="R327" s="2500"/>
      <c r="S327" s="2500"/>
      <c r="T327" s="2500"/>
      <c r="U327" s="2500"/>
      <c r="V327" s="2500"/>
      <c r="W327" s="2500"/>
      <c r="X327" s="2500"/>
      <c r="Y327" s="2500"/>
      <c r="Z327" s="2500"/>
      <c r="AA327" s="2500"/>
      <c r="AB327" s="2500"/>
      <c r="AC327" s="2500"/>
      <c r="AD327" s="2501"/>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98" t="s">
        <v>1184</v>
      </c>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67" t="s">
        <v>1392</v>
      </c>
      <c r="B333" s="1667"/>
      <c r="C333" s="2387" t="s">
        <v>591</v>
      </c>
      <c r="D333" s="2387"/>
      <c r="E333" s="548"/>
      <c r="F333" s="2486" t="s">
        <v>2029</v>
      </c>
      <c r="G333" s="2487"/>
      <c r="H333" s="2487"/>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87"/>
      <c r="AD333" s="248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9"/>
      <c r="G334" s="2490"/>
      <c r="H334" s="2490"/>
      <c r="I334" s="2490"/>
      <c r="J334" s="2490"/>
      <c r="K334" s="2490"/>
      <c r="L334" s="2490"/>
      <c r="M334" s="2490"/>
      <c r="N334" s="2490"/>
      <c r="O334" s="2490"/>
      <c r="P334" s="2490"/>
      <c r="Q334" s="2490"/>
      <c r="R334" s="2490"/>
      <c r="S334" s="2490"/>
      <c r="T334" s="2490"/>
      <c r="U334" s="2490"/>
      <c r="V334" s="2490"/>
      <c r="W334" s="2490"/>
      <c r="X334" s="2490"/>
      <c r="Y334" s="2490"/>
      <c r="Z334" s="2490"/>
      <c r="AA334" s="2490"/>
      <c r="AB334" s="2490"/>
      <c r="AC334" s="2490"/>
      <c r="AD334" s="2491"/>
      <c r="AE334" s="552"/>
      <c r="AF334" s="552"/>
      <c r="AG334" s="552"/>
      <c r="AH334" s="552"/>
      <c r="AI334" s="552"/>
      <c r="AJ334" s="551"/>
      <c r="AK334" s="551"/>
      <c r="AL334" s="551"/>
      <c r="AM334" s="551"/>
      <c r="AN334" s="73"/>
      <c r="AO334" s="14"/>
    </row>
    <row r="335" spans="1:42" ht="15" hidden="1" customHeight="1">
      <c r="A335" s="551"/>
      <c r="B335" s="552"/>
      <c r="C335" s="552"/>
      <c r="D335" s="552"/>
      <c r="E335" s="552"/>
      <c r="F335" s="2489"/>
      <c r="G335" s="2490"/>
      <c r="H335" s="2490"/>
      <c r="I335" s="2490"/>
      <c r="J335" s="2490"/>
      <c r="K335" s="2490"/>
      <c r="L335" s="2490"/>
      <c r="M335" s="2490"/>
      <c r="N335" s="2490"/>
      <c r="O335" s="2490"/>
      <c r="P335" s="2490"/>
      <c r="Q335" s="2490"/>
      <c r="R335" s="2490"/>
      <c r="S335" s="2490"/>
      <c r="T335" s="2490"/>
      <c r="U335" s="2490"/>
      <c r="V335" s="2490"/>
      <c r="W335" s="2490"/>
      <c r="X335" s="2490"/>
      <c r="Y335" s="2490"/>
      <c r="Z335" s="2490"/>
      <c r="AA335" s="2490"/>
      <c r="AB335" s="2490"/>
      <c r="AC335" s="2490"/>
      <c r="AD335" s="2491"/>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73">
        <f>IF(NOT(OR(Application!M355="Yes",Application!M356="Yes")),0,AP295)</f>
        <v>9</v>
      </c>
      <c r="AL338" s="2374"/>
      <c r="AM338" s="237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6" t="s">
        <v>1314</v>
      </c>
      <c r="AF341" s="2406"/>
      <c r="AG341" s="2406"/>
      <c r="AH341" s="2406"/>
      <c r="AI341" s="2406"/>
      <c r="AJ341" s="2406"/>
      <c r="AK341" s="240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82" t="s">
        <v>1454</v>
      </c>
      <c r="D343" s="2382"/>
      <c r="E343" s="2382"/>
      <c r="F343" s="2382"/>
      <c r="G343" s="2382"/>
      <c r="H343" s="2382"/>
      <c r="I343" s="2382"/>
      <c r="J343" s="2382"/>
      <c r="K343" s="2382"/>
      <c r="L343" s="2382"/>
      <c r="M343" s="2382"/>
      <c r="N343" s="2382"/>
      <c r="O343" s="2382"/>
      <c r="P343" s="2382"/>
      <c r="Q343" s="2382"/>
      <c r="R343" s="2382"/>
      <c r="S343" s="2382"/>
      <c r="T343" s="2382"/>
      <c r="U343" s="2382"/>
      <c r="V343" s="2382"/>
      <c r="W343" s="2382"/>
      <c r="X343" s="2382"/>
      <c r="Y343" s="2382"/>
      <c r="Z343" s="2382"/>
      <c r="AA343" s="2382"/>
      <c r="AB343" s="2382"/>
      <c r="AC343" s="2382"/>
      <c r="AD343" s="2382"/>
      <c r="AE343" s="2382"/>
      <c r="AF343" s="2382"/>
      <c r="AG343" s="2382"/>
      <c r="AH343" s="2382"/>
      <c r="AI343" s="2382"/>
      <c r="AJ343" s="2382"/>
      <c r="AK343" s="604"/>
      <c r="AL343" s="604"/>
      <c r="AM343" s="604"/>
      <c r="AN343" s="598"/>
    </row>
    <row r="344" spans="1:44" s="551" customFormat="1" ht="12.75" customHeight="1">
      <c r="A344" s="604"/>
      <c r="B344" s="612"/>
      <c r="C344" s="2382"/>
      <c r="D344" s="2382"/>
      <c r="E344" s="2382"/>
      <c r="F344" s="2382"/>
      <c r="G344" s="2382"/>
      <c r="H344" s="2382"/>
      <c r="I344" s="2382"/>
      <c r="J344" s="2382"/>
      <c r="K344" s="2382"/>
      <c r="L344" s="2382"/>
      <c r="M344" s="2382"/>
      <c r="N344" s="2382"/>
      <c r="O344" s="2382"/>
      <c r="P344" s="2382"/>
      <c r="Q344" s="2382"/>
      <c r="R344" s="2382"/>
      <c r="S344" s="2382"/>
      <c r="T344" s="2382"/>
      <c r="U344" s="2382"/>
      <c r="V344" s="2382"/>
      <c r="W344" s="2382"/>
      <c r="X344" s="2382"/>
      <c r="Y344" s="2382"/>
      <c r="Z344" s="2382"/>
      <c r="AA344" s="2382"/>
      <c r="AB344" s="2382"/>
      <c r="AC344" s="2382"/>
      <c r="AD344" s="2382"/>
      <c r="AE344" s="2382"/>
      <c r="AF344" s="2382"/>
      <c r="AG344" s="2382"/>
      <c r="AH344" s="2382"/>
      <c r="AI344" s="2382"/>
      <c r="AJ344" s="2382"/>
      <c r="AK344" s="604"/>
      <c r="AL344" s="604"/>
      <c r="AM344" s="604"/>
      <c r="AN344" s="598"/>
    </row>
    <row r="345" spans="1:44" s="551" customFormat="1" ht="12.75" customHeight="1">
      <c r="A345" s="604"/>
      <c r="B345" s="612"/>
      <c r="C345" s="2382"/>
      <c r="D345" s="2382"/>
      <c r="E345" s="2382"/>
      <c r="F345" s="2382"/>
      <c r="G345" s="2382"/>
      <c r="H345" s="2382"/>
      <c r="I345" s="2382"/>
      <c r="J345" s="2382"/>
      <c r="K345" s="2382"/>
      <c r="L345" s="2382"/>
      <c r="M345" s="2382"/>
      <c r="N345" s="2382"/>
      <c r="O345" s="2382"/>
      <c r="P345" s="2382"/>
      <c r="Q345" s="2382"/>
      <c r="R345" s="2382"/>
      <c r="S345" s="2382"/>
      <c r="T345" s="2382"/>
      <c r="U345" s="2382"/>
      <c r="V345" s="2382"/>
      <c r="W345" s="2382"/>
      <c r="X345" s="2382"/>
      <c r="Y345" s="2382"/>
      <c r="Z345" s="2382"/>
      <c r="AA345" s="2382"/>
      <c r="AB345" s="2382"/>
      <c r="AC345" s="2382"/>
      <c r="AD345" s="2382"/>
      <c r="AE345" s="2382"/>
      <c r="AF345" s="2382"/>
      <c r="AG345" s="2382"/>
      <c r="AH345" s="2382"/>
      <c r="AI345" s="2382"/>
      <c r="AJ345" s="2382"/>
      <c r="AK345" s="604"/>
      <c r="AL345" s="604"/>
      <c r="AM345" s="604"/>
      <c r="AN345" s="598"/>
      <c r="AQ345" s="571"/>
    </row>
    <row r="346" spans="1:44" s="551" customFormat="1" ht="12.75" customHeight="1">
      <c r="A346" s="604"/>
      <c r="B346" s="612"/>
      <c r="C346" s="2382"/>
      <c r="D346" s="2382"/>
      <c r="E346" s="2382"/>
      <c r="F346" s="2382"/>
      <c r="G346" s="2382"/>
      <c r="H346" s="2382"/>
      <c r="I346" s="2382"/>
      <c r="J346" s="2382"/>
      <c r="K346" s="2382"/>
      <c r="L346" s="2382"/>
      <c r="M346" s="2382"/>
      <c r="N346" s="2382"/>
      <c r="O346" s="2382"/>
      <c r="P346" s="2382"/>
      <c r="Q346" s="2382"/>
      <c r="R346" s="2382"/>
      <c r="S346" s="2382"/>
      <c r="T346" s="2382"/>
      <c r="U346" s="2382"/>
      <c r="V346" s="2382"/>
      <c r="W346" s="2382"/>
      <c r="X346" s="2382"/>
      <c r="Y346" s="2382"/>
      <c r="Z346" s="2382"/>
      <c r="AA346" s="2382"/>
      <c r="AB346" s="2382"/>
      <c r="AC346" s="2382"/>
      <c r="AD346" s="2382"/>
      <c r="AE346" s="2382"/>
      <c r="AF346" s="2382"/>
      <c r="AG346" s="2382"/>
      <c r="AH346" s="2382"/>
      <c r="AI346" s="2382"/>
      <c r="AJ346" s="2382"/>
      <c r="AK346" s="604"/>
      <c r="AL346" s="604"/>
      <c r="AM346" s="604"/>
      <c r="AN346" s="598"/>
      <c r="AQ346" s="571"/>
    </row>
    <row r="347" spans="1:44" s="551" customFormat="1" ht="12.75" customHeight="1">
      <c r="A347" s="604"/>
      <c r="B347" s="612"/>
      <c r="C347" s="2382"/>
      <c r="D347" s="2382"/>
      <c r="E347" s="2382"/>
      <c r="F347" s="2382"/>
      <c r="G347" s="2382"/>
      <c r="H347" s="2382"/>
      <c r="I347" s="2382"/>
      <c r="J347" s="2382"/>
      <c r="K347" s="2382"/>
      <c r="L347" s="2382"/>
      <c r="M347" s="2382"/>
      <c r="N347" s="2382"/>
      <c r="O347" s="2382"/>
      <c r="P347" s="2382"/>
      <c r="Q347" s="2382"/>
      <c r="R347" s="2382"/>
      <c r="S347" s="2382"/>
      <c r="T347" s="2382"/>
      <c r="U347" s="2382"/>
      <c r="V347" s="2382"/>
      <c r="W347" s="2382"/>
      <c r="X347" s="2382"/>
      <c r="Y347" s="2382"/>
      <c r="Z347" s="2382"/>
      <c r="AA347" s="2382"/>
      <c r="AB347" s="2382"/>
      <c r="AC347" s="2382"/>
      <c r="AD347" s="2382"/>
      <c r="AE347" s="2382"/>
      <c r="AF347" s="2382"/>
      <c r="AG347" s="2382"/>
      <c r="AH347" s="2382"/>
      <c r="AI347" s="2382"/>
      <c r="AJ347" s="2382"/>
      <c r="AK347" s="604"/>
      <c r="AL347" s="604"/>
      <c r="AM347" s="604"/>
      <c r="AN347" s="598"/>
      <c r="AQ347" s="571"/>
      <c r="AR347" s="571"/>
    </row>
    <row r="348" spans="1:44" s="551" customFormat="1" ht="45.75" customHeight="1">
      <c r="A348" s="604"/>
      <c r="B348" s="612"/>
      <c r="C348" s="2382" t="s">
        <v>2094</v>
      </c>
      <c r="D348" s="2382"/>
      <c r="E348" s="2382"/>
      <c r="F348" s="2382"/>
      <c r="G348" s="2382"/>
      <c r="H348" s="2382"/>
      <c r="I348" s="2382"/>
      <c r="J348" s="2382"/>
      <c r="K348" s="2382"/>
      <c r="L348" s="2382"/>
      <c r="M348" s="2382"/>
      <c r="N348" s="2382"/>
      <c r="O348" s="2382"/>
      <c r="P348" s="2382"/>
      <c r="Q348" s="2382"/>
      <c r="R348" s="2382"/>
      <c r="S348" s="2382"/>
      <c r="T348" s="2382"/>
      <c r="U348" s="2382"/>
      <c r="V348" s="2382"/>
      <c r="W348" s="2382"/>
      <c r="X348" s="2382"/>
      <c r="Y348" s="2382"/>
      <c r="Z348" s="2382"/>
      <c r="AA348" s="2382"/>
      <c r="AB348" s="2382"/>
      <c r="AC348" s="2382"/>
      <c r="AD348" s="2382"/>
      <c r="AE348" s="2382"/>
      <c r="AF348" s="2382"/>
      <c r="AG348" s="2382"/>
      <c r="AH348" s="2382"/>
      <c r="AI348" s="2382"/>
      <c r="AJ348" s="2382"/>
      <c r="AK348" s="604"/>
      <c r="AL348" s="604"/>
      <c r="AM348" s="604"/>
      <c r="AN348" s="598"/>
      <c r="AQ348" s="571"/>
      <c r="AR348" s="571"/>
    </row>
    <row r="349" spans="1:44" s="551" customFormat="1" ht="12.7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82" t="s">
        <v>2209</v>
      </c>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604"/>
      <c r="AL350" s="604"/>
      <c r="AM350" s="604"/>
      <c r="AN350" s="598"/>
      <c r="AQ350" s="571"/>
      <c r="AR350" s="571"/>
    </row>
    <row r="351" spans="1:44" s="551" customFormat="1" ht="30" customHeight="1">
      <c r="A351" s="604"/>
      <c r="B351" s="61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604"/>
      <c r="AL351" s="604"/>
      <c r="AM351" s="604"/>
      <c r="AN351" s="598"/>
      <c r="AR351" s="571"/>
    </row>
    <row r="352" spans="1:44" s="551" customFormat="1" ht="12.75" customHeight="1">
      <c r="A352" s="604"/>
      <c r="B352" s="612"/>
      <c r="C352" s="2382"/>
      <c r="D352" s="2382"/>
      <c r="E352" s="2382"/>
      <c r="F352" s="2382"/>
      <c r="G352" s="2382"/>
      <c r="H352" s="2382"/>
      <c r="I352" s="2382"/>
      <c r="J352" s="2382"/>
      <c r="K352" s="2382"/>
      <c r="L352" s="2382"/>
      <c r="M352" s="2382"/>
      <c r="N352" s="2382"/>
      <c r="O352" s="2382"/>
      <c r="P352" s="2382"/>
      <c r="Q352" s="2382"/>
      <c r="R352" s="2382"/>
      <c r="S352" s="2382"/>
      <c r="T352" s="2382"/>
      <c r="U352" s="2382"/>
      <c r="V352" s="2382"/>
      <c r="W352" s="2382"/>
      <c r="X352" s="2382"/>
      <c r="Y352" s="2382"/>
      <c r="Z352" s="2382"/>
      <c r="AA352" s="2382"/>
      <c r="AB352" s="2382"/>
      <c r="AC352" s="2382"/>
      <c r="AD352" s="2382"/>
      <c r="AE352" s="2382"/>
      <c r="AF352" s="2382"/>
      <c r="AG352" s="2382"/>
      <c r="AH352" s="2382"/>
      <c r="AI352" s="2382"/>
      <c r="AJ352" s="2382"/>
      <c r="AK352" s="604"/>
      <c r="AL352" s="604"/>
      <c r="AM352" s="604"/>
      <c r="AN352" s="598"/>
      <c r="AR352" s="571"/>
    </row>
    <row r="353" spans="1:46" s="551" customFormat="1" ht="12.75" customHeight="1">
      <c r="A353" s="604"/>
      <c r="B353" s="612"/>
      <c r="C353" s="2382" t="s">
        <v>1455</v>
      </c>
      <c r="D353" s="2382"/>
      <c r="E353" s="2382"/>
      <c r="F353" s="2382"/>
      <c r="G353" s="2382"/>
      <c r="H353" s="2382"/>
      <c r="I353" s="2382"/>
      <c r="J353" s="2382"/>
      <c r="K353" s="2382"/>
      <c r="L353" s="2382"/>
      <c r="M353" s="2382"/>
      <c r="N353" s="2382"/>
      <c r="O353" s="2382"/>
      <c r="P353" s="2382"/>
      <c r="Q353" s="2382"/>
      <c r="R353" s="2382"/>
      <c r="S353" s="2382"/>
      <c r="T353" s="2382"/>
      <c r="U353" s="2382"/>
      <c r="V353" s="2382"/>
      <c r="W353" s="2382"/>
      <c r="X353" s="2382"/>
      <c r="Y353" s="2382"/>
      <c r="Z353" s="2382"/>
      <c r="AA353" s="2382"/>
      <c r="AB353" s="2382"/>
      <c r="AC353" s="2382"/>
      <c r="AD353" s="2382"/>
      <c r="AE353" s="2382"/>
      <c r="AF353" s="2382"/>
      <c r="AG353" s="2382"/>
      <c r="AH353" s="2382"/>
      <c r="AI353" s="2382"/>
      <c r="AJ353" s="2382"/>
      <c r="AK353" s="604"/>
      <c r="AL353" s="604"/>
      <c r="AM353" s="604"/>
      <c r="AN353" s="598"/>
      <c r="AQ353" s="571"/>
      <c r="AR353" s="571"/>
    </row>
    <row r="354" spans="1:46" s="551" customFormat="1" ht="12.75" customHeight="1">
      <c r="A354" s="604"/>
      <c r="B354" s="612"/>
      <c r="C354" s="2382"/>
      <c r="D354" s="2382"/>
      <c r="E354" s="2382"/>
      <c r="F354" s="2382"/>
      <c r="G354" s="2382"/>
      <c r="H354" s="2382"/>
      <c r="I354" s="2382"/>
      <c r="J354" s="2382"/>
      <c r="K354" s="2382"/>
      <c r="L354" s="2382"/>
      <c r="M354" s="2382"/>
      <c r="N354" s="2382"/>
      <c r="O354" s="2382"/>
      <c r="P354" s="2382"/>
      <c r="Q354" s="2382"/>
      <c r="R354" s="2382"/>
      <c r="S354" s="2382"/>
      <c r="T354" s="2382"/>
      <c r="U354" s="2382"/>
      <c r="V354" s="2382"/>
      <c r="W354" s="2382"/>
      <c r="X354" s="2382"/>
      <c r="Y354" s="2382"/>
      <c r="Z354" s="2382"/>
      <c r="AA354" s="2382"/>
      <c r="AB354" s="2382"/>
      <c r="AC354" s="2382"/>
      <c r="AD354" s="2382"/>
      <c r="AE354" s="2382"/>
      <c r="AF354" s="2382"/>
      <c r="AG354" s="2382"/>
      <c r="AH354" s="2382"/>
      <c r="AI354" s="2382"/>
      <c r="AJ354" s="2382"/>
      <c r="AK354" s="604"/>
      <c r="AL354" s="604"/>
      <c r="AM354" s="604"/>
      <c r="AN354" s="598"/>
      <c r="AQ354" s="571"/>
      <c r="AR354" s="571"/>
    </row>
    <row r="355" spans="1:46" s="551" customFormat="1" ht="13.5" customHeight="1">
      <c r="A355" s="604"/>
      <c r="B355" s="612"/>
      <c r="C355" s="2382"/>
      <c r="D355" s="2382"/>
      <c r="E355" s="2382"/>
      <c r="F355" s="2382"/>
      <c r="G355" s="2382"/>
      <c r="H355" s="2382"/>
      <c r="I355" s="2382"/>
      <c r="J355" s="2382"/>
      <c r="K355" s="2382"/>
      <c r="L355" s="2382"/>
      <c r="M355" s="2382"/>
      <c r="N355" s="2382"/>
      <c r="O355" s="2382"/>
      <c r="P355" s="2382"/>
      <c r="Q355" s="2382"/>
      <c r="R355" s="2382"/>
      <c r="S355" s="2382"/>
      <c r="T355" s="2382"/>
      <c r="U355" s="2382"/>
      <c r="V355" s="2382"/>
      <c r="W355" s="2382"/>
      <c r="X355" s="2382"/>
      <c r="Y355" s="2382"/>
      <c r="Z355" s="2382"/>
      <c r="AA355" s="2382"/>
      <c r="AB355" s="2382"/>
      <c r="AC355" s="2382"/>
      <c r="AD355" s="2382"/>
      <c r="AE355" s="2382"/>
      <c r="AF355" s="2382"/>
      <c r="AG355" s="2382"/>
      <c r="AH355" s="2382"/>
      <c r="AI355" s="2382"/>
      <c r="AJ355" s="2382"/>
      <c r="AK355" s="604"/>
      <c r="AL355" s="604"/>
      <c r="AM355" s="604"/>
      <c r="AN355" s="598"/>
      <c r="AQ355" s="571"/>
      <c r="AR355" s="571"/>
    </row>
    <row r="356" spans="1:46" s="551" customFormat="1" ht="12.75" customHeight="1">
      <c r="A356" s="604"/>
      <c r="B356" s="612"/>
      <c r="C356" s="2382"/>
      <c r="D356" s="2382"/>
      <c r="E356" s="2382"/>
      <c r="F356" s="2382"/>
      <c r="G356" s="2382"/>
      <c r="H356" s="2382"/>
      <c r="I356" s="2382"/>
      <c r="J356" s="2382"/>
      <c r="K356" s="2382"/>
      <c r="L356" s="2382"/>
      <c r="M356" s="2382"/>
      <c r="N356" s="2382"/>
      <c r="O356" s="2382"/>
      <c r="P356" s="2382"/>
      <c r="Q356" s="2382"/>
      <c r="R356" s="2382"/>
      <c r="S356" s="2382"/>
      <c r="T356" s="2382"/>
      <c r="U356" s="2382"/>
      <c r="V356" s="2382"/>
      <c r="W356" s="2382"/>
      <c r="X356" s="2382"/>
      <c r="Y356" s="2382"/>
      <c r="Z356" s="2382"/>
      <c r="AA356" s="2382"/>
      <c r="AB356" s="2382"/>
      <c r="AC356" s="2382"/>
      <c r="AD356" s="2382"/>
      <c r="AE356" s="2382"/>
      <c r="AF356" s="2382"/>
      <c r="AG356" s="2382"/>
      <c r="AH356" s="2382"/>
      <c r="AI356" s="2382"/>
      <c r="AJ356" s="2382"/>
      <c r="AK356" s="604"/>
      <c r="AL356" s="604"/>
      <c r="AM356" s="604"/>
      <c r="AN356" s="598"/>
      <c r="AO356" s="695"/>
      <c r="AP356" s="695"/>
      <c r="AQ356" s="571"/>
    </row>
    <row r="357" spans="1:46" s="551" customFormat="1" ht="12" customHeight="1">
      <c r="A357" s="604"/>
      <c r="B357" s="612"/>
      <c r="C357" s="2382"/>
      <c r="D357" s="2382"/>
      <c r="E357" s="2382"/>
      <c r="F357" s="2382"/>
      <c r="G357" s="2382"/>
      <c r="H357" s="2382"/>
      <c r="I357" s="2382"/>
      <c r="J357" s="2382"/>
      <c r="K357" s="2382"/>
      <c r="L357" s="2382"/>
      <c r="M357" s="2382"/>
      <c r="N357" s="2382"/>
      <c r="O357" s="2382"/>
      <c r="P357" s="2382"/>
      <c r="Q357" s="2382"/>
      <c r="R357" s="2382"/>
      <c r="S357" s="2382"/>
      <c r="T357" s="2382"/>
      <c r="U357" s="2382"/>
      <c r="V357" s="2382"/>
      <c r="W357" s="2382"/>
      <c r="X357" s="2382"/>
      <c r="Y357" s="2382"/>
      <c r="Z357" s="2382"/>
      <c r="AA357" s="2382"/>
      <c r="AB357" s="2382"/>
      <c r="AC357" s="2382"/>
      <c r="AD357" s="2382"/>
      <c r="AE357" s="2382"/>
      <c r="AF357" s="2382"/>
      <c r="AG357" s="2382"/>
      <c r="AH357" s="2382"/>
      <c r="AI357" s="2382"/>
      <c r="AJ357" s="2382"/>
      <c r="AK357" s="604"/>
      <c r="AL357" s="604"/>
      <c r="AM357" s="604"/>
      <c r="AN357" s="598"/>
      <c r="AO357" s="696" t="s">
        <v>112</v>
      </c>
      <c r="AP357" s="697">
        <f>IF(C381="Yes",5,0)</f>
        <v>5</v>
      </c>
      <c r="AS357" s="540" t="s">
        <v>1456</v>
      </c>
    </row>
    <row r="358" spans="1:46" s="551" customFormat="1" ht="12.75" customHeight="1">
      <c r="A358" s="604"/>
      <c r="B358" s="612"/>
      <c r="C358" s="2382"/>
      <c r="D358" s="2382"/>
      <c r="E358" s="2382"/>
      <c r="F358" s="2382"/>
      <c r="G358" s="2382"/>
      <c r="H358" s="2382"/>
      <c r="I358" s="2382"/>
      <c r="J358" s="2382"/>
      <c r="K358" s="2382"/>
      <c r="L358" s="2382"/>
      <c r="M358" s="2382"/>
      <c r="N358" s="2382"/>
      <c r="O358" s="2382"/>
      <c r="P358" s="2382"/>
      <c r="Q358" s="2382"/>
      <c r="R358" s="2382"/>
      <c r="S358" s="2382"/>
      <c r="T358" s="2382"/>
      <c r="U358" s="2382"/>
      <c r="V358" s="2382"/>
      <c r="W358" s="2382"/>
      <c r="X358" s="2382"/>
      <c r="Y358" s="2382"/>
      <c r="Z358" s="2382"/>
      <c r="AA358" s="2382"/>
      <c r="AB358" s="2382"/>
      <c r="AC358" s="2382"/>
      <c r="AD358" s="2382"/>
      <c r="AE358" s="2382"/>
      <c r="AF358" s="2382"/>
      <c r="AG358" s="2382"/>
      <c r="AH358" s="2382"/>
      <c r="AI358" s="2382"/>
      <c r="AJ358" s="2382"/>
      <c r="AK358" s="604"/>
      <c r="AL358" s="604"/>
      <c r="AM358" s="604"/>
      <c r="AN358" s="598"/>
      <c r="AO358" s="696" t="s">
        <v>113</v>
      </c>
      <c r="AP358" s="697">
        <f>IF(C389="Yes",5,0)</f>
        <v>0</v>
      </c>
      <c r="AS358" s="2348">
        <f>IF(Application!D211="Non-Targeted",(SUM(AQ366+AQ375)),AS362)</f>
        <v>10</v>
      </c>
      <c r="AT358" s="2348"/>
    </row>
    <row r="359" spans="1:46" s="551" customFormat="1" ht="12.75" customHeight="1">
      <c r="A359" s="604"/>
      <c r="B359" s="612"/>
      <c r="C359" s="2382"/>
      <c r="D359" s="2382"/>
      <c r="E359" s="2382"/>
      <c r="F359" s="2382"/>
      <c r="G359" s="2382"/>
      <c r="H359" s="2382"/>
      <c r="I359" s="2382"/>
      <c r="J359" s="2382"/>
      <c r="K359" s="2382"/>
      <c r="L359" s="2382"/>
      <c r="M359" s="2382"/>
      <c r="N359" s="2382"/>
      <c r="O359" s="2382"/>
      <c r="P359" s="2382"/>
      <c r="Q359" s="2382"/>
      <c r="R359" s="2382"/>
      <c r="S359" s="2382"/>
      <c r="T359" s="2382"/>
      <c r="U359" s="2382"/>
      <c r="V359" s="2382"/>
      <c r="W359" s="2382"/>
      <c r="X359" s="2382"/>
      <c r="Y359" s="2382"/>
      <c r="Z359" s="2382"/>
      <c r="AA359" s="2382"/>
      <c r="AB359" s="2382"/>
      <c r="AC359" s="2382"/>
      <c r="AD359" s="2382"/>
      <c r="AE359" s="2382"/>
      <c r="AF359" s="2382"/>
      <c r="AG359" s="2382"/>
      <c r="AH359" s="2382"/>
      <c r="AI359" s="2382"/>
      <c r="AJ359" s="2382"/>
      <c r="AK359" s="604"/>
      <c r="AL359" s="604"/>
      <c r="AM359" s="604"/>
      <c r="AN359" s="598"/>
      <c r="AO359" s="696" t="s">
        <v>119</v>
      </c>
      <c r="AP359" s="697">
        <f>IF(C397="Yes",7,0)</f>
        <v>0</v>
      </c>
      <c r="AS359" s="540" t="s">
        <v>1457</v>
      </c>
    </row>
    <row r="360" spans="1:46" s="551" customFormat="1" ht="12.75" customHeight="1">
      <c r="A360" s="604"/>
      <c r="B360" s="612"/>
      <c r="C360" s="2382"/>
      <c r="D360" s="2382"/>
      <c r="E360" s="2382"/>
      <c r="F360" s="2382"/>
      <c r="G360" s="2382"/>
      <c r="H360" s="2382"/>
      <c r="I360" s="2382"/>
      <c r="J360" s="2382"/>
      <c r="K360" s="2382"/>
      <c r="L360" s="2382"/>
      <c r="M360" s="2382"/>
      <c r="N360" s="2382"/>
      <c r="O360" s="2382"/>
      <c r="P360" s="2382"/>
      <c r="Q360" s="2382"/>
      <c r="R360" s="2382"/>
      <c r="S360" s="2382"/>
      <c r="T360" s="2382"/>
      <c r="U360" s="2382"/>
      <c r="V360" s="2382"/>
      <c r="W360" s="2382"/>
      <c r="X360" s="2382"/>
      <c r="Y360" s="2382"/>
      <c r="Z360" s="2382"/>
      <c r="AA360" s="2382"/>
      <c r="AB360" s="2382"/>
      <c r="AC360" s="2382"/>
      <c r="AD360" s="2382"/>
      <c r="AE360" s="2382"/>
      <c r="AF360" s="2382"/>
      <c r="AG360" s="2382"/>
      <c r="AH360" s="2382"/>
      <c r="AI360" s="2382"/>
      <c r="AJ360" s="2382"/>
      <c r="AK360" s="604"/>
      <c r="AL360" s="604"/>
      <c r="AM360" s="604"/>
      <c r="AN360" s="598"/>
      <c r="AO360" s="598"/>
      <c r="AP360" s="697">
        <f>IF(C399="Yes",5,0)</f>
        <v>5</v>
      </c>
      <c r="AS360" s="2348">
        <f>IF(AND(AQ366&gt;0,AQ375&gt;0),(AQ366+AQ375)/2,0)</f>
        <v>0</v>
      </c>
      <c r="AT360" s="2348"/>
    </row>
    <row r="361" spans="1:46" s="551" customFormat="1" ht="12.75" customHeight="1">
      <c r="A361" s="604"/>
      <c r="B361" s="612"/>
      <c r="C361" s="2382"/>
      <c r="D361" s="2382"/>
      <c r="E361" s="2382"/>
      <c r="F361" s="2382"/>
      <c r="G361" s="2382"/>
      <c r="H361" s="2382"/>
      <c r="I361" s="2382"/>
      <c r="J361" s="2382"/>
      <c r="K361" s="2382"/>
      <c r="L361" s="2382"/>
      <c r="M361" s="2382"/>
      <c r="N361" s="2382"/>
      <c r="O361" s="2382"/>
      <c r="P361" s="2382"/>
      <c r="Q361" s="2382"/>
      <c r="R361" s="2382"/>
      <c r="S361" s="2382"/>
      <c r="T361" s="2382"/>
      <c r="U361" s="2382"/>
      <c r="V361" s="2382"/>
      <c r="W361" s="2382"/>
      <c r="X361" s="2382"/>
      <c r="Y361" s="2382"/>
      <c r="Z361" s="2382"/>
      <c r="AA361" s="2382"/>
      <c r="AB361" s="2382"/>
      <c r="AC361" s="2382"/>
      <c r="AD361" s="2382"/>
      <c r="AE361" s="2382"/>
      <c r="AF361" s="2382"/>
      <c r="AG361" s="2382"/>
      <c r="AH361" s="2382"/>
      <c r="AI361" s="2382"/>
      <c r="AJ361" s="2382"/>
      <c r="AK361" s="604"/>
      <c r="AL361" s="604"/>
      <c r="AM361" s="604"/>
      <c r="AN361" s="598"/>
      <c r="AO361" s="696" t="s">
        <v>581</v>
      </c>
      <c r="AP361" s="697">
        <f>IF(C407="Yes",5,0)</f>
        <v>0</v>
      </c>
      <c r="AS361" s="540" t="s">
        <v>1879</v>
      </c>
    </row>
    <row r="362" spans="1:46" s="551" customFormat="1" ht="12.75" customHeight="1">
      <c r="A362" s="604"/>
      <c r="B362" s="612"/>
      <c r="C362" s="2476" t="s">
        <v>2235</v>
      </c>
      <c r="D362" s="2476"/>
      <c r="E362" s="2476"/>
      <c r="F362" s="2476"/>
      <c r="G362" s="2476"/>
      <c r="H362" s="2476"/>
      <c r="I362" s="2476"/>
      <c r="J362" s="2476"/>
      <c r="K362" s="2476"/>
      <c r="L362" s="2476"/>
      <c r="M362" s="2476"/>
      <c r="N362" s="2476"/>
      <c r="O362" s="2476"/>
      <c r="P362" s="2476"/>
      <c r="Q362" s="2476"/>
      <c r="R362" s="2476"/>
      <c r="S362" s="2476"/>
      <c r="T362" s="2476"/>
      <c r="U362" s="2476"/>
      <c r="V362" s="2476"/>
      <c r="W362" s="2476"/>
      <c r="X362" s="2476"/>
      <c r="Y362" s="2476"/>
      <c r="Z362" s="2476"/>
      <c r="AA362" s="2476"/>
      <c r="AB362" s="2476"/>
      <c r="AC362" s="2476"/>
      <c r="AD362" s="2476"/>
      <c r="AE362" s="2476"/>
      <c r="AF362" s="2476"/>
      <c r="AG362" s="2476"/>
      <c r="AH362" s="2476"/>
      <c r="AI362" s="2476"/>
      <c r="AJ362" s="2476"/>
      <c r="AK362" s="604"/>
      <c r="AL362" s="604"/>
      <c r="AM362" s="604"/>
      <c r="AN362" s="598"/>
      <c r="AO362" s="598"/>
      <c r="AP362" s="697">
        <f>IF(C409="Yes",3,0)</f>
        <v>0</v>
      </c>
      <c r="AS362" s="2348">
        <f>IF(AQ366=0,AQ375,AQ366)</f>
        <v>10</v>
      </c>
      <c r="AT362" s="2348"/>
    </row>
    <row r="363" spans="1:46" s="551" customFormat="1" ht="12.75" customHeight="1">
      <c r="A363" s="604"/>
      <c r="B363" s="612"/>
      <c r="C363" s="2476"/>
      <c r="D363" s="2476"/>
      <c r="E363" s="2476"/>
      <c r="F363" s="2476"/>
      <c r="G363" s="2476"/>
      <c r="H363" s="2476"/>
      <c r="I363" s="2476"/>
      <c r="J363" s="2476"/>
      <c r="K363" s="2476"/>
      <c r="L363" s="2476"/>
      <c r="M363" s="2476"/>
      <c r="N363" s="2476"/>
      <c r="O363" s="2476"/>
      <c r="P363" s="2476"/>
      <c r="Q363" s="2476"/>
      <c r="R363" s="2476"/>
      <c r="S363" s="2476"/>
      <c r="T363" s="2476"/>
      <c r="U363" s="2476"/>
      <c r="V363" s="2476"/>
      <c r="W363" s="2476"/>
      <c r="X363" s="2476"/>
      <c r="Y363" s="2476"/>
      <c r="Z363" s="2476"/>
      <c r="AA363" s="2476"/>
      <c r="AB363" s="2476"/>
      <c r="AC363" s="2476"/>
      <c r="AD363" s="2476"/>
      <c r="AE363" s="2476"/>
      <c r="AF363" s="2476"/>
      <c r="AG363" s="2476"/>
      <c r="AH363" s="2476"/>
      <c r="AI363" s="2476"/>
      <c r="AJ363" s="2476"/>
      <c r="AK363" s="604"/>
      <c r="AL363" s="604"/>
      <c r="AM363" s="604"/>
      <c r="AN363" s="598"/>
      <c r="AO363" s="696" t="s">
        <v>763</v>
      </c>
      <c r="AP363" s="697">
        <f>IF(C412="Yes",5,0)</f>
        <v>0</v>
      </c>
    </row>
    <row r="364" spans="1:46" s="551" customFormat="1" ht="12.75" customHeight="1">
      <c r="A364" s="604"/>
      <c r="B364" s="612"/>
      <c r="C364" s="2476"/>
      <c r="D364" s="2476"/>
      <c r="E364" s="2476"/>
      <c r="F364" s="2476"/>
      <c r="G364" s="2476"/>
      <c r="H364" s="2476"/>
      <c r="I364" s="2476"/>
      <c r="J364" s="2476"/>
      <c r="K364" s="2476"/>
      <c r="L364" s="2476"/>
      <c r="M364" s="2476"/>
      <c r="N364" s="2476"/>
      <c r="O364" s="2476"/>
      <c r="P364" s="2476"/>
      <c r="Q364" s="2476"/>
      <c r="R364" s="2476"/>
      <c r="S364" s="2476"/>
      <c r="T364" s="2476"/>
      <c r="U364" s="2476"/>
      <c r="V364" s="2476"/>
      <c r="W364" s="2476"/>
      <c r="X364" s="2476"/>
      <c r="Y364" s="2476"/>
      <c r="Z364" s="2476"/>
      <c r="AA364" s="2476"/>
      <c r="AB364" s="2476"/>
      <c r="AC364" s="2476"/>
      <c r="AD364" s="2476"/>
      <c r="AE364" s="2476"/>
      <c r="AF364" s="2476"/>
      <c r="AG364" s="2476"/>
      <c r="AH364" s="2476"/>
      <c r="AI364" s="2476"/>
      <c r="AJ364" s="2476"/>
      <c r="AK364" s="604"/>
      <c r="AL364" s="604"/>
      <c r="AM364" s="604"/>
      <c r="AN364" s="598"/>
      <c r="AO364" s="696" t="s">
        <v>584</v>
      </c>
      <c r="AP364" s="697">
        <f>IF(C421="Yes",5,0)</f>
        <v>0</v>
      </c>
    </row>
    <row r="365" spans="1:46" s="551" customFormat="1" ht="12" customHeight="1">
      <c r="A365" s="604"/>
      <c r="B365" s="612"/>
      <c r="C365" s="2476"/>
      <c r="D365" s="2476"/>
      <c r="E365" s="2476"/>
      <c r="F365" s="2476"/>
      <c r="G365" s="2476"/>
      <c r="H365" s="2476"/>
      <c r="I365" s="2476"/>
      <c r="J365" s="2476"/>
      <c r="K365" s="2476"/>
      <c r="L365" s="2476"/>
      <c r="M365" s="2476"/>
      <c r="N365" s="2476"/>
      <c r="O365" s="2476"/>
      <c r="P365" s="2476"/>
      <c r="Q365" s="2476"/>
      <c r="R365" s="2476"/>
      <c r="S365" s="2476"/>
      <c r="T365" s="2476"/>
      <c r="U365" s="2476"/>
      <c r="V365" s="2476"/>
      <c r="W365" s="2476"/>
      <c r="X365" s="2476"/>
      <c r="Y365" s="2476"/>
      <c r="Z365" s="2476"/>
      <c r="AA365" s="2476"/>
      <c r="AB365" s="2476"/>
      <c r="AC365" s="2476"/>
      <c r="AD365" s="2476"/>
      <c r="AE365" s="2476"/>
      <c r="AF365" s="2476"/>
      <c r="AG365" s="2476"/>
      <c r="AH365" s="2476"/>
      <c r="AI365" s="2476"/>
      <c r="AJ365" s="2476"/>
      <c r="AK365" s="604"/>
      <c r="AL365" s="604"/>
      <c r="AM365" s="604"/>
      <c r="AN365" s="598"/>
      <c r="AO365" s="698"/>
      <c r="AP365" s="699">
        <f>IF(C423="Yes",3,0)</f>
        <v>0</v>
      </c>
    </row>
    <row r="366" spans="1:46" s="551" customFormat="1" ht="12.75" customHeight="1">
      <c r="A366" s="604"/>
      <c r="B366" s="612"/>
      <c r="C366" s="2476"/>
      <c r="D366" s="2476"/>
      <c r="E366" s="2476"/>
      <c r="F366" s="2476"/>
      <c r="G366" s="2476"/>
      <c r="H366" s="2476"/>
      <c r="I366" s="2476"/>
      <c r="J366" s="2476"/>
      <c r="K366" s="2476"/>
      <c r="L366" s="2476"/>
      <c r="M366" s="2476"/>
      <c r="N366" s="2476"/>
      <c r="O366" s="2476"/>
      <c r="P366" s="2476"/>
      <c r="Q366" s="2476"/>
      <c r="R366" s="2476"/>
      <c r="S366" s="2476"/>
      <c r="T366" s="2476"/>
      <c r="U366" s="2476"/>
      <c r="V366" s="2476"/>
      <c r="W366" s="2476"/>
      <c r="X366" s="2476"/>
      <c r="Y366" s="2476"/>
      <c r="Z366" s="2476"/>
      <c r="AA366" s="2476"/>
      <c r="AB366" s="2476"/>
      <c r="AC366" s="2476"/>
      <c r="AD366" s="2476"/>
      <c r="AE366" s="2476"/>
      <c r="AF366" s="2476"/>
      <c r="AG366" s="2476"/>
      <c r="AH366" s="2476"/>
      <c r="AI366" s="2476"/>
      <c r="AJ366" s="2476"/>
      <c r="AK366" s="604"/>
      <c r="AL366" s="604"/>
      <c r="AM366" s="604"/>
      <c r="AN366" s="598"/>
      <c r="AO366" s="700" t="s">
        <v>226</v>
      </c>
      <c r="AP366" s="701">
        <f>SUM(AP357:AP365)</f>
        <v>10</v>
      </c>
      <c r="AQ366" s="2385">
        <f>IF(AP366&gt;0,AP366,0)</f>
        <v>10</v>
      </c>
      <c r="AR366" s="2385"/>
    </row>
    <row r="367" spans="1:46" s="551" customFormat="1" ht="12.75" customHeight="1">
      <c r="A367" s="604"/>
      <c r="B367" s="612"/>
      <c r="C367" s="2476"/>
      <c r="D367" s="2476"/>
      <c r="E367" s="2476"/>
      <c r="F367" s="2476"/>
      <c r="G367" s="2476"/>
      <c r="H367" s="2476"/>
      <c r="I367" s="2476"/>
      <c r="J367" s="2476"/>
      <c r="K367" s="2476"/>
      <c r="L367" s="2476"/>
      <c r="M367" s="2476"/>
      <c r="N367" s="2476"/>
      <c r="O367" s="2476"/>
      <c r="P367" s="2476"/>
      <c r="Q367" s="2476"/>
      <c r="R367" s="2476"/>
      <c r="S367" s="2476"/>
      <c r="T367" s="2476"/>
      <c r="U367" s="2476"/>
      <c r="V367" s="2476"/>
      <c r="W367" s="2476"/>
      <c r="X367" s="2476"/>
      <c r="Y367" s="2476"/>
      <c r="Z367" s="2476"/>
      <c r="AA367" s="2476"/>
      <c r="AB367" s="2476"/>
      <c r="AC367" s="2476"/>
      <c r="AD367" s="2476"/>
      <c r="AE367" s="2476"/>
      <c r="AF367" s="2476"/>
      <c r="AG367" s="2476"/>
      <c r="AH367" s="2476"/>
      <c r="AI367" s="2476"/>
      <c r="AJ367" s="247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382" t="s">
        <v>1458</v>
      </c>
      <c r="D369" s="2382"/>
      <c r="E369" s="2382"/>
      <c r="F369" s="2382"/>
      <c r="G369" s="2382"/>
      <c r="H369" s="2382"/>
      <c r="I369" s="2382"/>
      <c r="J369" s="2382"/>
      <c r="K369" s="2382"/>
      <c r="L369" s="2382"/>
      <c r="M369" s="2382"/>
      <c r="N369" s="2382"/>
      <c r="O369" s="2382"/>
      <c r="P369" s="2382"/>
      <c r="Q369" s="2382"/>
      <c r="R369" s="2382"/>
      <c r="S369" s="2382"/>
      <c r="T369" s="2382"/>
      <c r="U369" s="2382"/>
      <c r="V369" s="2382"/>
      <c r="W369" s="2382"/>
      <c r="X369" s="2382"/>
      <c r="Y369" s="2382"/>
      <c r="Z369" s="2382"/>
      <c r="AA369" s="2382"/>
      <c r="AB369" s="2382"/>
      <c r="AC369" s="2382"/>
      <c r="AD369" s="2382"/>
      <c r="AE369" s="2382"/>
      <c r="AF369" s="2382"/>
      <c r="AG369" s="2382"/>
      <c r="AH369" s="2382"/>
      <c r="AI369" s="2382"/>
      <c r="AJ369" s="2382"/>
      <c r="AK369" s="604"/>
      <c r="AL369" s="604"/>
      <c r="AM369" s="604"/>
      <c r="AN369" s="598"/>
      <c r="AO369" s="696" t="s">
        <v>456</v>
      </c>
      <c r="AP369" s="697">
        <f>IF(C442="Yes",5,0)</f>
        <v>0</v>
      </c>
    </row>
    <row r="370" spans="1:81" s="551" customFormat="1" ht="12.75" customHeight="1">
      <c r="A370" s="604"/>
      <c r="B370" s="612"/>
      <c r="C370" s="2382"/>
      <c r="D370" s="2382"/>
      <c r="E370" s="2382"/>
      <c r="F370" s="2382"/>
      <c r="G370" s="2382"/>
      <c r="H370" s="2382"/>
      <c r="I370" s="2382"/>
      <c r="J370" s="2382"/>
      <c r="K370" s="2382"/>
      <c r="L370" s="2382"/>
      <c r="M370" s="2382"/>
      <c r="N370" s="2382"/>
      <c r="O370" s="2382"/>
      <c r="P370" s="2382"/>
      <c r="Q370" s="2382"/>
      <c r="R370" s="2382"/>
      <c r="S370" s="2382"/>
      <c r="T370" s="2382"/>
      <c r="U370" s="2382"/>
      <c r="V370" s="2382"/>
      <c r="W370" s="2382"/>
      <c r="X370" s="2382"/>
      <c r="Y370" s="2382"/>
      <c r="Z370" s="2382"/>
      <c r="AA370" s="2382"/>
      <c r="AB370" s="2382"/>
      <c r="AC370" s="2382"/>
      <c r="AD370" s="2382"/>
      <c r="AE370" s="2382"/>
      <c r="AF370" s="2382"/>
      <c r="AG370" s="2382"/>
      <c r="AH370" s="2382"/>
      <c r="AI370" s="2382"/>
      <c r="AJ370" s="2382"/>
      <c r="AK370" s="604"/>
      <c r="AL370" s="604"/>
      <c r="AM370" s="604"/>
      <c r="AN370" s="598"/>
      <c r="AO370" s="696" t="s">
        <v>461</v>
      </c>
      <c r="AP370" s="697">
        <f>IF(C449="Yes",5,0)</f>
        <v>0</v>
      </c>
    </row>
    <row r="371" spans="1:81" s="551" customFormat="1" ht="68.25" customHeight="1">
      <c r="A371" s="604"/>
      <c r="B371" s="612"/>
      <c r="C371" s="2382"/>
      <c r="D371" s="2382"/>
      <c r="E371" s="2382"/>
      <c r="F371" s="2382"/>
      <c r="G371" s="2382"/>
      <c r="H371" s="2382"/>
      <c r="I371" s="2382"/>
      <c r="J371" s="2382"/>
      <c r="K371" s="2382"/>
      <c r="L371" s="2382"/>
      <c r="M371" s="2382"/>
      <c r="N371" s="2382"/>
      <c r="O371" s="2382"/>
      <c r="P371" s="2382"/>
      <c r="Q371" s="2382"/>
      <c r="R371" s="2382"/>
      <c r="S371" s="2382"/>
      <c r="T371" s="2382"/>
      <c r="U371" s="2382"/>
      <c r="V371" s="2382"/>
      <c r="W371" s="2382"/>
      <c r="X371" s="2382"/>
      <c r="Y371" s="2382"/>
      <c r="Z371" s="2382"/>
      <c r="AA371" s="2382"/>
      <c r="AB371" s="2382"/>
      <c r="AC371" s="2382"/>
      <c r="AD371" s="2382"/>
      <c r="AE371" s="2382"/>
      <c r="AF371" s="2382"/>
      <c r="AG371" s="2382"/>
      <c r="AH371" s="2382"/>
      <c r="AI371" s="2382"/>
      <c r="AJ371" s="2382"/>
      <c r="AK371" s="604"/>
      <c r="AL371" s="604"/>
      <c r="AM371" s="604"/>
      <c r="AN371" s="598"/>
      <c r="AO371" s="696" t="s">
        <v>646</v>
      </c>
      <c r="AP371" s="702">
        <f>IF(C453="Yes",5,0)</f>
        <v>0</v>
      </c>
    </row>
    <row r="372" spans="1:81" s="551" customFormat="1" ht="12.7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83">
        <f>Application!DU802-U374</f>
        <v>96</v>
      </c>
      <c r="V373" s="2383"/>
      <c r="W373" s="2383"/>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84">
        <f>IF(Application!D211="SRO",Application!DU755,Application!AG756)</f>
        <v>0</v>
      </c>
      <c r="V374" s="2384"/>
      <c r="W374" s="238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385">
        <f>IF(AP375&gt;0,AP375,0)</f>
        <v>0</v>
      </c>
      <c r="AR375" s="2385"/>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76" t="s">
        <v>1460</v>
      </c>
      <c r="G377" s="2376"/>
      <c r="H377" s="2376"/>
      <c r="I377" s="2376"/>
      <c r="J377" s="2376"/>
      <c r="K377" s="2376"/>
      <c r="L377" s="2376"/>
      <c r="M377" s="2376"/>
      <c r="N377" s="2376"/>
      <c r="O377" s="2376"/>
      <c r="P377" s="2376"/>
      <c r="Q377" s="2376"/>
      <c r="R377" s="2376"/>
      <c r="S377" s="2376"/>
      <c r="T377" s="2376"/>
      <c r="U377" s="2376"/>
      <c r="V377" s="2376"/>
      <c r="W377" s="2376"/>
      <c r="X377" s="2376"/>
      <c r="Y377" s="2376"/>
      <c r="Z377" s="2376"/>
      <c r="AA377" s="2376"/>
      <c r="AB377" s="2376"/>
      <c r="AC377" s="2376"/>
      <c r="AD377" s="2376"/>
      <c r="AE377" s="2376"/>
      <c r="AF377" s="237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77"/>
      <c r="G378" s="2377"/>
      <c r="H378" s="2377"/>
      <c r="I378" s="2377"/>
      <c r="J378" s="2377"/>
      <c r="K378" s="2377"/>
      <c r="L378" s="2377"/>
      <c r="M378" s="2377"/>
      <c r="N378" s="2377"/>
      <c r="O378" s="2377"/>
      <c r="P378" s="2377"/>
      <c r="Q378" s="2377"/>
      <c r="R378" s="2377"/>
      <c r="S378" s="2377"/>
      <c r="T378" s="2377"/>
      <c r="U378" s="2377"/>
      <c r="V378" s="2377"/>
      <c r="W378" s="2377"/>
      <c r="X378" s="2377"/>
      <c r="Y378" s="2377"/>
      <c r="Z378" s="2377"/>
      <c r="AA378" s="2377"/>
      <c r="AB378" s="2377"/>
      <c r="AC378" s="2377"/>
      <c r="AD378" s="2377"/>
      <c r="AE378" s="2377"/>
      <c r="AF378" s="237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77"/>
      <c r="G379" s="2377"/>
      <c r="H379" s="2377"/>
      <c r="I379" s="2377"/>
      <c r="J379" s="2377"/>
      <c r="K379" s="2377"/>
      <c r="L379" s="2377"/>
      <c r="M379" s="2377"/>
      <c r="N379" s="2377"/>
      <c r="O379" s="2377"/>
      <c r="P379" s="2377"/>
      <c r="Q379" s="2377"/>
      <c r="R379" s="2377"/>
      <c r="S379" s="2377"/>
      <c r="T379" s="2377"/>
      <c r="U379" s="2377"/>
      <c r="V379" s="2377"/>
      <c r="W379" s="2377"/>
      <c r="X379" s="2377"/>
      <c r="Y379" s="2377"/>
      <c r="Z379" s="2377"/>
      <c r="AA379" s="2377"/>
      <c r="AB379" s="2377"/>
      <c r="AC379" s="2377"/>
      <c r="AD379" s="2377"/>
      <c r="AE379" s="2377"/>
      <c r="AF379" s="237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77"/>
      <c r="G380" s="2377"/>
      <c r="H380" s="2377"/>
      <c r="I380" s="2377"/>
      <c r="J380" s="2377"/>
      <c r="K380" s="2377"/>
      <c r="L380" s="2377"/>
      <c r="M380" s="2377"/>
      <c r="N380" s="2377"/>
      <c r="O380" s="2377"/>
      <c r="P380" s="2377"/>
      <c r="Q380" s="2377"/>
      <c r="R380" s="2377"/>
      <c r="S380" s="2377"/>
      <c r="T380" s="2377"/>
      <c r="U380" s="2377"/>
      <c r="V380" s="2377"/>
      <c r="W380" s="2377"/>
      <c r="X380" s="2377"/>
      <c r="Y380" s="2377"/>
      <c r="Z380" s="2377"/>
      <c r="AA380" s="2377"/>
      <c r="AB380" s="2377"/>
      <c r="AC380" s="2377"/>
      <c r="AD380" s="2377"/>
      <c r="AE380" s="2377"/>
      <c r="AF380" s="237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86" t="s">
        <v>545</v>
      </c>
      <c r="D381" s="2387"/>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8" t="s">
        <v>1462</v>
      </c>
      <c r="AG381" s="2388"/>
      <c r="AH381" s="2388"/>
      <c r="AI381" s="2388"/>
      <c r="AJ381" s="2388"/>
      <c r="AK381" s="2388"/>
      <c r="AL381" s="238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76" t="s">
        <v>1463</v>
      </c>
      <c r="G384" s="2376"/>
      <c r="H384" s="2376"/>
      <c r="I384" s="2376"/>
      <c r="J384" s="2376"/>
      <c r="K384" s="2376"/>
      <c r="L384" s="2376"/>
      <c r="M384" s="2376"/>
      <c r="N384" s="2376"/>
      <c r="O384" s="2376"/>
      <c r="P384" s="2376"/>
      <c r="Q384" s="2376"/>
      <c r="R384" s="2376"/>
      <c r="S384" s="2376"/>
      <c r="T384" s="2376"/>
      <c r="U384" s="2376"/>
      <c r="V384" s="2376"/>
      <c r="W384" s="2376"/>
      <c r="X384" s="2376"/>
      <c r="Y384" s="2376"/>
      <c r="Z384" s="2376"/>
      <c r="AA384" s="2376"/>
      <c r="AB384" s="2376"/>
      <c r="AC384" s="2376"/>
      <c r="AD384" s="2376"/>
      <c r="AE384" s="2376"/>
      <c r="AF384" s="237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77"/>
      <c r="G385" s="2377"/>
      <c r="H385" s="2377"/>
      <c r="I385" s="2377"/>
      <c r="J385" s="2377"/>
      <c r="K385" s="2377"/>
      <c r="L385" s="2377"/>
      <c r="M385" s="2377"/>
      <c r="N385" s="2377"/>
      <c r="O385" s="2377"/>
      <c r="P385" s="2377"/>
      <c r="Q385" s="2377"/>
      <c r="R385" s="2377"/>
      <c r="S385" s="2377"/>
      <c r="T385" s="2377"/>
      <c r="U385" s="2377"/>
      <c r="V385" s="2377"/>
      <c r="W385" s="2377"/>
      <c r="X385" s="2377"/>
      <c r="Y385" s="2377"/>
      <c r="Z385" s="2377"/>
      <c r="AA385" s="2377"/>
      <c r="AB385" s="2377"/>
      <c r="AC385" s="2377"/>
      <c r="AD385" s="2377"/>
      <c r="AE385" s="2377"/>
      <c r="AF385" s="237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77"/>
      <c r="G386" s="2377"/>
      <c r="H386" s="2377"/>
      <c r="I386" s="2377"/>
      <c r="J386" s="2377"/>
      <c r="K386" s="2377"/>
      <c r="L386" s="2377"/>
      <c r="M386" s="2377"/>
      <c r="N386" s="2377"/>
      <c r="O386" s="2377"/>
      <c r="P386" s="2377"/>
      <c r="Q386" s="2377"/>
      <c r="R386" s="2377"/>
      <c r="S386" s="2377"/>
      <c r="T386" s="2377"/>
      <c r="U386" s="2377"/>
      <c r="V386" s="2377"/>
      <c r="W386" s="2377"/>
      <c r="X386" s="2377"/>
      <c r="Y386" s="2377"/>
      <c r="Z386" s="2377"/>
      <c r="AA386" s="2377"/>
      <c r="AB386" s="2377"/>
      <c r="AC386" s="2377"/>
      <c r="AD386" s="2377"/>
      <c r="AE386" s="2377"/>
      <c r="AF386" s="237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77"/>
      <c r="G387" s="2377"/>
      <c r="H387" s="2377"/>
      <c r="I387" s="2377"/>
      <c r="J387" s="2377"/>
      <c r="K387" s="2377"/>
      <c r="L387" s="2377"/>
      <c r="M387" s="2377"/>
      <c r="N387" s="2377"/>
      <c r="O387" s="2377"/>
      <c r="P387" s="2377"/>
      <c r="Q387" s="2377"/>
      <c r="R387" s="2377"/>
      <c r="S387" s="2377"/>
      <c r="T387" s="2377"/>
      <c r="U387" s="2377"/>
      <c r="V387" s="2377"/>
      <c r="W387" s="2377"/>
      <c r="X387" s="2377"/>
      <c r="Y387" s="2377"/>
      <c r="Z387" s="2377"/>
      <c r="AA387" s="2377"/>
      <c r="AB387" s="2377"/>
      <c r="AC387" s="2377"/>
      <c r="AD387" s="2377"/>
      <c r="AE387" s="2377"/>
      <c r="AF387" s="237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77"/>
      <c r="G388" s="2377"/>
      <c r="H388" s="2377"/>
      <c r="I388" s="2377"/>
      <c r="J388" s="2377"/>
      <c r="K388" s="2377"/>
      <c r="L388" s="2377"/>
      <c r="M388" s="2377"/>
      <c r="N388" s="2377"/>
      <c r="O388" s="2377"/>
      <c r="P388" s="2377"/>
      <c r="Q388" s="2377"/>
      <c r="R388" s="2377"/>
      <c r="S388" s="2377"/>
      <c r="T388" s="2377"/>
      <c r="U388" s="2377"/>
      <c r="V388" s="2377"/>
      <c r="W388" s="2377"/>
      <c r="X388" s="2377"/>
      <c r="Y388" s="2377"/>
      <c r="Z388" s="2377"/>
      <c r="AA388" s="2377"/>
      <c r="AB388" s="2377"/>
      <c r="AC388" s="2377"/>
      <c r="AD388" s="2377"/>
      <c r="AE388" s="2377"/>
      <c r="AF388" s="2377"/>
      <c r="AL388" s="733"/>
      <c r="AN388" s="598"/>
      <c r="BS388" s="30"/>
      <c r="BT388" s="30"/>
      <c r="BU388" s="14"/>
      <c r="BV388" s="14"/>
      <c r="BW388" s="14"/>
      <c r="BX388" s="14"/>
      <c r="BY388" s="14"/>
      <c r="BZ388" s="14"/>
      <c r="CA388" s="14"/>
      <c r="CB388" s="14"/>
      <c r="CC388" s="14"/>
    </row>
    <row r="389" spans="1:81" s="551" customFormat="1" ht="12.75" customHeight="1">
      <c r="A389" s="537"/>
      <c r="B389" s="14"/>
      <c r="C389" s="2386" t="s">
        <v>591</v>
      </c>
      <c r="D389" s="2387"/>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8" t="s">
        <v>1462</v>
      </c>
      <c r="AG389" s="2388"/>
      <c r="AH389" s="2388"/>
      <c r="AI389" s="2388"/>
      <c r="AJ389" s="2388"/>
      <c r="AK389" s="2388"/>
      <c r="AL389" s="238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76" t="s">
        <v>1465</v>
      </c>
      <c r="G392" s="2376"/>
      <c r="H392" s="2376"/>
      <c r="I392" s="2376"/>
      <c r="J392" s="2376"/>
      <c r="K392" s="2376"/>
      <c r="L392" s="2376"/>
      <c r="M392" s="2376"/>
      <c r="N392" s="2376"/>
      <c r="O392" s="2376"/>
      <c r="P392" s="2376"/>
      <c r="Q392" s="2376"/>
      <c r="R392" s="2376"/>
      <c r="S392" s="2376"/>
      <c r="T392" s="2376"/>
      <c r="U392" s="2376"/>
      <c r="V392" s="2376"/>
      <c r="W392" s="2376"/>
      <c r="X392" s="2376"/>
      <c r="Y392" s="2376"/>
      <c r="Z392" s="2376"/>
      <c r="AA392" s="2376"/>
      <c r="AB392" s="2376"/>
      <c r="AC392" s="2376"/>
      <c r="AD392" s="2376"/>
      <c r="AE392" s="2376"/>
      <c r="AF392" s="237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77"/>
      <c r="G393" s="2377"/>
      <c r="H393" s="2377"/>
      <c r="I393" s="2377"/>
      <c r="J393" s="2377"/>
      <c r="K393" s="2377"/>
      <c r="L393" s="2377"/>
      <c r="M393" s="2377"/>
      <c r="N393" s="2377"/>
      <c r="O393" s="2377"/>
      <c r="P393" s="2377"/>
      <c r="Q393" s="2377"/>
      <c r="R393" s="2377"/>
      <c r="S393" s="2377"/>
      <c r="T393" s="2377"/>
      <c r="U393" s="2377"/>
      <c r="V393" s="2377"/>
      <c r="W393" s="2377"/>
      <c r="X393" s="2377"/>
      <c r="Y393" s="2377"/>
      <c r="Z393" s="2377"/>
      <c r="AA393" s="2377"/>
      <c r="AB393" s="2377"/>
      <c r="AC393" s="2377"/>
      <c r="AD393" s="2377"/>
      <c r="AE393" s="2377"/>
      <c r="AF393" s="237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77"/>
      <c r="G394" s="2377"/>
      <c r="H394" s="2377"/>
      <c r="I394" s="2377"/>
      <c r="J394" s="2377"/>
      <c r="K394" s="2377"/>
      <c r="L394" s="2377"/>
      <c r="M394" s="2377"/>
      <c r="N394" s="2377"/>
      <c r="O394" s="2377"/>
      <c r="P394" s="2377"/>
      <c r="Q394" s="2377"/>
      <c r="R394" s="2377"/>
      <c r="S394" s="2377"/>
      <c r="T394" s="2377"/>
      <c r="U394" s="2377"/>
      <c r="V394" s="2377"/>
      <c r="W394" s="2377"/>
      <c r="X394" s="2377"/>
      <c r="Y394" s="2377"/>
      <c r="Z394" s="2377"/>
      <c r="AA394" s="2377"/>
      <c r="AB394" s="2377"/>
      <c r="AC394" s="2377"/>
      <c r="AD394" s="2377"/>
      <c r="AE394" s="2377"/>
      <c r="AF394" s="237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77"/>
      <c r="G395" s="2377"/>
      <c r="H395" s="2377"/>
      <c r="I395" s="2377"/>
      <c r="J395" s="2377"/>
      <c r="K395" s="2377"/>
      <c r="L395" s="2377"/>
      <c r="M395" s="2377"/>
      <c r="N395" s="2377"/>
      <c r="O395" s="2377"/>
      <c r="P395" s="2377"/>
      <c r="Q395" s="2377"/>
      <c r="R395" s="2377"/>
      <c r="S395" s="2377"/>
      <c r="T395" s="2377"/>
      <c r="U395" s="2377"/>
      <c r="V395" s="2377"/>
      <c r="W395" s="2377"/>
      <c r="X395" s="2377"/>
      <c r="Y395" s="2377"/>
      <c r="Z395" s="2377"/>
      <c r="AA395" s="2377"/>
      <c r="AB395" s="2377"/>
      <c r="AC395" s="2377"/>
      <c r="AD395" s="2377"/>
      <c r="AE395" s="2377"/>
      <c r="AF395" s="237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77"/>
      <c r="G396" s="2377"/>
      <c r="H396" s="2377"/>
      <c r="I396" s="2377"/>
      <c r="J396" s="2377"/>
      <c r="K396" s="2377"/>
      <c r="L396" s="2377"/>
      <c r="M396" s="2377"/>
      <c r="N396" s="2377"/>
      <c r="O396" s="2377"/>
      <c r="P396" s="2377"/>
      <c r="Q396" s="2377"/>
      <c r="R396" s="2377"/>
      <c r="S396" s="2377"/>
      <c r="T396" s="2377"/>
      <c r="U396" s="2377"/>
      <c r="V396" s="2377"/>
      <c r="W396" s="2377"/>
      <c r="X396" s="2377"/>
      <c r="Y396" s="2377"/>
      <c r="Z396" s="2377"/>
      <c r="AA396" s="2377"/>
      <c r="AB396" s="2377"/>
      <c r="AC396" s="2377"/>
      <c r="AD396" s="2377"/>
      <c r="AE396" s="2377"/>
      <c r="AF396" s="237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86" t="s">
        <v>591</v>
      </c>
      <c r="D397" s="2387"/>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8" t="s">
        <v>1467</v>
      </c>
      <c r="AG397" s="2388"/>
      <c r="AH397" s="2388"/>
      <c r="AI397" s="2388"/>
      <c r="AJ397" s="2388"/>
      <c r="AK397" s="2388"/>
      <c r="AL397" s="238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86" t="s">
        <v>545</v>
      </c>
      <c r="D399" s="2387"/>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8" t="s">
        <v>1462</v>
      </c>
      <c r="AG399" s="2388"/>
      <c r="AH399" s="2388"/>
      <c r="AI399" s="2388"/>
      <c r="AJ399" s="2388"/>
      <c r="AK399" s="2388"/>
      <c r="AL399" s="238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76" t="s">
        <v>1471</v>
      </c>
      <c r="G403" s="2376"/>
      <c r="H403" s="2376"/>
      <c r="I403" s="2376"/>
      <c r="J403" s="2376"/>
      <c r="K403" s="2376"/>
      <c r="L403" s="2376"/>
      <c r="M403" s="2376"/>
      <c r="N403" s="2376"/>
      <c r="O403" s="2376"/>
      <c r="P403" s="2376"/>
      <c r="Q403" s="2376"/>
      <c r="R403" s="2376"/>
      <c r="S403" s="2376"/>
      <c r="T403" s="2376"/>
      <c r="U403" s="2376"/>
      <c r="V403" s="2376"/>
      <c r="W403" s="2376"/>
      <c r="X403" s="2376"/>
      <c r="Y403" s="2376"/>
      <c r="Z403" s="2376"/>
      <c r="AA403" s="2376"/>
      <c r="AB403" s="2376"/>
      <c r="AC403" s="2376"/>
      <c r="AD403" s="2376"/>
      <c r="AE403" s="2376"/>
      <c r="AF403" s="237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77"/>
      <c r="G404" s="2377"/>
      <c r="H404" s="2377"/>
      <c r="I404" s="2377"/>
      <c r="J404" s="2377"/>
      <c r="K404" s="2377"/>
      <c r="L404" s="2377"/>
      <c r="M404" s="2377"/>
      <c r="N404" s="2377"/>
      <c r="O404" s="2377"/>
      <c r="P404" s="2377"/>
      <c r="Q404" s="2377"/>
      <c r="R404" s="2377"/>
      <c r="S404" s="2377"/>
      <c r="T404" s="2377"/>
      <c r="U404" s="2377"/>
      <c r="V404" s="2377"/>
      <c r="W404" s="2377"/>
      <c r="X404" s="2377"/>
      <c r="Y404" s="2377"/>
      <c r="Z404" s="2377"/>
      <c r="AA404" s="2377"/>
      <c r="AB404" s="2377"/>
      <c r="AC404" s="2377"/>
      <c r="AD404" s="2377"/>
      <c r="AE404" s="2377"/>
      <c r="AF404" s="237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377"/>
      <c r="G405" s="2377"/>
      <c r="H405" s="2377"/>
      <c r="I405" s="2377"/>
      <c r="J405" s="2377"/>
      <c r="K405" s="2377"/>
      <c r="L405" s="2377"/>
      <c r="M405" s="2377"/>
      <c r="N405" s="2377"/>
      <c r="O405" s="2377"/>
      <c r="P405" s="2377"/>
      <c r="Q405" s="2377"/>
      <c r="R405" s="2377"/>
      <c r="S405" s="2377"/>
      <c r="T405" s="2377"/>
      <c r="U405" s="2377"/>
      <c r="V405" s="2377"/>
      <c r="W405" s="2377"/>
      <c r="X405" s="2377"/>
      <c r="Y405" s="2377"/>
      <c r="Z405" s="2377"/>
      <c r="AA405" s="2377"/>
      <c r="AB405" s="2377"/>
      <c r="AC405" s="2377"/>
      <c r="AD405" s="2377"/>
      <c r="AE405" s="2377"/>
      <c r="AF405" s="237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77"/>
      <c r="G406" s="2377"/>
      <c r="H406" s="2377"/>
      <c r="I406" s="2377"/>
      <c r="J406" s="2377"/>
      <c r="K406" s="2377"/>
      <c r="L406" s="2377"/>
      <c r="M406" s="2377"/>
      <c r="N406" s="2377"/>
      <c r="O406" s="2377"/>
      <c r="P406" s="2377"/>
      <c r="Q406" s="2377"/>
      <c r="R406" s="2377"/>
      <c r="S406" s="2377"/>
      <c r="T406" s="2377"/>
      <c r="U406" s="2377"/>
      <c r="V406" s="2377"/>
      <c r="W406" s="2377"/>
      <c r="X406" s="2377"/>
      <c r="Y406" s="2377"/>
      <c r="Z406" s="2377"/>
      <c r="AA406" s="2377"/>
      <c r="AB406" s="2377"/>
      <c r="AC406" s="2377"/>
      <c r="AD406" s="2377"/>
      <c r="AE406" s="2377"/>
      <c r="AF406" s="237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86" t="s">
        <v>591</v>
      </c>
      <c r="D407" s="2387"/>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8" t="s">
        <v>1462</v>
      </c>
      <c r="AG407" s="2388"/>
      <c r="AH407" s="2388"/>
      <c r="AI407" s="2388"/>
      <c r="AJ407" s="2388"/>
      <c r="AK407" s="2388"/>
      <c r="AL407" s="238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86" t="s">
        <v>591</v>
      </c>
      <c r="D409" s="2387"/>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8" t="s">
        <v>1474</v>
      </c>
      <c r="AG409" s="2388"/>
      <c r="AH409" s="2388"/>
      <c r="AI409" s="2388"/>
      <c r="AJ409" s="2388"/>
      <c r="AK409" s="2388"/>
      <c r="AL409" s="238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86" t="s">
        <v>591</v>
      </c>
      <c r="D412" s="2387"/>
      <c r="E412" s="716" t="s">
        <v>1475</v>
      </c>
      <c r="F412" s="2376" t="s">
        <v>1476</v>
      </c>
      <c r="G412" s="2376"/>
      <c r="H412" s="2376"/>
      <c r="I412" s="2376"/>
      <c r="J412" s="2376"/>
      <c r="K412" s="2376"/>
      <c r="L412" s="2376"/>
      <c r="M412" s="2376"/>
      <c r="N412" s="2376"/>
      <c r="O412" s="2376"/>
      <c r="P412" s="2376"/>
      <c r="Q412" s="2376"/>
      <c r="R412" s="2376"/>
      <c r="S412" s="2376"/>
      <c r="T412" s="2376"/>
      <c r="U412" s="2376"/>
      <c r="V412" s="2376"/>
      <c r="W412" s="2376"/>
      <c r="X412" s="2376"/>
      <c r="Y412" s="2376"/>
      <c r="Z412" s="2376"/>
      <c r="AA412" s="2376"/>
      <c r="AB412" s="2376"/>
      <c r="AC412" s="2376"/>
      <c r="AD412" s="2376"/>
      <c r="AE412" s="237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77"/>
      <c r="G413" s="2377"/>
      <c r="H413" s="2377"/>
      <c r="I413" s="2377"/>
      <c r="J413" s="2377"/>
      <c r="K413" s="2377"/>
      <c r="L413" s="2377"/>
      <c r="M413" s="2377"/>
      <c r="N413" s="2377"/>
      <c r="O413" s="2377"/>
      <c r="P413" s="2377"/>
      <c r="Q413" s="2377"/>
      <c r="R413" s="2377"/>
      <c r="S413" s="2377"/>
      <c r="T413" s="2377"/>
      <c r="U413" s="2377"/>
      <c r="V413" s="2377"/>
      <c r="W413" s="2377"/>
      <c r="X413" s="2377"/>
      <c r="Y413" s="2377"/>
      <c r="Z413" s="2377"/>
      <c r="AA413" s="2377"/>
      <c r="AB413" s="2377"/>
      <c r="AC413" s="2377"/>
      <c r="AD413" s="2377"/>
      <c r="AE413" s="2377"/>
      <c r="AF413" s="2466" t="s">
        <v>1462</v>
      </c>
      <c r="AG413" s="2466"/>
      <c r="AH413" s="2466"/>
      <c r="AI413" s="2466"/>
      <c r="AJ413" s="2466"/>
      <c r="AK413" s="2466"/>
      <c r="AL413" s="2475"/>
      <c r="AM413" s="571"/>
      <c r="AN413" s="598"/>
      <c r="BS413" s="571"/>
      <c r="BT413" s="571"/>
      <c r="BY413" s="571"/>
      <c r="BZ413" s="571"/>
      <c r="CA413" s="571"/>
      <c r="CB413" s="571"/>
      <c r="CC413" s="571"/>
    </row>
    <row r="414" spans="1:81" s="551" customFormat="1" ht="12.75" customHeight="1">
      <c r="A414" s="537"/>
      <c r="B414" s="14"/>
      <c r="C414" s="732"/>
      <c r="D414" s="14"/>
      <c r="E414" s="692"/>
      <c r="F414" s="2377"/>
      <c r="G414" s="2377"/>
      <c r="H414" s="2377"/>
      <c r="I414" s="2377"/>
      <c r="J414" s="2377"/>
      <c r="K414" s="2377"/>
      <c r="L414" s="2377"/>
      <c r="M414" s="2377"/>
      <c r="N414" s="2377"/>
      <c r="O414" s="2377"/>
      <c r="P414" s="2377"/>
      <c r="Q414" s="2377"/>
      <c r="R414" s="2377"/>
      <c r="S414" s="2377"/>
      <c r="T414" s="2377"/>
      <c r="U414" s="2377"/>
      <c r="V414" s="2377"/>
      <c r="W414" s="2377"/>
      <c r="X414" s="2377"/>
      <c r="Y414" s="2377"/>
      <c r="Z414" s="2377"/>
      <c r="AA414" s="2377"/>
      <c r="AB414" s="2377"/>
      <c r="AC414" s="2377"/>
      <c r="AD414" s="2377"/>
      <c r="AE414" s="237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8"/>
      <c r="G415" s="2378"/>
      <c r="H415" s="2378"/>
      <c r="I415" s="2378"/>
      <c r="J415" s="2378"/>
      <c r="K415" s="2378"/>
      <c r="L415" s="2378"/>
      <c r="M415" s="2378"/>
      <c r="N415" s="2378"/>
      <c r="O415" s="2378"/>
      <c r="P415" s="2378"/>
      <c r="Q415" s="2378"/>
      <c r="R415" s="2378"/>
      <c r="S415" s="2378"/>
      <c r="T415" s="2378"/>
      <c r="U415" s="2378"/>
      <c r="V415" s="2378"/>
      <c r="W415" s="2378"/>
      <c r="X415" s="2378"/>
      <c r="Y415" s="2378"/>
      <c r="Z415" s="2378"/>
      <c r="AA415" s="2378"/>
      <c r="AB415" s="2378"/>
      <c r="AC415" s="2378"/>
      <c r="AD415" s="2378"/>
      <c r="AE415" s="2378"/>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76" t="s">
        <v>1478</v>
      </c>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748"/>
      <c r="AG417" s="748"/>
      <c r="AH417" s="748"/>
      <c r="AI417" s="748"/>
      <c r="AJ417" s="748"/>
      <c r="AK417" s="748"/>
      <c r="AL417" s="749"/>
      <c r="AM417" s="571"/>
    </row>
    <row r="418" spans="1:55">
      <c r="A418" s="537"/>
      <c r="C418" s="732"/>
      <c r="E418" s="692"/>
      <c r="F418" s="2377"/>
      <c r="G418" s="2377"/>
      <c r="H418" s="2377"/>
      <c r="I418" s="2377"/>
      <c r="J418" s="2377"/>
      <c r="K418" s="2377"/>
      <c r="L418" s="2377"/>
      <c r="M418" s="2377"/>
      <c r="N418" s="2377"/>
      <c r="O418" s="2377"/>
      <c r="P418" s="2377"/>
      <c r="Q418" s="2377"/>
      <c r="R418" s="2377"/>
      <c r="S418" s="2377"/>
      <c r="T418" s="2377"/>
      <c r="U418" s="2377"/>
      <c r="V418" s="2377"/>
      <c r="W418" s="2377"/>
      <c r="X418" s="2377"/>
      <c r="Y418" s="2377"/>
      <c r="Z418" s="2377"/>
      <c r="AA418" s="2377"/>
      <c r="AB418" s="2377"/>
      <c r="AC418" s="2377"/>
      <c r="AD418" s="2377"/>
      <c r="AE418" s="2377"/>
      <c r="AF418" s="540"/>
      <c r="AG418" s="537"/>
      <c r="AH418" s="551"/>
      <c r="AI418" s="551"/>
      <c r="AJ418" s="551"/>
      <c r="AK418" s="551"/>
      <c r="AL418" s="733"/>
      <c r="AM418" s="571"/>
    </row>
    <row r="419" spans="1:55" s="551" customFormat="1" ht="12.75" customHeight="1">
      <c r="A419" s="537"/>
      <c r="B419" s="14"/>
      <c r="C419" s="732"/>
      <c r="D419" s="14"/>
      <c r="E419" s="692"/>
      <c r="F419" s="2377"/>
      <c r="G419" s="2377"/>
      <c r="H419" s="2377"/>
      <c r="I419" s="2377"/>
      <c r="J419" s="2377"/>
      <c r="K419" s="2377"/>
      <c r="L419" s="2377"/>
      <c r="M419" s="2377"/>
      <c r="N419" s="2377"/>
      <c r="O419" s="2377"/>
      <c r="P419" s="2377"/>
      <c r="Q419" s="2377"/>
      <c r="R419" s="2377"/>
      <c r="S419" s="2377"/>
      <c r="T419" s="2377"/>
      <c r="U419" s="2377"/>
      <c r="V419" s="2377"/>
      <c r="W419" s="2377"/>
      <c r="X419" s="2377"/>
      <c r="Y419" s="2377"/>
      <c r="Z419" s="2377"/>
      <c r="AA419" s="2377"/>
      <c r="AB419" s="2377"/>
      <c r="AC419" s="2377"/>
      <c r="AD419" s="2377"/>
      <c r="AE419" s="2377"/>
      <c r="AL419" s="733"/>
      <c r="AM419" s="571"/>
      <c r="AN419" s="598"/>
    </row>
    <row r="420" spans="1:55" s="551" customFormat="1" ht="12.75" customHeight="1">
      <c r="A420" s="537"/>
      <c r="B420" s="14"/>
      <c r="C420" s="740"/>
      <c r="F420" s="2377"/>
      <c r="G420" s="2377"/>
      <c r="H420" s="2377"/>
      <c r="I420" s="2377"/>
      <c r="J420" s="2377"/>
      <c r="K420" s="2377"/>
      <c r="L420" s="2377"/>
      <c r="M420" s="2377"/>
      <c r="N420" s="2377"/>
      <c r="O420" s="2377"/>
      <c r="P420" s="2377"/>
      <c r="Q420" s="2377"/>
      <c r="R420" s="2377"/>
      <c r="S420" s="2377"/>
      <c r="T420" s="2377"/>
      <c r="U420" s="2377"/>
      <c r="V420" s="2377"/>
      <c r="W420" s="2377"/>
      <c r="X420" s="2377"/>
      <c r="Y420" s="2377"/>
      <c r="Z420" s="2377"/>
      <c r="AA420" s="2377"/>
      <c r="AB420" s="2377"/>
      <c r="AC420" s="2377"/>
      <c r="AD420" s="2377"/>
      <c r="AE420" s="2377"/>
      <c r="AL420" s="733"/>
      <c r="AM420" s="571"/>
      <c r="AN420" s="598"/>
    </row>
    <row r="421" spans="1:55" s="551" customFormat="1" ht="12.75" customHeight="1">
      <c r="A421" s="537"/>
      <c r="B421" s="14"/>
      <c r="C421" s="2386" t="s">
        <v>591</v>
      </c>
      <c r="D421" s="2387"/>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6" t="s">
        <v>1462</v>
      </c>
      <c r="AG421" s="2466"/>
      <c r="AH421" s="2466"/>
      <c r="AI421" s="2466"/>
      <c r="AJ421" s="2466"/>
      <c r="AK421" s="2466"/>
      <c r="AL421" s="2475"/>
      <c r="AM421" s="571"/>
      <c r="AN421" s="598"/>
    </row>
    <row r="422" spans="1:55" s="551" customFormat="1" ht="12.75" customHeight="1">
      <c r="A422" s="537"/>
      <c r="B422" s="14"/>
      <c r="C422" s="740"/>
      <c r="AL422" s="733"/>
      <c r="AM422" s="571"/>
      <c r="AN422" s="598"/>
    </row>
    <row r="423" spans="1:55" s="551" customFormat="1" ht="12.75" customHeight="1">
      <c r="A423" s="537"/>
      <c r="B423" s="14"/>
      <c r="C423" s="2386" t="s">
        <v>591</v>
      </c>
      <c r="D423" s="2387"/>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6" t="s">
        <v>1474</v>
      </c>
      <c r="AG423" s="2466"/>
      <c r="AH423" s="2466"/>
      <c r="AI423" s="2466"/>
      <c r="AJ423" s="2466"/>
      <c r="AK423" s="2466"/>
      <c r="AL423" s="2475"/>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76" t="s">
        <v>1482</v>
      </c>
      <c r="G427" s="2376"/>
      <c r="H427" s="2376"/>
      <c r="I427" s="2376"/>
      <c r="J427" s="2376"/>
      <c r="K427" s="2376"/>
      <c r="L427" s="2376"/>
      <c r="M427" s="2376"/>
      <c r="N427" s="2376"/>
      <c r="O427" s="2376"/>
      <c r="P427" s="2376"/>
      <c r="Q427" s="2376"/>
      <c r="R427" s="2376"/>
      <c r="S427" s="2376"/>
      <c r="T427" s="2376"/>
      <c r="U427" s="2376"/>
      <c r="V427" s="2376"/>
      <c r="W427" s="2376"/>
      <c r="X427" s="2376"/>
      <c r="Y427" s="2376"/>
      <c r="Z427" s="2376"/>
      <c r="AA427" s="2376"/>
      <c r="AB427" s="2376"/>
      <c r="AC427" s="2376"/>
      <c r="AD427" s="2376"/>
      <c r="AE427" s="2376"/>
      <c r="AF427" s="715"/>
      <c r="AG427" s="715"/>
      <c r="AH427" s="715"/>
      <c r="AI427" s="715"/>
      <c r="AJ427" s="715"/>
      <c r="AK427" s="715"/>
      <c r="AL427" s="746"/>
      <c r="AM427" s="571"/>
      <c r="AN427" s="598"/>
    </row>
    <row r="428" spans="1:55" s="551" customFormat="1" ht="12.75" customHeight="1">
      <c r="A428" s="537"/>
      <c r="B428" s="14"/>
      <c r="C428" s="732"/>
      <c r="D428" s="14"/>
      <c r="E428" s="692"/>
      <c r="F428" s="2377"/>
      <c r="G428" s="2377"/>
      <c r="H428" s="2377"/>
      <c r="I428" s="2377"/>
      <c r="J428" s="2377"/>
      <c r="K428" s="2377"/>
      <c r="L428" s="2377"/>
      <c r="M428" s="2377"/>
      <c r="N428" s="2377"/>
      <c r="O428" s="2377"/>
      <c r="P428" s="2377"/>
      <c r="Q428" s="2377"/>
      <c r="R428" s="2377"/>
      <c r="S428" s="2377"/>
      <c r="T428" s="2377"/>
      <c r="U428" s="2377"/>
      <c r="V428" s="2377"/>
      <c r="W428" s="2377"/>
      <c r="X428" s="2377"/>
      <c r="Y428" s="2377"/>
      <c r="Z428" s="2377"/>
      <c r="AA428" s="2377"/>
      <c r="AB428" s="2377"/>
      <c r="AC428" s="2377"/>
      <c r="AD428" s="2377"/>
      <c r="AE428" s="2377"/>
      <c r="AF428" s="540"/>
      <c r="AG428" s="537"/>
      <c r="AL428" s="733"/>
      <c r="AM428" s="571"/>
      <c r="AN428" s="598"/>
    </row>
    <row r="429" spans="1:55" s="551" customFormat="1" ht="12.75" customHeight="1">
      <c r="A429" s="537"/>
      <c r="B429" s="14"/>
      <c r="C429" s="732"/>
      <c r="D429" s="14"/>
      <c r="E429" s="692"/>
      <c r="F429" s="2377"/>
      <c r="G429" s="2377"/>
      <c r="H429" s="2377"/>
      <c r="I429" s="2377"/>
      <c r="J429" s="2377"/>
      <c r="K429" s="2377"/>
      <c r="L429" s="2377"/>
      <c r="M429" s="2377"/>
      <c r="N429" s="2377"/>
      <c r="O429" s="2377"/>
      <c r="P429" s="2377"/>
      <c r="Q429" s="2377"/>
      <c r="R429" s="2377"/>
      <c r="S429" s="2377"/>
      <c r="T429" s="2377"/>
      <c r="U429" s="2377"/>
      <c r="V429" s="2377"/>
      <c r="W429" s="2377"/>
      <c r="X429" s="2377"/>
      <c r="Y429" s="2377"/>
      <c r="Z429" s="2377"/>
      <c r="AA429" s="2377"/>
      <c r="AB429" s="2377"/>
      <c r="AC429" s="2377"/>
      <c r="AD429" s="2377"/>
      <c r="AE429" s="2377"/>
      <c r="AL429" s="733"/>
      <c r="AM429" s="571"/>
      <c r="AN429" s="598"/>
    </row>
    <row r="430" spans="1:55" s="551" customFormat="1" ht="12.75" customHeight="1">
      <c r="A430" s="537"/>
      <c r="B430" s="14"/>
      <c r="C430" s="2386" t="s">
        <v>591</v>
      </c>
      <c r="D430" s="2387"/>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6" t="s">
        <v>1462</v>
      </c>
      <c r="AG430" s="2466"/>
      <c r="AH430" s="2466"/>
      <c r="AI430" s="2466"/>
      <c r="AJ430" s="2466"/>
      <c r="AK430" s="2466"/>
      <c r="AL430" s="2475"/>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5" customHeight="1">
      <c r="A433" s="537"/>
      <c r="C433" s="747"/>
      <c r="D433" s="748"/>
      <c r="E433" s="716" t="s">
        <v>1484</v>
      </c>
      <c r="F433" s="2376" t="s">
        <v>1485</v>
      </c>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F433" s="748"/>
      <c r="AG433" s="748"/>
      <c r="AH433" s="748"/>
      <c r="AI433" s="748"/>
      <c r="AJ433" s="748"/>
      <c r="AK433" s="748"/>
      <c r="AL433" s="749"/>
      <c r="AM433" s="571"/>
      <c r="AO433" s="551"/>
      <c r="AP433" s="551"/>
      <c r="BD433" s="14"/>
      <c r="BE433" s="14"/>
      <c r="BF433" s="14"/>
      <c r="BG433" s="14"/>
      <c r="BH433" s="14"/>
    </row>
    <row r="434" spans="1:60">
      <c r="A434" s="537"/>
      <c r="C434" s="732"/>
      <c r="E434" s="692"/>
      <c r="F434" s="2377"/>
      <c r="G434" s="2377"/>
      <c r="H434" s="2377"/>
      <c r="I434" s="2377"/>
      <c r="J434" s="2377"/>
      <c r="K434" s="2377"/>
      <c r="L434" s="2377"/>
      <c r="M434" s="2377"/>
      <c r="N434" s="2377"/>
      <c r="O434" s="2377"/>
      <c r="P434" s="2377"/>
      <c r="Q434" s="2377"/>
      <c r="R434" s="2377"/>
      <c r="S434" s="2377"/>
      <c r="T434" s="2377"/>
      <c r="U434" s="2377"/>
      <c r="V434" s="2377"/>
      <c r="W434" s="2377"/>
      <c r="X434" s="2377"/>
      <c r="Y434" s="2377"/>
      <c r="Z434" s="2377"/>
      <c r="AA434" s="2377"/>
      <c r="AB434" s="2377"/>
      <c r="AC434" s="2377"/>
      <c r="AD434" s="2377"/>
      <c r="AE434" s="2377"/>
      <c r="AF434" s="595"/>
      <c r="AG434" s="595"/>
      <c r="AH434" s="595"/>
      <c r="AI434" s="595"/>
      <c r="AJ434" s="595"/>
      <c r="AK434" s="595"/>
      <c r="AL434" s="751"/>
      <c r="AM434" s="571"/>
      <c r="AO434" s="551"/>
      <c r="AP434" s="551"/>
    </row>
    <row r="435" spans="1:60" s="551" customFormat="1" ht="12.75" customHeight="1">
      <c r="A435" s="537"/>
      <c r="B435" s="14"/>
      <c r="C435" s="732"/>
      <c r="D435" s="14"/>
      <c r="E435" s="692"/>
      <c r="F435" s="2377"/>
      <c r="G435" s="2377"/>
      <c r="H435" s="2377"/>
      <c r="I435" s="2377"/>
      <c r="J435" s="2377"/>
      <c r="K435" s="2377"/>
      <c r="L435" s="2377"/>
      <c r="M435" s="2377"/>
      <c r="N435" s="2377"/>
      <c r="O435" s="2377"/>
      <c r="P435" s="2377"/>
      <c r="Q435" s="2377"/>
      <c r="R435" s="2377"/>
      <c r="S435" s="2377"/>
      <c r="T435" s="2377"/>
      <c r="U435" s="2377"/>
      <c r="V435" s="2377"/>
      <c r="W435" s="2377"/>
      <c r="X435" s="2377"/>
      <c r="Y435" s="2377"/>
      <c r="Z435" s="2377"/>
      <c r="AA435" s="2377"/>
      <c r="AB435" s="2377"/>
      <c r="AC435" s="2377"/>
      <c r="AD435" s="2377"/>
      <c r="AE435" s="2377"/>
      <c r="AF435" s="595"/>
      <c r="AG435" s="595"/>
      <c r="AH435" s="595"/>
      <c r="AI435" s="595"/>
      <c r="AJ435" s="595"/>
      <c r="AK435" s="595"/>
      <c r="AL435" s="751"/>
      <c r="AM435" s="571"/>
      <c r="AN435" s="598"/>
    </row>
    <row r="436" spans="1:60" s="551" customFormat="1" ht="12.75" customHeight="1">
      <c r="A436" s="537"/>
      <c r="B436" s="14"/>
      <c r="C436" s="752"/>
      <c r="D436" s="731"/>
      <c r="E436" s="720"/>
      <c r="F436" s="2377"/>
      <c r="G436" s="2377"/>
      <c r="H436" s="2377"/>
      <c r="I436" s="2377"/>
      <c r="J436" s="2377"/>
      <c r="K436" s="2377"/>
      <c r="L436" s="2377"/>
      <c r="M436" s="2377"/>
      <c r="N436" s="2377"/>
      <c r="O436" s="2377"/>
      <c r="P436" s="2377"/>
      <c r="Q436" s="2377"/>
      <c r="R436" s="2377"/>
      <c r="S436" s="2377"/>
      <c r="T436" s="2377"/>
      <c r="U436" s="2377"/>
      <c r="V436" s="2377"/>
      <c r="W436" s="2377"/>
      <c r="X436" s="2377"/>
      <c r="Y436" s="2377"/>
      <c r="Z436" s="2377"/>
      <c r="AA436" s="2377"/>
      <c r="AB436" s="2377"/>
      <c r="AC436" s="2377"/>
      <c r="AD436" s="2377"/>
      <c r="AE436" s="237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77"/>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595"/>
      <c r="AG437" s="595"/>
      <c r="AH437" s="595"/>
      <c r="AI437" s="595"/>
      <c r="AJ437" s="595"/>
      <c r="AK437" s="595"/>
      <c r="AL437" s="751"/>
      <c r="AM437" s="571"/>
      <c r="AN437" s="598"/>
    </row>
    <row r="438" spans="1:60" s="551" customFormat="1" ht="12.75" customHeight="1">
      <c r="A438" s="537"/>
      <c r="B438" s="14"/>
      <c r="C438" s="752"/>
      <c r="D438" s="731"/>
      <c r="E438" s="720"/>
      <c r="F438" s="2377"/>
      <c r="G438" s="2377"/>
      <c r="H438" s="2377"/>
      <c r="I438" s="2377"/>
      <c r="J438" s="2377"/>
      <c r="K438" s="2377"/>
      <c r="L438" s="2377"/>
      <c r="M438" s="2377"/>
      <c r="N438" s="2377"/>
      <c r="O438" s="2377"/>
      <c r="P438" s="2377"/>
      <c r="Q438" s="2377"/>
      <c r="R438" s="2377"/>
      <c r="S438" s="2377"/>
      <c r="T438" s="2377"/>
      <c r="U438" s="2377"/>
      <c r="V438" s="2377"/>
      <c r="W438" s="2377"/>
      <c r="X438" s="2377"/>
      <c r="Y438" s="2377"/>
      <c r="Z438" s="2377"/>
      <c r="AA438" s="2377"/>
      <c r="AB438" s="2377"/>
      <c r="AC438" s="2377"/>
      <c r="AD438" s="2377"/>
      <c r="AE438" s="2377"/>
      <c r="AF438" s="595"/>
      <c r="AG438" s="595"/>
      <c r="AH438" s="595"/>
      <c r="AI438" s="595"/>
      <c r="AJ438" s="595"/>
      <c r="AK438" s="595"/>
      <c r="AL438" s="751"/>
      <c r="AM438" s="571"/>
      <c r="AN438" s="598"/>
    </row>
    <row r="439" spans="1:60" s="551" customFormat="1" ht="12.75" customHeight="1">
      <c r="A439" s="537"/>
      <c r="B439" s="14"/>
      <c r="C439" s="752"/>
      <c r="D439" s="731"/>
      <c r="E439" s="720"/>
      <c r="F439" s="2377"/>
      <c r="G439" s="2377"/>
      <c r="H439" s="2377"/>
      <c r="I439" s="2377"/>
      <c r="J439" s="2377"/>
      <c r="K439" s="2377"/>
      <c r="L439" s="2377"/>
      <c r="M439" s="2377"/>
      <c r="N439" s="2377"/>
      <c r="O439" s="2377"/>
      <c r="P439" s="2377"/>
      <c r="Q439" s="2377"/>
      <c r="R439" s="2377"/>
      <c r="S439" s="2377"/>
      <c r="T439" s="2377"/>
      <c r="U439" s="2377"/>
      <c r="V439" s="2377"/>
      <c r="W439" s="2377"/>
      <c r="X439" s="2377"/>
      <c r="Y439" s="2377"/>
      <c r="Z439" s="2377"/>
      <c r="AA439" s="2377"/>
      <c r="AB439" s="2377"/>
      <c r="AC439" s="2377"/>
      <c r="AD439" s="2377"/>
      <c r="AE439" s="2377"/>
      <c r="AF439" s="595"/>
      <c r="AG439" s="595"/>
      <c r="AH439" s="595"/>
      <c r="AI439" s="595"/>
      <c r="AJ439" s="595"/>
      <c r="AK439" s="595"/>
      <c r="AL439" s="751"/>
      <c r="AM439" s="571"/>
      <c r="AN439" s="598"/>
    </row>
    <row r="440" spans="1:60" s="551" customFormat="1" ht="12.75" customHeight="1">
      <c r="A440" s="537"/>
      <c r="B440" s="14"/>
      <c r="C440" s="752"/>
      <c r="D440" s="731"/>
      <c r="E440" s="720"/>
      <c r="F440" s="2377"/>
      <c r="G440" s="2377"/>
      <c r="H440" s="2377"/>
      <c r="I440" s="2377"/>
      <c r="J440" s="2377"/>
      <c r="K440" s="2377"/>
      <c r="L440" s="2377"/>
      <c r="M440" s="2377"/>
      <c r="N440" s="2377"/>
      <c r="O440" s="2377"/>
      <c r="P440" s="2377"/>
      <c r="Q440" s="2377"/>
      <c r="R440" s="2377"/>
      <c r="S440" s="2377"/>
      <c r="T440" s="2377"/>
      <c r="U440" s="2377"/>
      <c r="V440" s="2377"/>
      <c r="W440" s="2377"/>
      <c r="X440" s="2377"/>
      <c r="Y440" s="2377"/>
      <c r="Z440" s="2377"/>
      <c r="AA440" s="2377"/>
      <c r="AB440" s="2377"/>
      <c r="AC440" s="2377"/>
      <c r="AD440" s="2377"/>
      <c r="AE440" s="2377"/>
      <c r="AF440" s="595"/>
      <c r="AG440" s="595"/>
      <c r="AH440" s="595"/>
      <c r="AI440" s="595"/>
      <c r="AJ440" s="595"/>
      <c r="AK440" s="595"/>
      <c r="AL440" s="751"/>
      <c r="AM440" s="571"/>
      <c r="AN440" s="598"/>
    </row>
    <row r="441" spans="1:60" s="551" customFormat="1" ht="17.25" customHeight="1">
      <c r="A441" s="537"/>
      <c r="B441" s="14"/>
      <c r="C441" s="752"/>
      <c r="D441" s="731"/>
      <c r="E441" s="720"/>
      <c r="F441" s="2377"/>
      <c r="G441" s="2377"/>
      <c r="H441" s="2377"/>
      <c r="I441" s="2377"/>
      <c r="J441" s="2377"/>
      <c r="K441" s="2377"/>
      <c r="L441" s="2377"/>
      <c r="M441" s="2377"/>
      <c r="N441" s="2377"/>
      <c r="O441" s="2377"/>
      <c r="P441" s="2377"/>
      <c r="Q441" s="2377"/>
      <c r="R441" s="2377"/>
      <c r="S441" s="2377"/>
      <c r="T441" s="2377"/>
      <c r="U441" s="2377"/>
      <c r="V441" s="2377"/>
      <c r="W441" s="2377"/>
      <c r="X441" s="2377"/>
      <c r="Y441" s="2377"/>
      <c r="Z441" s="2377"/>
      <c r="AA441" s="2377"/>
      <c r="AB441" s="2377"/>
      <c r="AC441" s="2377"/>
      <c r="AD441" s="2377"/>
      <c r="AE441" s="2377"/>
      <c r="AL441" s="733"/>
      <c r="AM441" s="571"/>
      <c r="AN441" s="598"/>
    </row>
    <row r="442" spans="1:60" s="551" customFormat="1" ht="12.75" customHeight="1">
      <c r="A442" s="537"/>
      <c r="B442" s="14"/>
      <c r="C442" s="2386" t="s">
        <v>591</v>
      </c>
      <c r="D442" s="2387"/>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6" t="s">
        <v>1462</v>
      </c>
      <c r="AG442" s="2466"/>
      <c r="AH442" s="2466"/>
      <c r="AI442" s="2466"/>
      <c r="AJ442" s="2466"/>
      <c r="AK442" s="2466"/>
      <c r="AL442" s="2475"/>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76" t="s">
        <v>1488</v>
      </c>
      <c r="G445" s="2376"/>
      <c r="H445" s="2376"/>
      <c r="I445" s="2376"/>
      <c r="J445" s="2376"/>
      <c r="K445" s="2376"/>
      <c r="L445" s="2376"/>
      <c r="M445" s="2376"/>
      <c r="N445" s="2376"/>
      <c r="O445" s="2376"/>
      <c r="P445" s="2376"/>
      <c r="Q445" s="2376"/>
      <c r="R445" s="2376"/>
      <c r="S445" s="2376"/>
      <c r="T445" s="2376"/>
      <c r="U445" s="2376"/>
      <c r="V445" s="2376"/>
      <c r="W445" s="2376"/>
      <c r="X445" s="2376"/>
      <c r="Y445" s="2376"/>
      <c r="Z445" s="2376"/>
      <c r="AA445" s="2376"/>
      <c r="AB445" s="2376"/>
      <c r="AC445" s="2376"/>
      <c r="AD445" s="2376"/>
      <c r="AE445" s="2376"/>
      <c r="AF445" s="715"/>
      <c r="AG445" s="715"/>
      <c r="AH445" s="715"/>
      <c r="AI445" s="715"/>
      <c r="AJ445" s="715"/>
      <c r="AK445" s="715"/>
      <c r="AL445" s="746"/>
      <c r="AM445" s="571"/>
      <c r="AN445" s="598"/>
    </row>
    <row r="446" spans="1:60" s="551" customFormat="1" ht="12.75" customHeight="1">
      <c r="A446" s="537"/>
      <c r="B446" s="14"/>
      <c r="C446" s="752"/>
      <c r="D446" s="731"/>
      <c r="E446" s="720"/>
      <c r="F446" s="2377"/>
      <c r="G446" s="2377"/>
      <c r="H446" s="2377"/>
      <c r="I446" s="2377"/>
      <c r="J446" s="2377"/>
      <c r="K446" s="2377"/>
      <c r="L446" s="2377"/>
      <c r="M446" s="2377"/>
      <c r="N446" s="2377"/>
      <c r="O446" s="2377"/>
      <c r="P446" s="2377"/>
      <c r="Q446" s="2377"/>
      <c r="R446" s="2377"/>
      <c r="S446" s="2377"/>
      <c r="T446" s="2377"/>
      <c r="U446" s="2377"/>
      <c r="V446" s="2377"/>
      <c r="W446" s="2377"/>
      <c r="X446" s="2377"/>
      <c r="Y446" s="2377"/>
      <c r="Z446" s="2377"/>
      <c r="AA446" s="2377"/>
      <c r="AB446" s="2377"/>
      <c r="AC446" s="2377"/>
      <c r="AD446" s="2377"/>
      <c r="AE446" s="2377"/>
      <c r="AF446" s="592"/>
      <c r="AG446" s="592"/>
      <c r="AH446" s="592"/>
      <c r="AI446" s="592"/>
      <c r="AJ446" s="592"/>
      <c r="AK446" s="592"/>
      <c r="AL446" s="721"/>
      <c r="AM446" s="571"/>
      <c r="AN446" s="598"/>
    </row>
    <row r="447" spans="1:60" s="551" customFormat="1" ht="12.75" customHeight="1">
      <c r="A447" s="537"/>
      <c r="B447" s="14"/>
      <c r="C447" s="752"/>
      <c r="D447" s="731"/>
      <c r="E447" s="720"/>
      <c r="F447" s="2377"/>
      <c r="G447" s="2377"/>
      <c r="H447" s="2377"/>
      <c r="I447" s="2377"/>
      <c r="J447" s="2377"/>
      <c r="K447" s="2377"/>
      <c r="L447" s="2377"/>
      <c r="M447" s="2377"/>
      <c r="N447" s="2377"/>
      <c r="O447" s="2377"/>
      <c r="P447" s="2377"/>
      <c r="Q447" s="2377"/>
      <c r="R447" s="2377"/>
      <c r="S447" s="2377"/>
      <c r="T447" s="2377"/>
      <c r="U447" s="2377"/>
      <c r="V447" s="2377"/>
      <c r="W447" s="2377"/>
      <c r="X447" s="2377"/>
      <c r="Y447" s="2377"/>
      <c r="Z447" s="2377"/>
      <c r="AA447" s="2377"/>
      <c r="AB447" s="2377"/>
      <c r="AC447" s="2377"/>
      <c r="AD447" s="2377"/>
      <c r="AE447" s="2377"/>
      <c r="AF447" s="592"/>
      <c r="AG447" s="592"/>
      <c r="AH447" s="592"/>
      <c r="AI447" s="592"/>
      <c r="AJ447" s="592"/>
      <c r="AK447" s="592"/>
      <c r="AL447" s="721"/>
      <c r="AM447" s="571"/>
      <c r="AN447" s="598"/>
    </row>
    <row r="448" spans="1:60" s="551" customFormat="1" ht="12.75" customHeight="1">
      <c r="A448" s="537"/>
      <c r="B448" s="14"/>
      <c r="C448" s="752"/>
      <c r="D448" s="731"/>
      <c r="E448" s="720"/>
      <c r="F448" s="2377"/>
      <c r="G448" s="2377"/>
      <c r="H448" s="2377"/>
      <c r="I448" s="2377"/>
      <c r="J448" s="2377"/>
      <c r="K448" s="2377"/>
      <c r="L448" s="2377"/>
      <c r="M448" s="2377"/>
      <c r="N448" s="2377"/>
      <c r="O448" s="2377"/>
      <c r="P448" s="2377"/>
      <c r="Q448" s="2377"/>
      <c r="R448" s="2377"/>
      <c r="S448" s="2377"/>
      <c r="T448" s="2377"/>
      <c r="U448" s="2377"/>
      <c r="V448" s="2377"/>
      <c r="W448" s="2377"/>
      <c r="X448" s="2377"/>
      <c r="Y448" s="2377"/>
      <c r="Z448" s="2377"/>
      <c r="AA448" s="2377"/>
      <c r="AB448" s="2377"/>
      <c r="AC448" s="2377"/>
      <c r="AD448" s="2377"/>
      <c r="AE448" s="2377"/>
      <c r="AL448" s="733"/>
      <c r="AM448" s="571"/>
      <c r="AN448" s="598"/>
    </row>
    <row r="449" spans="1:40" s="551" customFormat="1" ht="12.75" customHeight="1">
      <c r="A449" s="537"/>
      <c r="B449" s="14"/>
      <c r="C449" s="2386" t="s">
        <v>591</v>
      </c>
      <c r="D449" s="2387"/>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6" t="s">
        <v>1462</v>
      </c>
      <c r="AG449" s="2466"/>
      <c r="AH449" s="2466"/>
      <c r="AI449" s="2466"/>
      <c r="AJ449" s="2466"/>
      <c r="AK449" s="2466"/>
      <c r="AL449" s="2475"/>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02" t="s">
        <v>591</v>
      </c>
      <c r="D453" s="2503"/>
      <c r="E453" s="716" t="s">
        <v>1497</v>
      </c>
      <c r="F453" s="2376" t="s">
        <v>1498</v>
      </c>
      <c r="G453" s="2376"/>
      <c r="H453" s="2376"/>
      <c r="I453" s="2376"/>
      <c r="J453" s="2376"/>
      <c r="K453" s="2376"/>
      <c r="L453" s="2376"/>
      <c r="M453" s="2376"/>
      <c r="N453" s="2376"/>
      <c r="O453" s="2376"/>
      <c r="P453" s="2376"/>
      <c r="Q453" s="2376"/>
      <c r="R453" s="2376"/>
      <c r="S453" s="2376"/>
      <c r="T453" s="2376"/>
      <c r="U453" s="2376"/>
      <c r="V453" s="2376"/>
      <c r="W453" s="2376"/>
      <c r="X453" s="2376"/>
      <c r="Y453" s="2376"/>
      <c r="Z453" s="2376"/>
      <c r="AA453" s="2376"/>
      <c r="AB453" s="2376"/>
      <c r="AC453" s="2376"/>
      <c r="AD453" s="2376"/>
      <c r="AE453" s="2376"/>
      <c r="AF453" s="2404" t="s">
        <v>1462</v>
      </c>
      <c r="AG453" s="2404"/>
      <c r="AH453" s="2404"/>
      <c r="AI453" s="2404"/>
      <c r="AJ453" s="2404"/>
      <c r="AK453" s="2404"/>
      <c r="AL453" s="2405"/>
      <c r="AM453" s="571"/>
      <c r="AN453" s="754"/>
    </row>
    <row r="454" spans="1:40" s="551" customFormat="1" ht="12.75" customHeight="1">
      <c r="A454" s="537"/>
      <c r="B454" s="14"/>
      <c r="C454" s="752"/>
      <c r="D454" s="731"/>
      <c r="E454" s="720"/>
      <c r="F454" s="2377"/>
      <c r="G454" s="2377"/>
      <c r="H454" s="2377"/>
      <c r="I454" s="2377"/>
      <c r="J454" s="2377"/>
      <c r="K454" s="2377"/>
      <c r="L454" s="2377"/>
      <c r="M454" s="2377"/>
      <c r="N454" s="2377"/>
      <c r="O454" s="2377"/>
      <c r="P454" s="2377"/>
      <c r="Q454" s="2377"/>
      <c r="R454" s="2377"/>
      <c r="S454" s="2377"/>
      <c r="T454" s="2377"/>
      <c r="U454" s="2377"/>
      <c r="V454" s="2377"/>
      <c r="W454" s="2377"/>
      <c r="X454" s="2377"/>
      <c r="Y454" s="2377"/>
      <c r="Z454" s="2377"/>
      <c r="AA454" s="2377"/>
      <c r="AB454" s="2377"/>
      <c r="AC454" s="2377"/>
      <c r="AD454" s="2377"/>
      <c r="AE454" s="2377"/>
      <c r="AF454" s="592"/>
      <c r="AG454" s="592"/>
      <c r="AH454" s="592"/>
      <c r="AI454" s="592"/>
      <c r="AJ454" s="592"/>
      <c r="AK454" s="592"/>
      <c r="AL454" s="721"/>
      <c r="AM454" s="571"/>
      <c r="AN454" s="755"/>
    </row>
    <row r="455" spans="1:40" s="551" customFormat="1" ht="18" customHeight="1">
      <c r="A455" s="537"/>
      <c r="B455" s="14"/>
      <c r="C455" s="757"/>
      <c r="D455" s="724"/>
      <c r="E455" s="725"/>
      <c r="F455" s="2378"/>
      <c r="G455" s="2378"/>
      <c r="H455" s="2378"/>
      <c r="I455" s="2378"/>
      <c r="J455" s="2378"/>
      <c r="K455" s="2378"/>
      <c r="L455" s="2378"/>
      <c r="M455" s="2378"/>
      <c r="N455" s="2378"/>
      <c r="O455" s="2378"/>
      <c r="P455" s="2378"/>
      <c r="Q455" s="2378"/>
      <c r="R455" s="2378"/>
      <c r="S455" s="2378"/>
      <c r="T455" s="2378"/>
      <c r="U455" s="2378"/>
      <c r="V455" s="2378"/>
      <c r="W455" s="2378"/>
      <c r="X455" s="2378"/>
      <c r="Y455" s="2378"/>
      <c r="Z455" s="2378"/>
      <c r="AA455" s="2378"/>
      <c r="AB455" s="2378"/>
      <c r="AC455" s="2378"/>
      <c r="AD455" s="2378"/>
      <c r="AE455" s="237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86" t="s">
        <v>591</v>
      </c>
      <c r="D457" s="2387"/>
      <c r="E457" s="716" t="s">
        <v>1503</v>
      </c>
      <c r="F457" s="2376" t="s">
        <v>1504</v>
      </c>
      <c r="G457" s="2376"/>
      <c r="H457" s="2376"/>
      <c r="I457" s="2376"/>
      <c r="J457" s="2376"/>
      <c r="K457" s="2376"/>
      <c r="L457" s="2376"/>
      <c r="M457" s="2376"/>
      <c r="N457" s="2376"/>
      <c r="O457" s="2376"/>
      <c r="P457" s="2376"/>
      <c r="Q457" s="2376"/>
      <c r="R457" s="2376"/>
      <c r="S457" s="2376"/>
      <c r="T457" s="2376"/>
      <c r="U457" s="2376"/>
      <c r="V457" s="2376"/>
      <c r="W457" s="2376"/>
      <c r="X457" s="2376"/>
      <c r="Y457" s="2376"/>
      <c r="Z457" s="2376"/>
      <c r="AA457" s="2376"/>
      <c r="AB457" s="2376"/>
      <c r="AC457" s="2376"/>
      <c r="AD457" s="2376"/>
      <c r="AE457" s="2376"/>
      <c r="AF457" s="2404" t="s">
        <v>1462</v>
      </c>
      <c r="AG457" s="2404"/>
      <c r="AH457" s="2404"/>
      <c r="AI457" s="2404"/>
      <c r="AJ457" s="2404"/>
      <c r="AK457" s="2404"/>
      <c r="AL457" s="2405"/>
      <c r="AM457" s="571"/>
      <c r="AN457" s="536"/>
    </row>
    <row r="458" spans="1:40" s="551" customFormat="1" ht="12.75" customHeight="1">
      <c r="A458" s="537"/>
      <c r="B458" s="14"/>
      <c r="C458" s="732"/>
      <c r="D458" s="14"/>
      <c r="E458" s="692"/>
      <c r="F458" s="2377"/>
      <c r="G458" s="2377"/>
      <c r="H458" s="2377"/>
      <c r="I458" s="2377"/>
      <c r="J458" s="2377"/>
      <c r="K458" s="2377"/>
      <c r="L458" s="2377"/>
      <c r="M458" s="2377"/>
      <c r="N458" s="2377"/>
      <c r="O458" s="2377"/>
      <c r="P458" s="2377"/>
      <c r="Q458" s="2377"/>
      <c r="R458" s="2377"/>
      <c r="S458" s="2377"/>
      <c r="T458" s="2377"/>
      <c r="U458" s="2377"/>
      <c r="V458" s="2377"/>
      <c r="W458" s="2377"/>
      <c r="X458" s="2377"/>
      <c r="Y458" s="2377"/>
      <c r="Z458" s="2377"/>
      <c r="AA458" s="2377"/>
      <c r="AB458" s="2377"/>
      <c r="AC458" s="2377"/>
      <c r="AD458" s="2377"/>
      <c r="AE458" s="2377"/>
      <c r="AF458" s="540"/>
      <c r="AG458" s="537"/>
      <c r="AL458" s="733"/>
      <c r="AM458" s="571"/>
      <c r="AN458" s="536"/>
    </row>
    <row r="459" spans="1:40" s="551" customFormat="1" ht="12.75" customHeight="1">
      <c r="A459" s="537"/>
      <c r="B459" s="14"/>
      <c r="C459" s="732"/>
      <c r="D459" s="14"/>
      <c r="E459" s="692"/>
      <c r="F459" s="2377"/>
      <c r="G459" s="2377"/>
      <c r="H459" s="2377"/>
      <c r="I459" s="2377"/>
      <c r="J459" s="2377"/>
      <c r="K459" s="2377"/>
      <c r="L459" s="2377"/>
      <c r="M459" s="2377"/>
      <c r="N459" s="2377"/>
      <c r="O459" s="2377"/>
      <c r="P459" s="2377"/>
      <c r="Q459" s="2377"/>
      <c r="R459" s="2377"/>
      <c r="S459" s="2377"/>
      <c r="T459" s="2377"/>
      <c r="U459" s="2377"/>
      <c r="V459" s="2377"/>
      <c r="W459" s="2377"/>
      <c r="X459" s="2377"/>
      <c r="Y459" s="2377"/>
      <c r="Z459" s="2377"/>
      <c r="AA459" s="2377"/>
      <c r="AB459" s="2377"/>
      <c r="AC459" s="2377"/>
      <c r="AD459" s="2377"/>
      <c r="AE459" s="2377"/>
      <c r="AF459" s="540"/>
      <c r="AG459" s="537"/>
      <c r="AL459" s="733"/>
      <c r="AM459" s="571"/>
      <c r="AN459" s="536"/>
    </row>
    <row r="460" spans="1:40" s="551" customFormat="1" ht="12.75" customHeight="1">
      <c r="A460" s="537"/>
      <c r="B460" s="14"/>
      <c r="C460" s="757"/>
      <c r="D460" s="724"/>
      <c r="E460" s="725"/>
      <c r="F460" s="2378"/>
      <c r="G460" s="2378"/>
      <c r="H460" s="2378"/>
      <c r="I460" s="2378"/>
      <c r="J460" s="2378"/>
      <c r="K460" s="2378"/>
      <c r="L460" s="2378"/>
      <c r="M460" s="2378"/>
      <c r="N460" s="2378"/>
      <c r="O460" s="2378"/>
      <c r="P460" s="2378"/>
      <c r="Q460" s="2378"/>
      <c r="R460" s="2378"/>
      <c r="S460" s="2378"/>
      <c r="T460" s="2378"/>
      <c r="U460" s="2378"/>
      <c r="V460" s="2378"/>
      <c r="W460" s="2378"/>
      <c r="X460" s="2378"/>
      <c r="Y460" s="2378"/>
      <c r="Z460" s="2378"/>
      <c r="AA460" s="2378"/>
      <c r="AB460" s="2378"/>
      <c r="AC460" s="2378"/>
      <c r="AD460" s="2378"/>
      <c r="AE460" s="237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76" t="s">
        <v>1507</v>
      </c>
      <c r="G462" s="2376"/>
      <c r="H462" s="2376"/>
      <c r="I462" s="2376"/>
      <c r="J462" s="2376"/>
      <c r="K462" s="2376"/>
      <c r="L462" s="2376"/>
      <c r="M462" s="2376"/>
      <c r="N462" s="2376"/>
      <c r="O462" s="2376"/>
      <c r="P462" s="2376"/>
      <c r="Q462" s="2376"/>
      <c r="R462" s="2376"/>
      <c r="S462" s="2376"/>
      <c r="T462" s="2376"/>
      <c r="U462" s="2376"/>
      <c r="V462" s="2376"/>
      <c r="W462" s="2376"/>
      <c r="X462" s="2376"/>
      <c r="Y462" s="2376"/>
      <c r="Z462" s="2376"/>
      <c r="AA462" s="2376"/>
      <c r="AB462" s="2376"/>
      <c r="AC462" s="2376"/>
      <c r="AD462" s="2376"/>
      <c r="AE462" s="2376"/>
      <c r="AF462" s="2376"/>
      <c r="AG462" s="745"/>
      <c r="AH462" s="715"/>
      <c r="AI462" s="715"/>
      <c r="AJ462" s="715"/>
      <c r="AK462" s="715"/>
      <c r="AL462" s="746"/>
      <c r="AM462" s="571"/>
      <c r="AN462" s="598"/>
    </row>
    <row r="463" spans="1:40" s="551" customFormat="1" ht="12.75" customHeight="1">
      <c r="A463" s="537"/>
      <c r="B463" s="14"/>
      <c r="C463" s="732"/>
      <c r="D463" s="14"/>
      <c r="E463" s="692"/>
      <c r="F463" s="2377"/>
      <c r="G463" s="2377"/>
      <c r="H463" s="2377"/>
      <c r="I463" s="2377"/>
      <c r="J463" s="2377"/>
      <c r="K463" s="2377"/>
      <c r="L463" s="2377"/>
      <c r="M463" s="2377"/>
      <c r="N463" s="2377"/>
      <c r="O463" s="2377"/>
      <c r="P463" s="2377"/>
      <c r="Q463" s="2377"/>
      <c r="R463" s="2377"/>
      <c r="S463" s="2377"/>
      <c r="T463" s="2377"/>
      <c r="U463" s="2377"/>
      <c r="V463" s="2377"/>
      <c r="W463" s="2377"/>
      <c r="X463" s="2377"/>
      <c r="Y463" s="2377"/>
      <c r="Z463" s="2377"/>
      <c r="AA463" s="2377"/>
      <c r="AB463" s="2377"/>
      <c r="AC463" s="2377"/>
      <c r="AD463" s="2377"/>
      <c r="AE463" s="2377"/>
      <c r="AF463" s="2377"/>
      <c r="AL463" s="733"/>
      <c r="AM463" s="571"/>
      <c r="AN463" s="598"/>
    </row>
    <row r="464" spans="1:40" s="551" customFormat="1" ht="12.75" customHeight="1">
      <c r="A464" s="537"/>
      <c r="B464" s="14"/>
      <c r="C464" s="740"/>
      <c r="F464" s="2377"/>
      <c r="G464" s="2377"/>
      <c r="H464" s="2377"/>
      <c r="I464" s="2377"/>
      <c r="J464" s="2377"/>
      <c r="K464" s="2377"/>
      <c r="L464" s="2377"/>
      <c r="M464" s="2377"/>
      <c r="N464" s="2377"/>
      <c r="O464" s="2377"/>
      <c r="P464" s="2377"/>
      <c r="Q464" s="2377"/>
      <c r="R464" s="2377"/>
      <c r="S464" s="2377"/>
      <c r="T464" s="2377"/>
      <c r="U464" s="2377"/>
      <c r="V464" s="2377"/>
      <c r="W464" s="2377"/>
      <c r="X464" s="2377"/>
      <c r="Y464" s="2377"/>
      <c r="Z464" s="2377"/>
      <c r="AA464" s="2377"/>
      <c r="AB464" s="2377"/>
      <c r="AC464" s="2377"/>
      <c r="AD464" s="2377"/>
      <c r="AE464" s="2377"/>
      <c r="AF464" s="2377"/>
      <c r="AL464" s="733"/>
      <c r="AM464" s="571"/>
      <c r="AN464" s="598"/>
    </row>
    <row r="465" spans="1:58" s="551" customFormat="1" ht="12.75" customHeight="1">
      <c r="A465" s="537"/>
      <c r="B465" s="14"/>
      <c r="C465" s="740"/>
      <c r="F465" s="2377"/>
      <c r="G465" s="2377"/>
      <c r="H465" s="2377"/>
      <c r="I465" s="2377"/>
      <c r="J465" s="2377"/>
      <c r="K465" s="2377"/>
      <c r="L465" s="2377"/>
      <c r="M465" s="2377"/>
      <c r="N465" s="2377"/>
      <c r="O465" s="2377"/>
      <c r="P465" s="2377"/>
      <c r="Q465" s="2377"/>
      <c r="R465" s="2377"/>
      <c r="S465" s="2377"/>
      <c r="T465" s="2377"/>
      <c r="U465" s="2377"/>
      <c r="V465" s="2377"/>
      <c r="W465" s="2377"/>
      <c r="X465" s="2377"/>
      <c r="Y465" s="2377"/>
      <c r="Z465" s="2377"/>
      <c r="AA465" s="2377"/>
      <c r="AB465" s="2377"/>
      <c r="AC465" s="2377"/>
      <c r="AD465" s="2377"/>
      <c r="AE465" s="2377"/>
      <c r="AF465" s="2377"/>
      <c r="AL465" s="733"/>
      <c r="AM465" s="571"/>
      <c r="AN465" s="598"/>
    </row>
    <row r="466" spans="1:58" s="551" customFormat="1" ht="12.75" customHeight="1">
      <c r="A466" s="537"/>
      <c r="B466" s="14"/>
      <c r="C466" s="2386" t="s">
        <v>591</v>
      </c>
      <c r="D466" s="2387"/>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8" t="s">
        <v>1462</v>
      </c>
      <c r="AG466" s="2388"/>
      <c r="AH466" s="2388"/>
      <c r="AI466" s="2388"/>
      <c r="AJ466" s="2388"/>
      <c r="AK466" s="2388"/>
      <c r="AL466" s="238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73">
        <f>IF(Application!D214="N/A",AS358,AS360)</f>
        <v>10</v>
      </c>
      <c r="AL469" s="2374"/>
      <c r="AM469" s="237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388" t="s">
        <v>1511</v>
      </c>
      <c r="AF472" s="2388"/>
      <c r="AG472" s="2388"/>
      <c r="AH472" s="2388"/>
      <c r="AI472" s="2388"/>
      <c r="AJ472" s="2388"/>
      <c r="AK472" s="2388"/>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95" t="s">
        <v>591</v>
      </c>
      <c r="D478" s="2396"/>
      <c r="E478" s="762" t="s">
        <v>507</v>
      </c>
      <c r="F478" s="2473" t="s">
        <v>1517</v>
      </c>
      <c r="G478" s="2473"/>
      <c r="H478" s="2473"/>
      <c r="I478" s="2473"/>
      <c r="J478" s="2473"/>
      <c r="K478" s="2473"/>
      <c r="L478" s="2473"/>
      <c r="M478" s="2473"/>
      <c r="N478" s="2473"/>
      <c r="O478" s="2473"/>
      <c r="P478" s="2473"/>
      <c r="Q478" s="2473"/>
      <c r="R478" s="2473"/>
      <c r="S478" s="2473"/>
      <c r="T478" s="2473"/>
      <c r="U478" s="2473"/>
      <c r="V478" s="2473"/>
      <c r="W478" s="2473"/>
      <c r="X478" s="2473"/>
      <c r="Y478" s="2473"/>
      <c r="Z478" s="2473"/>
      <c r="AA478" s="2473"/>
      <c r="AB478" s="2473"/>
      <c r="AC478" s="2473"/>
      <c r="AD478" s="2473"/>
      <c r="AE478" s="247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74"/>
      <c r="G479" s="2474"/>
      <c r="H479" s="2474"/>
      <c r="I479" s="2474"/>
      <c r="J479" s="2474"/>
      <c r="K479" s="2474"/>
      <c r="L479" s="2474"/>
      <c r="M479" s="2474"/>
      <c r="N479" s="2474"/>
      <c r="O479" s="2474"/>
      <c r="P479" s="2474"/>
      <c r="Q479" s="2474"/>
      <c r="R479" s="2474"/>
      <c r="S479" s="2474"/>
      <c r="T479" s="2474"/>
      <c r="U479" s="2474"/>
      <c r="V479" s="2474"/>
      <c r="W479" s="2474"/>
      <c r="X479" s="2474"/>
      <c r="Y479" s="2474"/>
      <c r="Z479" s="2474"/>
      <c r="AA479" s="2474"/>
      <c r="AB479" s="2474"/>
      <c r="AC479" s="2474"/>
      <c r="AD479" s="2474"/>
      <c r="AE479" s="247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01" t="s">
        <v>591</v>
      </c>
      <c r="G480" s="2401"/>
      <c r="H480" s="2401"/>
      <c r="I480" s="2401"/>
      <c r="J480" s="2401"/>
      <c r="K480" s="2401"/>
      <c r="L480" s="2401"/>
      <c r="M480" s="2401"/>
      <c r="N480" s="2401"/>
      <c r="O480" s="2401"/>
      <c r="P480" s="2401"/>
      <c r="Q480" s="2401"/>
      <c r="R480" s="2401"/>
      <c r="S480" s="2401"/>
      <c r="T480" s="2401"/>
      <c r="U480" s="2401"/>
      <c r="V480" s="2401"/>
      <c r="W480" s="2401"/>
      <c r="X480" s="2401"/>
      <c r="Y480" s="2401"/>
      <c r="Z480" s="2401"/>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02" t="s">
        <v>545</v>
      </c>
      <c r="D482" s="2403"/>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81" t="s">
        <v>591</v>
      </c>
      <c r="W485" s="2381"/>
      <c r="X485" s="2381"/>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81" t="s">
        <v>591</v>
      </c>
      <c r="W487" s="2381"/>
      <c r="X487" s="2381"/>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81" t="s">
        <v>591</v>
      </c>
      <c r="W492" s="2381"/>
      <c r="X492" s="2381"/>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00"/>
      <c r="E495" s="2400"/>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81" t="s">
        <v>591</v>
      </c>
      <c r="W496" s="2381"/>
      <c r="X496" s="2381"/>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81" t="s">
        <v>591</v>
      </c>
      <c r="W498" s="2381"/>
      <c r="X498" s="2381"/>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95" t="s">
        <v>591</v>
      </c>
      <c r="D501" s="2396"/>
      <c r="E501" s="762" t="s">
        <v>507</v>
      </c>
      <c r="F501" s="2473" t="s">
        <v>1517</v>
      </c>
      <c r="G501" s="2473"/>
      <c r="H501" s="2473"/>
      <c r="I501" s="2473"/>
      <c r="J501" s="2473"/>
      <c r="K501" s="2473"/>
      <c r="L501" s="2473"/>
      <c r="M501" s="2473"/>
      <c r="N501" s="2473"/>
      <c r="O501" s="2473"/>
      <c r="P501" s="2473"/>
      <c r="Q501" s="2473"/>
      <c r="R501" s="2473"/>
      <c r="S501" s="2473"/>
      <c r="T501" s="2473"/>
      <c r="U501" s="2473"/>
      <c r="V501" s="2473"/>
      <c r="W501" s="2473"/>
      <c r="X501" s="2473"/>
      <c r="Y501" s="2473"/>
      <c r="Z501" s="2473"/>
      <c r="AA501" s="2473"/>
      <c r="AB501" s="2473"/>
      <c r="AC501" s="2473"/>
      <c r="AD501" s="2473"/>
      <c r="AE501" s="247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74"/>
      <c r="G502" s="2474"/>
      <c r="H502" s="2474"/>
      <c r="I502" s="2474"/>
      <c r="J502" s="2474"/>
      <c r="K502" s="2474"/>
      <c r="L502" s="2474"/>
      <c r="M502" s="2474"/>
      <c r="N502" s="2474"/>
      <c r="O502" s="2474"/>
      <c r="P502" s="2474"/>
      <c r="Q502" s="2474"/>
      <c r="R502" s="2474"/>
      <c r="S502" s="2474"/>
      <c r="T502" s="2474"/>
      <c r="U502" s="2474"/>
      <c r="V502" s="2474"/>
      <c r="W502" s="2474"/>
      <c r="X502" s="2474"/>
      <c r="Y502" s="2474"/>
      <c r="Z502" s="2474"/>
      <c r="AA502" s="2474"/>
      <c r="AB502" s="2474"/>
      <c r="AC502" s="2474"/>
      <c r="AD502" s="2474"/>
      <c r="AE502" s="247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94" t="s">
        <v>591</v>
      </c>
      <c r="G503" s="2394"/>
      <c r="H503" s="2394"/>
      <c r="I503" s="2394"/>
      <c r="J503" s="2394"/>
      <c r="K503" s="2394"/>
      <c r="L503" s="2394"/>
      <c r="M503" s="2394"/>
      <c r="N503" s="2394"/>
      <c r="O503" s="2394"/>
      <c r="P503" s="2394"/>
      <c r="Q503" s="2394"/>
      <c r="R503" s="2394"/>
      <c r="S503" s="2394"/>
      <c r="T503" s="2394"/>
      <c r="U503" s="2394"/>
      <c r="V503" s="2394"/>
      <c r="W503" s="2394"/>
      <c r="X503" s="2394"/>
      <c r="Y503" s="2394"/>
      <c r="Z503" s="2394"/>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95" t="s">
        <v>591</v>
      </c>
      <c r="D505" s="2396"/>
      <c r="E505" s="762" t="s">
        <v>757</v>
      </c>
      <c r="F505" s="2397" t="s">
        <v>1539</v>
      </c>
      <c r="G505" s="2397"/>
      <c r="H505" s="2397"/>
      <c r="I505" s="2397"/>
      <c r="J505" s="2397"/>
      <c r="K505" s="2397"/>
      <c r="L505" s="2397"/>
      <c r="M505" s="2397"/>
      <c r="N505" s="2397"/>
      <c r="O505" s="2397"/>
      <c r="P505" s="2397"/>
      <c r="Q505" s="2397"/>
      <c r="R505" s="2397"/>
      <c r="S505" s="2397"/>
      <c r="T505" s="2397"/>
      <c r="U505" s="2397"/>
      <c r="V505" s="2397"/>
      <c r="W505" s="2397"/>
      <c r="X505" s="2397"/>
      <c r="Y505" s="2397"/>
      <c r="Z505" s="2397"/>
      <c r="AA505" s="2397"/>
      <c r="AB505" s="2397"/>
      <c r="AC505" s="2397"/>
      <c r="AD505" s="2397"/>
      <c r="AE505" s="2397"/>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8"/>
      <c r="G506" s="2398"/>
      <c r="H506" s="2398"/>
      <c r="I506" s="2398"/>
      <c r="J506" s="2398"/>
      <c r="K506" s="2398"/>
      <c r="L506" s="2398"/>
      <c r="M506" s="2398"/>
      <c r="N506" s="2398"/>
      <c r="O506" s="2398"/>
      <c r="P506" s="2398"/>
      <c r="Q506" s="2398"/>
      <c r="R506" s="2398"/>
      <c r="S506" s="2398"/>
      <c r="T506" s="2398"/>
      <c r="U506" s="2398"/>
      <c r="V506" s="2398"/>
      <c r="W506" s="2398"/>
      <c r="X506" s="2398"/>
      <c r="Y506" s="2398"/>
      <c r="Z506" s="2398"/>
      <c r="AA506" s="2398"/>
      <c r="AB506" s="2398"/>
      <c r="AC506" s="2398"/>
      <c r="AD506" s="2398"/>
      <c r="AE506" s="2398"/>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399" t="s">
        <v>591</v>
      </c>
      <c r="G508" s="2399"/>
      <c r="H508" s="2399"/>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395" t="s">
        <v>591</v>
      </c>
      <c r="D510" s="2396"/>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15"/>
      <c r="D512" s="2400"/>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16" t="s">
        <v>591</v>
      </c>
      <c r="H513" s="2416"/>
      <c r="I513" s="2416"/>
      <c r="J513" s="2416"/>
      <c r="K513" s="2416"/>
      <c r="L513" s="2416"/>
      <c r="M513" s="2416"/>
      <c r="N513" s="2416"/>
      <c r="O513" s="2416"/>
      <c r="P513" s="2416"/>
      <c r="Q513" s="2416"/>
      <c r="R513" s="2416"/>
      <c r="S513" s="2416"/>
      <c r="T513" s="2416"/>
      <c r="U513" s="2416"/>
      <c r="V513" s="2416"/>
      <c r="W513" s="2416"/>
      <c r="X513" s="2416"/>
      <c r="Y513" s="2416"/>
      <c r="Z513" s="2416"/>
      <c r="AA513" s="2416"/>
      <c r="AB513" s="2416"/>
      <c r="AC513" s="2416"/>
      <c r="AD513" s="2416"/>
      <c r="AE513" s="2416"/>
      <c r="AF513" s="2416"/>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67" t="s">
        <v>591</v>
      </c>
      <c r="D515" s="2468"/>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67" t="s">
        <v>591</v>
      </c>
      <c r="D519" s="2468"/>
      <c r="F519" s="796" t="s">
        <v>1547</v>
      </c>
      <c r="G519" s="2377" t="s">
        <v>1548</v>
      </c>
      <c r="H519" s="2377"/>
      <c r="I519" s="2377"/>
      <c r="J519" s="2377"/>
      <c r="K519" s="2377"/>
      <c r="L519" s="2377"/>
      <c r="M519" s="2377"/>
      <c r="N519" s="2377"/>
      <c r="O519" s="2377"/>
      <c r="P519" s="2377"/>
      <c r="Q519" s="2377"/>
      <c r="R519" s="2377"/>
      <c r="S519" s="2377"/>
      <c r="T519" s="2377"/>
      <c r="U519" s="2377"/>
      <c r="V519" s="2377"/>
      <c r="W519" s="2377"/>
      <c r="X519" s="2377"/>
      <c r="Y519" s="2377"/>
      <c r="Z519" s="2377"/>
      <c r="AA519" s="2377"/>
      <c r="AB519" s="2377"/>
      <c r="AC519" s="2377"/>
      <c r="AD519" s="2377"/>
      <c r="AE519" s="2377"/>
      <c r="AF519" s="2377"/>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8"/>
      <c r="H520" s="2378"/>
      <c r="I520" s="2378"/>
      <c r="J520" s="2378"/>
      <c r="K520" s="2378"/>
      <c r="L520" s="2378"/>
      <c r="M520" s="2378"/>
      <c r="N520" s="2378"/>
      <c r="O520" s="2378"/>
      <c r="P520" s="2378"/>
      <c r="Q520" s="2378"/>
      <c r="R520" s="2378"/>
      <c r="S520" s="2378"/>
      <c r="T520" s="2378"/>
      <c r="U520" s="2378"/>
      <c r="V520" s="2378"/>
      <c r="W520" s="2378"/>
      <c r="X520" s="2378"/>
      <c r="Y520" s="2378"/>
      <c r="Z520" s="2378"/>
      <c r="AA520" s="2378"/>
      <c r="AB520" s="2378"/>
      <c r="AC520" s="2378"/>
      <c r="AD520" s="2378"/>
      <c r="AE520" s="2378"/>
      <c r="AF520" s="237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9" t="s">
        <v>591</v>
      </c>
      <c r="D523" s="2470"/>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71" t="s">
        <v>591</v>
      </c>
      <c r="G524" s="2471"/>
      <c r="H524" s="2471"/>
      <c r="I524" s="2471"/>
      <c r="J524" s="2471"/>
      <c r="K524" s="2471"/>
      <c r="L524" s="2471"/>
      <c r="M524" s="2471"/>
      <c r="N524" s="2471"/>
      <c r="O524" s="2471"/>
      <c r="P524" s="2471"/>
      <c r="Q524" s="2471"/>
      <c r="R524" s="2471"/>
      <c r="S524" s="2471"/>
      <c r="T524" s="2471"/>
      <c r="U524" s="2471"/>
      <c r="V524" s="2471"/>
      <c r="W524" s="2471"/>
      <c r="X524" s="2471"/>
      <c r="Y524" s="2471"/>
      <c r="Z524" s="2471"/>
      <c r="AA524" s="2471"/>
      <c r="AB524" s="2471"/>
      <c r="AC524" s="2471"/>
      <c r="AD524" s="2471"/>
      <c r="AE524" s="2471"/>
      <c r="AF524" s="247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72"/>
      <c r="G525" s="2472"/>
      <c r="H525" s="2472"/>
      <c r="I525" s="2472"/>
      <c r="J525" s="2472"/>
      <c r="K525" s="2472"/>
      <c r="L525" s="2472"/>
      <c r="M525" s="2472"/>
      <c r="N525" s="2472"/>
      <c r="O525" s="2472"/>
      <c r="P525" s="2472"/>
      <c r="Q525" s="2472"/>
      <c r="R525" s="2472"/>
      <c r="S525" s="2472"/>
      <c r="T525" s="2472"/>
      <c r="U525" s="2472"/>
      <c r="V525" s="2472"/>
      <c r="W525" s="2472"/>
      <c r="X525" s="2472"/>
      <c r="Y525" s="2472"/>
      <c r="Z525" s="2472"/>
      <c r="AA525" s="2472"/>
      <c r="AB525" s="2472"/>
      <c r="AC525" s="2472"/>
      <c r="AD525" s="2472"/>
      <c r="AE525" s="2472"/>
      <c r="AF525" s="247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73">
        <f>SUM(AG479:AG524)</f>
        <v>0</v>
      </c>
      <c r="AL535" s="2374"/>
      <c r="AM535" s="237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6" t="s">
        <v>1560</v>
      </c>
      <c r="AF538" s="2406"/>
      <c r="AG538" s="2406"/>
      <c r="AH538" s="2406"/>
      <c r="AI538" s="2406"/>
      <c r="AJ538" s="2406"/>
      <c r="AK538" s="2406"/>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87" t="s">
        <v>545</v>
      </c>
      <c r="D541" s="2387"/>
      <c r="E541" s="552"/>
      <c r="F541" s="2409" t="s">
        <v>1561</v>
      </c>
      <c r="G541" s="2410"/>
      <c r="H541" s="2410"/>
      <c r="I541" s="2410"/>
      <c r="J541" s="2410"/>
      <c r="K541" s="2410"/>
      <c r="L541" s="2410"/>
      <c r="M541" s="2410"/>
      <c r="N541" s="2410"/>
      <c r="O541" s="2410"/>
      <c r="P541" s="2410"/>
      <c r="Q541" s="2410"/>
      <c r="R541" s="2410"/>
      <c r="S541" s="2410"/>
      <c r="T541" s="2410"/>
      <c r="U541" s="2410"/>
      <c r="V541" s="2410"/>
      <c r="W541" s="2410"/>
      <c r="X541" s="2410"/>
      <c r="Y541" s="2410"/>
      <c r="Z541" s="2410"/>
      <c r="AA541" s="2410"/>
      <c r="AB541" s="2410"/>
      <c r="AC541" s="2410"/>
      <c r="AD541" s="2410"/>
      <c r="AE541" s="2410"/>
      <c r="AF541" s="2410"/>
      <c r="AG541" s="2410"/>
      <c r="AH541" s="2410"/>
      <c r="AI541" s="2410"/>
      <c r="AJ541" s="2410"/>
      <c r="AK541" s="2410"/>
      <c r="AL541" s="2411"/>
      <c r="AM541" s="596"/>
      <c r="AN541" s="598"/>
    </row>
    <row r="542" spans="1:81" s="551" customFormat="1" ht="12.75" customHeight="1">
      <c r="A542" s="540"/>
      <c r="B542" s="540"/>
      <c r="C542" s="552"/>
      <c r="D542" s="552"/>
      <c r="E542" s="552"/>
      <c r="F542" s="2412"/>
      <c r="G542" s="2413"/>
      <c r="H542" s="2413"/>
      <c r="I542" s="2413"/>
      <c r="J542" s="2413"/>
      <c r="K542" s="2413"/>
      <c r="L542" s="2413"/>
      <c r="M542" s="2413"/>
      <c r="N542" s="2413"/>
      <c r="O542" s="2413"/>
      <c r="P542" s="2413"/>
      <c r="Q542" s="2413"/>
      <c r="R542" s="2413"/>
      <c r="S542" s="2413"/>
      <c r="T542" s="2413"/>
      <c r="U542" s="2413"/>
      <c r="V542" s="2413"/>
      <c r="W542" s="2413"/>
      <c r="X542" s="2413"/>
      <c r="Y542" s="2413"/>
      <c r="Z542" s="2413"/>
      <c r="AA542" s="2413"/>
      <c r="AB542" s="2413"/>
      <c r="AC542" s="2413"/>
      <c r="AD542" s="2413"/>
      <c r="AE542" s="2413"/>
      <c r="AF542" s="2413"/>
      <c r="AG542" s="2413"/>
      <c r="AH542" s="2413"/>
      <c r="AI542" s="2413"/>
      <c r="AJ542" s="2413"/>
      <c r="AK542" s="2413"/>
      <c r="AL542" s="241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87" t="s">
        <v>591</v>
      </c>
      <c r="D544" s="2387"/>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65" t="s">
        <v>1563</v>
      </c>
      <c r="G545" s="2366"/>
      <c r="H545" s="2366"/>
      <c r="I545" s="2366"/>
      <c r="J545" s="2366"/>
      <c r="K545" s="2366"/>
      <c r="L545" s="2366"/>
      <c r="M545" s="2366"/>
      <c r="N545" s="2366"/>
      <c r="O545" s="2366"/>
      <c r="P545" s="2366"/>
      <c r="Q545" s="2366"/>
      <c r="R545" s="2366"/>
      <c r="S545" s="2366"/>
      <c r="T545" s="2366"/>
      <c r="U545" s="2366"/>
      <c r="V545" s="2366"/>
      <c r="W545" s="2366"/>
      <c r="X545" s="2366"/>
      <c r="Y545" s="2366"/>
      <c r="Z545" s="2366"/>
      <c r="AA545" s="2366"/>
      <c r="AB545" s="2366"/>
      <c r="AC545" s="2366"/>
      <c r="AD545" s="2366"/>
      <c r="AE545" s="2366"/>
      <c r="AF545" s="2366"/>
      <c r="AG545" s="2366"/>
      <c r="AH545" s="2366"/>
      <c r="AI545" s="2366"/>
      <c r="AJ545" s="2366"/>
      <c r="AK545" s="2366"/>
      <c r="AL545" s="2367"/>
      <c r="AM545" s="596"/>
      <c r="AN545" s="598"/>
      <c r="AS545" s="871"/>
      <c r="AT545" s="871"/>
      <c r="AU545" s="871"/>
      <c r="AV545" s="871"/>
      <c r="AW545" s="871"/>
    </row>
    <row r="546" spans="1:49" s="551" customFormat="1" ht="12.75" customHeight="1">
      <c r="B546" s="807"/>
      <c r="C546" s="807"/>
      <c r="D546" s="807"/>
      <c r="E546" s="807"/>
      <c r="F546" s="2365"/>
      <c r="G546" s="2366"/>
      <c r="H546" s="2366"/>
      <c r="I546" s="2366"/>
      <c r="J546" s="2366"/>
      <c r="K546" s="2366"/>
      <c r="L546" s="2366"/>
      <c r="M546" s="2366"/>
      <c r="N546" s="2366"/>
      <c r="O546" s="2366"/>
      <c r="P546" s="2366"/>
      <c r="Q546" s="2366"/>
      <c r="R546" s="2366"/>
      <c r="S546" s="2366"/>
      <c r="T546" s="2366"/>
      <c r="U546" s="2366"/>
      <c r="V546" s="2366"/>
      <c r="W546" s="2366"/>
      <c r="X546" s="2366"/>
      <c r="Y546" s="2366"/>
      <c r="Z546" s="2366"/>
      <c r="AA546" s="2366"/>
      <c r="AB546" s="2366"/>
      <c r="AC546" s="2366"/>
      <c r="AD546" s="2366"/>
      <c r="AE546" s="2366"/>
      <c r="AF546" s="2366"/>
      <c r="AG546" s="2366"/>
      <c r="AH546" s="2366"/>
      <c r="AI546" s="2366"/>
      <c r="AJ546" s="2366"/>
      <c r="AK546" s="2366"/>
      <c r="AL546" s="2367"/>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65" t="s">
        <v>1564</v>
      </c>
      <c r="G548" s="2366"/>
      <c r="H548" s="2366"/>
      <c r="I548" s="2366"/>
      <c r="J548" s="2366"/>
      <c r="K548" s="2366"/>
      <c r="L548" s="2366"/>
      <c r="M548" s="2366"/>
      <c r="N548" s="2366"/>
      <c r="O548" s="2366"/>
      <c r="P548" s="2366"/>
      <c r="Q548" s="2366"/>
      <c r="R548" s="2366"/>
      <c r="S548" s="2366"/>
      <c r="T548" s="2366"/>
      <c r="U548" s="2366"/>
      <c r="V548" s="2366"/>
      <c r="W548" s="2366"/>
      <c r="X548" s="2366"/>
      <c r="Y548" s="2366"/>
      <c r="Z548" s="2366"/>
      <c r="AA548" s="2366"/>
      <c r="AB548" s="2366"/>
      <c r="AC548" s="2366"/>
      <c r="AD548" s="2366"/>
      <c r="AE548" s="2366"/>
      <c r="AF548" s="2366"/>
      <c r="AG548" s="2366"/>
      <c r="AH548" s="2366"/>
      <c r="AI548" s="2366"/>
      <c r="AJ548" s="2366"/>
      <c r="AK548" s="2366"/>
      <c r="AL548" s="814"/>
      <c r="AM548" s="596"/>
      <c r="AN548" s="598"/>
    </row>
    <row r="549" spans="1:49" s="551" customFormat="1" ht="12.75" customHeight="1">
      <c r="B549" s="807"/>
      <c r="C549" s="807"/>
      <c r="D549" s="807"/>
      <c r="E549" s="807"/>
      <c r="F549" s="2368"/>
      <c r="G549" s="2369"/>
      <c r="H549" s="2369"/>
      <c r="I549" s="2369"/>
      <c r="J549" s="2369"/>
      <c r="K549" s="2369"/>
      <c r="L549" s="2369"/>
      <c r="M549" s="2369"/>
      <c r="N549" s="2369"/>
      <c r="O549" s="2369"/>
      <c r="P549" s="2369"/>
      <c r="Q549" s="2369"/>
      <c r="R549" s="2369"/>
      <c r="S549" s="2369"/>
      <c r="T549" s="2369"/>
      <c r="U549" s="2369"/>
      <c r="V549" s="2369"/>
      <c r="W549" s="2369"/>
      <c r="X549" s="2369"/>
      <c r="Y549" s="2369"/>
      <c r="Z549" s="2369"/>
      <c r="AA549" s="2369"/>
      <c r="AB549" s="2369"/>
      <c r="AC549" s="2369"/>
      <c r="AD549" s="2369"/>
      <c r="AE549" s="2369"/>
      <c r="AF549" s="2369"/>
      <c r="AG549" s="2369"/>
      <c r="AH549" s="2369"/>
      <c r="AI549" s="2369"/>
      <c r="AJ549" s="2369"/>
      <c r="AK549" s="236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64">
        <f>Application!AJ992</f>
        <v>46103840</v>
      </c>
      <c r="AQ550" s="2364"/>
      <c r="AR550" s="2364"/>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70">
        <f>'Sources and Uses Budget'!S107+'Sources and Uses Budget'!T107</f>
        <v>77191263</v>
      </c>
      <c r="AG551" s="2370"/>
      <c r="AH551" s="2370"/>
      <c r="AI551" s="2370"/>
      <c r="AJ551" s="2370"/>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71">
        <f>IFERROR(AP559,0)</f>
        <v>104204570</v>
      </c>
      <c r="AG552" s="2371"/>
      <c r="AH552" s="2371"/>
      <c r="AI552" s="2371"/>
      <c r="AJ552" s="2371"/>
      <c r="AK552" s="596"/>
      <c r="AL552" s="596"/>
      <c r="AM552" s="596"/>
      <c r="AN552" s="598"/>
      <c r="AP552" s="2364">
        <f>Application!AJ1045</f>
        <v>27201265.599999998</v>
      </c>
      <c r="AQ552" s="2364"/>
      <c r="AR552" s="2364"/>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72">
        <f>IFERROR(ROUNDDOWN(IF(C544="YES",((1-(AF551/AF552))*2),(1-(AF551/AF552))),2),0)</f>
        <v>0.25</v>
      </c>
      <c r="AG553" s="2372"/>
      <c r="AH553" s="2372"/>
      <c r="AI553" s="2372"/>
      <c r="AJ553" s="2372"/>
      <c r="AK553" s="596"/>
      <c r="AL553" s="596"/>
      <c r="AM553" s="596"/>
      <c r="AN553" s="598"/>
      <c r="AP553" s="2360">
        <f>Application!AJ1049</f>
        <v>36883072</v>
      </c>
      <c r="AQ553" s="2360"/>
      <c r="AR553" s="2360"/>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9">
        <f>IF(((AP552+AP553)/AP550)&gt;0.8,0.8,((AP552+AP553)/AP550))</f>
        <v>0.8</v>
      </c>
      <c r="AQ554" s="2379"/>
      <c r="AR554" s="2379"/>
      <c r="AS554" s="551" t="s">
        <v>2173</v>
      </c>
    </row>
    <row r="555" spans="1:49" s="551" customFormat="1" ht="12.75" customHeight="1">
      <c r="A555" s="625"/>
      <c r="B555" s="2446" t="s">
        <v>2033</v>
      </c>
      <c r="C555" s="2447"/>
      <c r="D555" s="2447"/>
      <c r="E555" s="2447"/>
      <c r="F555" s="2447"/>
      <c r="G555" s="2447"/>
      <c r="H555" s="2447"/>
      <c r="I555" s="2447"/>
      <c r="J555" s="2447"/>
      <c r="K555" s="2447"/>
      <c r="L555" s="2447"/>
      <c r="M555" s="2447"/>
      <c r="N555" s="2447"/>
      <c r="O555" s="2447"/>
      <c r="P555" s="2447"/>
      <c r="Q555" s="2447"/>
      <c r="R555" s="2447"/>
      <c r="S555" s="2447"/>
      <c r="T555" s="2447"/>
      <c r="U555" s="2447"/>
      <c r="V555" s="2447"/>
      <c r="W555" s="2447"/>
      <c r="X555" s="2447"/>
      <c r="Y555" s="2447"/>
      <c r="Z555" s="2447"/>
      <c r="AA555" s="2447"/>
      <c r="AB555" s="2447"/>
      <c r="AC555" s="2447"/>
      <c r="AD555" s="2447"/>
      <c r="AE555" s="2447"/>
      <c r="AF555" s="2447"/>
      <c r="AG555" s="2447"/>
      <c r="AH555" s="2447"/>
      <c r="AI555" s="2447"/>
      <c r="AJ555" s="2448"/>
      <c r="AK555" s="596"/>
      <c r="AL555" s="596"/>
      <c r="AM555" s="596"/>
      <c r="AN555" s="598"/>
    </row>
    <row r="556" spans="1:49" s="551" customFormat="1" ht="12.75" customHeight="1">
      <c r="A556" s="625"/>
      <c r="B556" s="2449"/>
      <c r="C556" s="2450"/>
      <c r="D556" s="2450"/>
      <c r="E556" s="2450"/>
      <c r="F556" s="2450"/>
      <c r="G556" s="2450"/>
      <c r="H556" s="2450"/>
      <c r="I556" s="2450"/>
      <c r="J556" s="2450"/>
      <c r="K556" s="2450"/>
      <c r="L556" s="2450"/>
      <c r="M556" s="2450"/>
      <c r="N556" s="2450"/>
      <c r="O556" s="2450"/>
      <c r="P556" s="2450"/>
      <c r="Q556" s="2450"/>
      <c r="R556" s="2450"/>
      <c r="S556" s="2450"/>
      <c r="T556" s="2450"/>
      <c r="U556" s="2450"/>
      <c r="V556" s="2450"/>
      <c r="W556" s="2450"/>
      <c r="X556" s="2450"/>
      <c r="Y556" s="2450"/>
      <c r="Z556" s="2450"/>
      <c r="AA556" s="2450"/>
      <c r="AB556" s="2450"/>
      <c r="AC556" s="2450"/>
      <c r="AD556" s="2450"/>
      <c r="AE556" s="2450"/>
      <c r="AF556" s="2450"/>
      <c r="AG556" s="2450"/>
      <c r="AH556" s="2450"/>
      <c r="AI556" s="2450"/>
      <c r="AJ556" s="2451"/>
      <c r="AK556" s="596"/>
      <c r="AL556" s="596"/>
      <c r="AM556" s="596"/>
      <c r="AN556" s="598"/>
      <c r="AP556" s="2364">
        <f>AP557-AP552-AP553</f>
        <v>67321498</v>
      </c>
      <c r="AQ556" s="2380"/>
      <c r="AR556" s="2380"/>
      <c r="AS556" s="551" t="s">
        <v>2175</v>
      </c>
    </row>
    <row r="557" spans="1:49" s="551" customFormat="1" ht="12.75" customHeight="1">
      <c r="A557" s="625"/>
      <c r="B557" s="2452"/>
      <c r="C557" s="2453"/>
      <c r="D557" s="2453"/>
      <c r="E557" s="2453"/>
      <c r="F557" s="2453"/>
      <c r="G557" s="2453"/>
      <c r="H557" s="2453"/>
      <c r="I557" s="2453"/>
      <c r="J557" s="2453"/>
      <c r="K557" s="2453"/>
      <c r="L557" s="2453"/>
      <c r="M557" s="2453"/>
      <c r="N557" s="2453"/>
      <c r="O557" s="2453"/>
      <c r="P557" s="2453"/>
      <c r="Q557" s="2453"/>
      <c r="R557" s="2453"/>
      <c r="S557" s="2453"/>
      <c r="T557" s="2453"/>
      <c r="U557" s="2453"/>
      <c r="V557" s="2453"/>
      <c r="W557" s="2453"/>
      <c r="X557" s="2453"/>
      <c r="Y557" s="2453"/>
      <c r="Z557" s="2453"/>
      <c r="AA557" s="2453"/>
      <c r="AB557" s="2453"/>
      <c r="AC557" s="2453"/>
      <c r="AD557" s="2453"/>
      <c r="AE557" s="2453"/>
      <c r="AF557" s="2453"/>
      <c r="AG557" s="2453"/>
      <c r="AH557" s="2453"/>
      <c r="AI557" s="2453"/>
      <c r="AJ557" s="2454"/>
      <c r="AK557" s="596"/>
      <c r="AL557" s="596"/>
      <c r="AM557" s="596"/>
      <c r="AN557" s="598"/>
      <c r="AP557" s="2364">
        <f>Application!AJ1053</f>
        <v>131405835.59999999</v>
      </c>
      <c r="AQ557" s="2364"/>
      <c r="AR557" s="2364"/>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55">
        <f>IFERROR(IF(AND(C541="N/A",C544="N/A"),0,IF(AF553=0,0,IF((AF553*100)&gt;12,12,(AF553*100)))),0)</f>
        <v>12</v>
      </c>
      <c r="AL559" s="2455"/>
      <c r="AM559" s="2456"/>
      <c r="AN559" s="598"/>
      <c r="AP559" s="2349">
        <f>AP556+(AP550*AP554)</f>
        <v>104204570</v>
      </c>
      <c r="AQ559" s="2350"/>
      <c r="AR559" s="235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6" t="s">
        <v>1314</v>
      </c>
      <c r="AF562" s="2406"/>
      <c r="AG562" s="2406"/>
      <c r="AH562" s="2406"/>
      <c r="AI562" s="2406"/>
      <c r="AJ562" s="2406"/>
      <c r="AK562" s="240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66" t="s">
        <v>2024</v>
      </c>
      <c r="C564" s="2366"/>
      <c r="D564" s="2366"/>
      <c r="E564" s="2366"/>
      <c r="F564" s="2366"/>
      <c r="G564" s="2366"/>
      <c r="H564" s="2366"/>
      <c r="I564" s="2366"/>
      <c r="J564" s="2366"/>
      <c r="K564" s="2366"/>
      <c r="L564" s="2366"/>
      <c r="M564" s="2366"/>
      <c r="N564" s="2366"/>
      <c r="O564" s="2366"/>
      <c r="P564" s="2366"/>
      <c r="Q564" s="2366"/>
      <c r="R564" s="2366"/>
      <c r="S564" s="2366"/>
      <c r="T564" s="2366"/>
      <c r="U564" s="2366"/>
      <c r="V564" s="2366"/>
      <c r="W564" s="2366"/>
      <c r="X564" s="2366"/>
      <c r="Y564" s="2366"/>
      <c r="Z564" s="2366"/>
      <c r="AA564" s="2366"/>
      <c r="AB564" s="2366"/>
      <c r="AC564" s="2366"/>
      <c r="AD564" s="2366"/>
      <c r="AE564" s="2366"/>
      <c r="AF564" s="2366"/>
      <c r="AG564" s="2366"/>
      <c r="AH564" s="2366"/>
      <c r="AI564" s="2366"/>
      <c r="AJ564" s="2366"/>
      <c r="AK564" s="643"/>
      <c r="AL564" s="574"/>
      <c r="AM564" s="604"/>
      <c r="AN564" s="598"/>
    </row>
    <row r="565" spans="1:42" s="551" customFormat="1" ht="12.75" customHeight="1">
      <c r="A565" s="604"/>
      <c r="B565" s="2366"/>
      <c r="C565" s="2366"/>
      <c r="D565" s="2366"/>
      <c r="E565" s="2366"/>
      <c r="F565" s="2366"/>
      <c r="G565" s="2366"/>
      <c r="H565" s="2366"/>
      <c r="I565" s="2366"/>
      <c r="J565" s="2366"/>
      <c r="K565" s="2366"/>
      <c r="L565" s="2366"/>
      <c r="M565" s="2366"/>
      <c r="N565" s="2366"/>
      <c r="O565" s="2366"/>
      <c r="P565" s="2366"/>
      <c r="Q565" s="2366"/>
      <c r="R565" s="2366"/>
      <c r="S565" s="2366"/>
      <c r="T565" s="2366"/>
      <c r="U565" s="2366"/>
      <c r="V565" s="2366"/>
      <c r="W565" s="2366"/>
      <c r="X565" s="2366"/>
      <c r="Y565" s="2366"/>
      <c r="Z565" s="2366"/>
      <c r="AA565" s="2366"/>
      <c r="AB565" s="2366"/>
      <c r="AC565" s="2366"/>
      <c r="AD565" s="2366"/>
      <c r="AE565" s="2366"/>
      <c r="AF565" s="2366"/>
      <c r="AG565" s="2366"/>
      <c r="AH565" s="2366"/>
      <c r="AI565" s="2366"/>
      <c r="AJ565" s="2366"/>
      <c r="AK565" s="643"/>
      <c r="AL565" s="574"/>
      <c r="AM565" s="604"/>
      <c r="AN565" s="598"/>
    </row>
    <row r="566" spans="1:42" s="551" customFormat="1" ht="12.75" customHeight="1">
      <c r="A566" s="604"/>
      <c r="B566" s="2366"/>
      <c r="C566" s="2366"/>
      <c r="D566" s="2366"/>
      <c r="E566" s="2366"/>
      <c r="F566" s="2366"/>
      <c r="G566" s="2366"/>
      <c r="H566" s="2366"/>
      <c r="I566" s="2366"/>
      <c r="J566" s="2366"/>
      <c r="K566" s="2366"/>
      <c r="L566" s="2366"/>
      <c r="M566" s="2366"/>
      <c r="N566" s="2366"/>
      <c r="O566" s="2366"/>
      <c r="P566" s="2366"/>
      <c r="Q566" s="2366"/>
      <c r="R566" s="2366"/>
      <c r="S566" s="2366"/>
      <c r="T566" s="2366"/>
      <c r="U566" s="2366"/>
      <c r="V566" s="2366"/>
      <c r="W566" s="2366"/>
      <c r="X566" s="2366"/>
      <c r="Y566" s="2366"/>
      <c r="Z566" s="2366"/>
      <c r="AA566" s="2366"/>
      <c r="AB566" s="2366"/>
      <c r="AC566" s="2366"/>
      <c r="AD566" s="2366"/>
      <c r="AE566" s="2366"/>
      <c r="AF566" s="2366"/>
      <c r="AG566" s="2366"/>
      <c r="AH566" s="2366"/>
      <c r="AI566" s="2366"/>
      <c r="AJ566" s="2366"/>
      <c r="AK566" s="643"/>
      <c r="AL566" s="574"/>
      <c r="AM566" s="604"/>
      <c r="AN566" s="598"/>
    </row>
    <row r="567" spans="1:42" s="551" customFormat="1" ht="12.75" customHeight="1">
      <c r="A567" s="604"/>
      <c r="B567" s="2366"/>
      <c r="C567" s="2366"/>
      <c r="D567" s="2366"/>
      <c r="E567" s="2366"/>
      <c r="F567" s="2366"/>
      <c r="G567" s="2366"/>
      <c r="H567" s="2366"/>
      <c r="I567" s="2366"/>
      <c r="J567" s="2366"/>
      <c r="K567" s="2366"/>
      <c r="L567" s="2366"/>
      <c r="M567" s="2366"/>
      <c r="N567" s="2366"/>
      <c r="O567" s="2366"/>
      <c r="P567" s="2366"/>
      <c r="Q567" s="2366"/>
      <c r="R567" s="2366"/>
      <c r="S567" s="2366"/>
      <c r="T567" s="2366"/>
      <c r="U567" s="2366"/>
      <c r="V567" s="2366"/>
      <c r="W567" s="2366"/>
      <c r="X567" s="2366"/>
      <c r="Y567" s="2366"/>
      <c r="Z567" s="2366"/>
      <c r="AA567" s="2366"/>
      <c r="AB567" s="2366"/>
      <c r="AC567" s="2366"/>
      <c r="AD567" s="2366"/>
      <c r="AE567" s="2366"/>
      <c r="AF567" s="2366"/>
      <c r="AG567" s="2366"/>
      <c r="AH567" s="2366"/>
      <c r="AI567" s="2366"/>
      <c r="AJ567" s="2366"/>
      <c r="AK567" s="643"/>
      <c r="AL567" s="574"/>
      <c r="AM567" s="604"/>
      <c r="AN567" s="598"/>
    </row>
    <row r="568" spans="1:42" s="551" customFormat="1" ht="12.75" customHeight="1">
      <c r="A568" s="604"/>
      <c r="B568" s="2366"/>
      <c r="C568" s="2366"/>
      <c r="D568" s="2366"/>
      <c r="E568" s="2366"/>
      <c r="F568" s="2366"/>
      <c r="G568" s="2366"/>
      <c r="H568" s="2366"/>
      <c r="I568" s="2366"/>
      <c r="J568" s="2366"/>
      <c r="K568" s="2366"/>
      <c r="L568" s="2366"/>
      <c r="M568" s="2366"/>
      <c r="N568" s="2366"/>
      <c r="O568" s="2366"/>
      <c r="P568" s="2366"/>
      <c r="Q568" s="2366"/>
      <c r="R568" s="2366"/>
      <c r="S568" s="2366"/>
      <c r="T568" s="2366"/>
      <c r="U568" s="2366"/>
      <c r="V568" s="2366"/>
      <c r="W568" s="2366"/>
      <c r="X568" s="2366"/>
      <c r="Y568" s="2366"/>
      <c r="Z568" s="2366"/>
      <c r="AA568" s="2366"/>
      <c r="AB568" s="2366"/>
      <c r="AC568" s="2366"/>
      <c r="AD568" s="2366"/>
      <c r="AE568" s="2366"/>
      <c r="AF568" s="2366"/>
      <c r="AG568" s="2366"/>
      <c r="AH568" s="2366"/>
      <c r="AI568" s="2366"/>
      <c r="AJ568" s="2366"/>
      <c r="AK568" s="643"/>
      <c r="AL568" s="574"/>
      <c r="AM568" s="604"/>
      <c r="AN568" s="598"/>
    </row>
    <row r="569" spans="1:42" s="551" customFormat="1" ht="12.75" customHeight="1">
      <c r="A569" s="604"/>
      <c r="B569" s="2366"/>
      <c r="C569" s="2366"/>
      <c r="D569" s="2366"/>
      <c r="E569" s="2366"/>
      <c r="F569" s="2366"/>
      <c r="G569" s="2366"/>
      <c r="H569" s="2366"/>
      <c r="I569" s="2366"/>
      <c r="J569" s="2366"/>
      <c r="K569" s="2366"/>
      <c r="L569" s="2366"/>
      <c r="M569" s="2366"/>
      <c r="N569" s="2366"/>
      <c r="O569" s="2366"/>
      <c r="P569" s="2366"/>
      <c r="Q569" s="2366"/>
      <c r="R569" s="2366"/>
      <c r="S569" s="2366"/>
      <c r="T569" s="2366"/>
      <c r="U569" s="2366"/>
      <c r="V569" s="2366"/>
      <c r="W569" s="2366"/>
      <c r="X569" s="2366"/>
      <c r="Y569" s="2366"/>
      <c r="Z569" s="2366"/>
      <c r="AA569" s="2366"/>
      <c r="AB569" s="2366"/>
      <c r="AC569" s="2366"/>
      <c r="AD569" s="2366"/>
      <c r="AE569" s="2366"/>
      <c r="AF569" s="2366"/>
      <c r="AG569" s="2366"/>
      <c r="AH569" s="2366"/>
      <c r="AI569" s="2366"/>
      <c r="AJ569" s="2366"/>
      <c r="AK569" s="643"/>
      <c r="AL569" s="574"/>
      <c r="AM569" s="604"/>
      <c r="AN569" s="598"/>
    </row>
    <row r="570" spans="1:42" s="551" customFormat="1" ht="12.75" customHeight="1">
      <c r="A570" s="604"/>
      <c r="B570" s="2366"/>
      <c r="C570" s="2366"/>
      <c r="D570" s="2366"/>
      <c r="E570" s="2366"/>
      <c r="F570" s="2366"/>
      <c r="G570" s="2366"/>
      <c r="H570" s="2366"/>
      <c r="I570" s="2366"/>
      <c r="J570" s="2366"/>
      <c r="K570" s="2366"/>
      <c r="L570" s="2366"/>
      <c r="M570" s="2366"/>
      <c r="N570" s="2366"/>
      <c r="O570" s="2366"/>
      <c r="P570" s="2366"/>
      <c r="Q570" s="2366"/>
      <c r="R570" s="2366"/>
      <c r="S570" s="2366"/>
      <c r="T570" s="2366"/>
      <c r="U570" s="2366"/>
      <c r="V570" s="2366"/>
      <c r="W570" s="2366"/>
      <c r="X570" s="2366"/>
      <c r="Y570" s="2366"/>
      <c r="Z570" s="2366"/>
      <c r="AA570" s="2366"/>
      <c r="AB570" s="2366"/>
      <c r="AC570" s="2366"/>
      <c r="AD570" s="2366"/>
      <c r="AE570" s="2366"/>
      <c r="AF570" s="2366"/>
      <c r="AG570" s="2366"/>
      <c r="AH570" s="2366"/>
      <c r="AI570" s="2366"/>
      <c r="AJ570" s="2366"/>
      <c r="AK570" s="643"/>
      <c r="AL570" s="574"/>
      <c r="AM570" s="604"/>
      <c r="AN570" s="598"/>
    </row>
    <row r="571" spans="1:42" ht="12.75" customHeight="1">
      <c r="A571" s="604"/>
      <c r="B571" s="2366"/>
      <c r="C571" s="2366"/>
      <c r="D571" s="2366"/>
      <c r="E571" s="2366"/>
      <c r="F571" s="2366"/>
      <c r="G571" s="2366"/>
      <c r="H571" s="2366"/>
      <c r="I571" s="2366"/>
      <c r="J571" s="2366"/>
      <c r="K571" s="2366"/>
      <c r="L571" s="2366"/>
      <c r="M571" s="2366"/>
      <c r="N571" s="2366"/>
      <c r="O571" s="2366"/>
      <c r="P571" s="2366"/>
      <c r="Q571" s="2366"/>
      <c r="R571" s="2366"/>
      <c r="S571" s="2366"/>
      <c r="T571" s="2366"/>
      <c r="U571" s="2366"/>
      <c r="V571" s="2366"/>
      <c r="W571" s="2366"/>
      <c r="X571" s="2366"/>
      <c r="Y571" s="2366"/>
      <c r="Z571" s="2366"/>
      <c r="AA571" s="2366"/>
      <c r="AB571" s="2366"/>
      <c r="AC571" s="2366"/>
      <c r="AD571" s="2366"/>
      <c r="AE571" s="2366"/>
      <c r="AF571" s="2366"/>
      <c r="AG571" s="2366"/>
      <c r="AH571" s="2366"/>
      <c r="AI571" s="2366"/>
      <c r="AJ571" s="2366"/>
      <c r="AK571" s="643"/>
      <c r="AL571" s="574"/>
      <c r="AM571" s="604"/>
    </row>
    <row r="572" spans="1:42" s="551" customFormat="1" ht="12.75" customHeight="1">
      <c r="B572" s="2366"/>
      <c r="C572" s="2366"/>
      <c r="D572" s="2366"/>
      <c r="E572" s="2366"/>
      <c r="F572" s="2366"/>
      <c r="G572" s="2366"/>
      <c r="H572" s="2366"/>
      <c r="I572" s="2366"/>
      <c r="J572" s="2366"/>
      <c r="K572" s="2366"/>
      <c r="L572" s="2366"/>
      <c r="M572" s="2366"/>
      <c r="N572" s="2366"/>
      <c r="O572" s="2366"/>
      <c r="P572" s="2366"/>
      <c r="Q572" s="2366"/>
      <c r="R572" s="2366"/>
      <c r="S572" s="2366"/>
      <c r="T572" s="2366"/>
      <c r="U572" s="2366"/>
      <c r="V572" s="2366"/>
      <c r="W572" s="2366"/>
      <c r="X572" s="2366"/>
      <c r="Y572" s="2366"/>
      <c r="Z572" s="2366"/>
      <c r="AA572" s="2366"/>
      <c r="AB572" s="2366"/>
      <c r="AC572" s="2366"/>
      <c r="AD572" s="2366"/>
      <c r="AE572" s="2366"/>
      <c r="AF572" s="2366"/>
      <c r="AG572" s="2366"/>
      <c r="AH572" s="2366"/>
      <c r="AI572" s="2366"/>
      <c r="AJ572" s="236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6" t="s">
        <v>1338</v>
      </c>
      <c r="AG578" s="2466"/>
      <c r="AH578" s="2466"/>
      <c r="AI578" s="2466"/>
      <c r="AJ578" s="2466"/>
      <c r="AK578" s="2466"/>
      <c r="AL578" s="2466"/>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6" t="s">
        <v>1396</v>
      </c>
      <c r="AG585" s="2466"/>
      <c r="AH585" s="2466"/>
      <c r="AI585" s="2466"/>
      <c r="AJ585" s="2466"/>
      <c r="AK585" s="2466"/>
      <c r="AL585" s="2466"/>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6" t="s">
        <v>1378</v>
      </c>
      <c r="AG591" s="2466"/>
      <c r="AH591" s="2466"/>
      <c r="AI591" s="2466"/>
      <c r="AJ591" s="2466"/>
      <c r="AK591" s="2466"/>
      <c r="AL591" s="2466"/>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6" t="s">
        <v>1399</v>
      </c>
      <c r="AG597" s="2466"/>
      <c r="AH597" s="2466"/>
      <c r="AI597" s="2466"/>
      <c r="AJ597" s="2466"/>
      <c r="AK597" s="2466"/>
      <c r="AL597" s="2466"/>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82" t="s">
        <v>1184</v>
      </c>
      <c r="P601" s="2482"/>
      <c r="Q601" s="2482"/>
      <c r="R601" s="2482"/>
      <c r="S601" s="2482"/>
      <c r="T601" s="2482"/>
      <c r="U601" s="2482"/>
      <c r="V601" s="2482"/>
      <c r="W601" s="2482"/>
      <c r="X601" s="2482"/>
      <c r="Y601" s="2482"/>
      <c r="Z601" s="2482"/>
      <c r="AA601" s="2482"/>
      <c r="AB601" s="2482"/>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6" t="s">
        <v>1352</v>
      </c>
      <c r="AG603" s="2466"/>
      <c r="AH603" s="2466"/>
      <c r="AI603" s="2466"/>
      <c r="AJ603" s="2466"/>
      <c r="AK603" s="2466"/>
      <c r="AL603" s="2466"/>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390" t="s">
        <v>687</v>
      </c>
      <c r="I606" s="2390"/>
      <c r="J606" s="937"/>
      <c r="K606" s="937"/>
      <c r="L606" s="937"/>
      <c r="N606" s="22"/>
      <c r="O606" s="22"/>
      <c r="P606" s="22"/>
      <c r="Q606" s="1153" t="s">
        <v>2178</v>
      </c>
      <c r="R606" s="2483"/>
      <c r="S606" s="2483"/>
      <c r="T606" s="2483"/>
      <c r="U606" s="2483"/>
      <c r="V606" s="2483"/>
      <c r="W606" s="2483"/>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84" t="str">
        <f>IF(AND(H606="(i)",NOT(AP582)),AO599,IF(AND(H606="(iv)",OR(R606=AO595,R606=AO594),NOT(AP583)),AO600,""))</f>
        <v/>
      </c>
      <c r="Z607" s="2484"/>
      <c r="AA607" s="2484"/>
      <c r="AB607" s="2484"/>
      <c r="AC607" s="2484"/>
      <c r="AD607" s="2484"/>
      <c r="AE607" s="2484"/>
      <c r="AF607" s="2484"/>
      <c r="AG607" s="2484"/>
      <c r="AH607" s="2484"/>
      <c r="AI607" s="2484"/>
      <c r="AJ607" s="2484"/>
      <c r="AK607" s="2484"/>
      <c r="AL607" s="2484"/>
      <c r="AM607" s="2485"/>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84"/>
      <c r="Z608" s="2484"/>
      <c r="AA608" s="2484"/>
      <c r="AB608" s="2484"/>
      <c r="AC608" s="2484"/>
      <c r="AD608" s="2484"/>
      <c r="AE608" s="2484"/>
      <c r="AF608" s="2484"/>
      <c r="AG608" s="2484"/>
      <c r="AH608" s="2484"/>
      <c r="AI608" s="2484"/>
      <c r="AJ608" s="2484"/>
      <c r="AK608" s="2484"/>
      <c r="AL608" s="2484"/>
      <c r="AM608" s="2485"/>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81" t="s">
        <v>591</v>
      </c>
      <c r="J614" s="2481"/>
      <c r="K614" s="2481"/>
      <c r="L614" s="2481"/>
      <c r="M614" s="2481"/>
      <c r="N614" s="2481"/>
      <c r="O614" s="2481"/>
      <c r="P614" s="2481"/>
      <c r="Q614" s="2481"/>
      <c r="R614" s="2481"/>
      <c r="S614" s="2481"/>
      <c r="T614" s="2481"/>
      <c r="U614" s="2481"/>
      <c r="V614" s="2481"/>
      <c r="W614" s="2481"/>
      <c r="X614" s="2481"/>
      <c r="Y614" s="2481"/>
      <c r="Z614" s="2481"/>
      <c r="AA614" s="2481"/>
      <c r="AB614" s="2481"/>
      <c r="AC614" s="2481"/>
      <c r="AD614" s="2481"/>
      <c r="AE614" s="2481"/>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8" t="s">
        <v>591</v>
      </c>
      <c r="C616" s="2338"/>
      <c r="D616" s="643"/>
      <c r="E616" s="2366" t="s">
        <v>1403</v>
      </c>
      <c r="F616" s="2366"/>
      <c r="G616" s="2366"/>
      <c r="H616" s="2366"/>
      <c r="I616" s="2366"/>
      <c r="J616" s="2366"/>
      <c r="K616" s="2366"/>
      <c r="L616" s="2366"/>
      <c r="M616" s="2366"/>
      <c r="N616" s="2366"/>
      <c r="O616" s="2366"/>
      <c r="P616" s="2366"/>
      <c r="Q616" s="2366"/>
      <c r="R616" s="2366"/>
      <c r="S616" s="2366"/>
      <c r="T616" s="2366"/>
      <c r="U616" s="2366"/>
      <c r="V616" s="2366"/>
      <c r="W616" s="2366"/>
      <c r="X616" s="2366"/>
      <c r="Y616" s="2366"/>
      <c r="Z616" s="2366"/>
      <c r="AA616" s="2366"/>
      <c r="AB616" s="2366"/>
      <c r="AC616" s="2366"/>
      <c r="AD616" s="2366"/>
      <c r="AE616" s="2366"/>
      <c r="AF616" s="2366"/>
      <c r="AG616" s="2366"/>
      <c r="AH616" s="643"/>
      <c r="AI616" s="643"/>
      <c r="AJ616" s="643"/>
      <c r="AK616" s="643"/>
      <c r="AL616" s="643"/>
      <c r="AN616" s="598"/>
    </row>
    <row r="617" spans="1:42" s="551" customFormat="1" ht="12.75" customHeight="1">
      <c r="B617" s="537"/>
      <c r="C617" s="934"/>
      <c r="D617" s="643"/>
      <c r="E617" s="2366"/>
      <c r="F617" s="2366"/>
      <c r="G617" s="2366"/>
      <c r="H617" s="2366"/>
      <c r="I617" s="2366"/>
      <c r="J617" s="2366"/>
      <c r="K617" s="2366"/>
      <c r="L617" s="2366"/>
      <c r="M617" s="2366"/>
      <c r="N617" s="2366"/>
      <c r="O617" s="2366"/>
      <c r="P617" s="2366"/>
      <c r="Q617" s="2366"/>
      <c r="R617" s="2366"/>
      <c r="S617" s="2366"/>
      <c r="T617" s="2366"/>
      <c r="U617" s="2366"/>
      <c r="V617" s="2366"/>
      <c r="W617" s="2366"/>
      <c r="X617" s="2366"/>
      <c r="Y617" s="2366"/>
      <c r="Z617" s="2366"/>
      <c r="AA617" s="2366"/>
      <c r="AB617" s="2366"/>
      <c r="AC617" s="2366"/>
      <c r="AD617" s="2366"/>
      <c r="AE617" s="2366"/>
      <c r="AF617" s="2366"/>
      <c r="AG617" s="2366"/>
      <c r="AH617" s="643"/>
      <c r="AI617" s="643"/>
      <c r="AJ617" s="643"/>
      <c r="AK617" s="643"/>
      <c r="AL617" s="643"/>
      <c r="AN617" s="598"/>
    </row>
    <row r="618" spans="1:42" s="551" customFormat="1" ht="12.75" customHeight="1">
      <c r="B618" s="537"/>
      <c r="C618" s="934"/>
      <c r="D618" s="643"/>
      <c r="E618" s="2366"/>
      <c r="F618" s="2366"/>
      <c r="G618" s="2366"/>
      <c r="H618" s="2366"/>
      <c r="I618" s="2366"/>
      <c r="J618" s="2366"/>
      <c r="K618" s="2366"/>
      <c r="L618" s="2366"/>
      <c r="M618" s="2366"/>
      <c r="N618" s="2366"/>
      <c r="O618" s="2366"/>
      <c r="P618" s="2366"/>
      <c r="Q618" s="2366"/>
      <c r="R618" s="2366"/>
      <c r="S618" s="2366"/>
      <c r="T618" s="2366"/>
      <c r="U618" s="2366"/>
      <c r="V618" s="2366"/>
      <c r="W618" s="2366"/>
      <c r="X618" s="2366"/>
      <c r="Y618" s="2366"/>
      <c r="Z618" s="2366"/>
      <c r="AA618" s="2366"/>
      <c r="AB618" s="2366"/>
      <c r="AC618" s="2366"/>
      <c r="AD618" s="2366"/>
      <c r="AE618" s="2366"/>
      <c r="AF618" s="2366"/>
      <c r="AG618" s="2366"/>
      <c r="AH618" s="643"/>
      <c r="AI618" s="643"/>
      <c r="AJ618" s="643"/>
      <c r="AK618" s="643"/>
      <c r="AL618" s="643"/>
      <c r="AN618" s="598"/>
    </row>
    <row r="619" spans="1:42" s="551" customFormat="1" ht="12.75" customHeight="1">
      <c r="B619" s="537"/>
      <c r="C619" s="934"/>
      <c r="D619" s="643"/>
      <c r="E619" s="2366"/>
      <c r="F619" s="2366"/>
      <c r="G619" s="2366"/>
      <c r="H619" s="2366"/>
      <c r="I619" s="2366"/>
      <c r="J619" s="2366"/>
      <c r="K619" s="2366"/>
      <c r="L619" s="2366"/>
      <c r="M619" s="2366"/>
      <c r="N619" s="2366"/>
      <c r="O619" s="2366"/>
      <c r="P619" s="2366"/>
      <c r="Q619" s="2366"/>
      <c r="R619" s="2366"/>
      <c r="S619" s="2366"/>
      <c r="T619" s="2366"/>
      <c r="U619" s="2366"/>
      <c r="V619" s="2366"/>
      <c r="W619" s="2366"/>
      <c r="X619" s="2366"/>
      <c r="Y619" s="2366"/>
      <c r="Z619" s="2366"/>
      <c r="AA619" s="2366"/>
      <c r="AB619" s="2366"/>
      <c r="AC619" s="2366"/>
      <c r="AD619" s="2366"/>
      <c r="AE619" s="2366"/>
      <c r="AF619" s="2366"/>
      <c r="AG619" s="236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73">
        <f>VLOOKUP($H$606,$AO$586:$AP$591,2,FALSE)+IF(R606=AO594,0,VLOOKUP($I$614,$AO$613:$AP$615,2,FALSE))</f>
        <v>7</v>
      </c>
      <c r="AK621" s="237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80" t="s">
        <v>1694</v>
      </c>
      <c r="F625" s="2480"/>
      <c r="G625" s="2480"/>
      <c r="H625" s="2480"/>
      <c r="I625" s="2480"/>
      <c r="J625" s="2480"/>
      <c r="K625" s="2480"/>
      <c r="L625" s="2480"/>
      <c r="M625" s="2480"/>
      <c r="N625" s="2480"/>
      <c r="O625" s="2480"/>
      <c r="P625" s="2480"/>
      <c r="Q625" s="2480"/>
      <c r="R625" s="2480"/>
      <c r="S625" s="2480"/>
      <c r="T625" s="2480"/>
      <c r="U625" s="2480"/>
      <c r="V625" s="2480"/>
      <c r="W625" s="2480"/>
      <c r="X625" s="2480"/>
      <c r="Y625" s="2480"/>
      <c r="Z625" s="2480"/>
      <c r="AA625" s="2480"/>
      <c r="AB625" s="2480"/>
      <c r="AC625" s="2480"/>
      <c r="AD625" s="2480"/>
      <c r="AE625" s="540"/>
      <c r="AF625" s="2466" t="s">
        <v>1352</v>
      </c>
      <c r="AG625" s="2466"/>
      <c r="AH625" s="2466"/>
      <c r="AI625" s="2466"/>
      <c r="AJ625" s="2466"/>
      <c r="AK625" s="2466"/>
      <c r="AL625" s="2466"/>
      <c r="AM625" s="551"/>
      <c r="AN625" s="679"/>
    </row>
    <row r="626" spans="1:42" s="551" customFormat="1" ht="12.75" customHeight="1">
      <c r="A626" s="680"/>
      <c r="B626" s="537"/>
      <c r="C626" s="934"/>
      <c r="D626" s="664"/>
      <c r="E626" s="2480"/>
      <c r="F626" s="2480"/>
      <c r="G626" s="2480"/>
      <c r="H626" s="2480"/>
      <c r="I626" s="2480"/>
      <c r="J626" s="2480"/>
      <c r="K626" s="2480"/>
      <c r="L626" s="2480"/>
      <c r="M626" s="2480"/>
      <c r="N626" s="2480"/>
      <c r="O626" s="2480"/>
      <c r="P626" s="2480"/>
      <c r="Q626" s="2480"/>
      <c r="R626" s="2480"/>
      <c r="S626" s="2480"/>
      <c r="T626" s="2480"/>
      <c r="U626" s="2480"/>
      <c r="V626" s="2480"/>
      <c r="W626" s="2480"/>
      <c r="X626" s="2480"/>
      <c r="Y626" s="2480"/>
      <c r="Z626" s="2480"/>
      <c r="AA626" s="2480"/>
      <c r="AB626" s="2480"/>
      <c r="AC626" s="2480"/>
      <c r="AD626" s="2480"/>
      <c r="AE626" s="537"/>
      <c r="AF626" s="537"/>
      <c r="AG626" s="537"/>
      <c r="AH626" s="537"/>
      <c r="AI626" s="537"/>
      <c r="AJ626" s="537"/>
      <c r="AK626" s="537"/>
      <c r="AL626" s="537"/>
      <c r="AN626" s="598"/>
    </row>
    <row r="627" spans="1:42" s="551" customFormat="1" ht="12.75" customHeight="1">
      <c r="B627" s="537"/>
      <c r="C627" s="932"/>
      <c r="D627" s="664"/>
      <c r="E627" s="2480"/>
      <c r="F627" s="2480"/>
      <c r="G627" s="2480"/>
      <c r="H627" s="2480"/>
      <c r="I627" s="2480"/>
      <c r="J627" s="2480"/>
      <c r="K627" s="2480"/>
      <c r="L627" s="2480"/>
      <c r="M627" s="2480"/>
      <c r="N627" s="2480"/>
      <c r="O627" s="2480"/>
      <c r="P627" s="2480"/>
      <c r="Q627" s="2480"/>
      <c r="R627" s="2480"/>
      <c r="S627" s="2480"/>
      <c r="T627" s="2480"/>
      <c r="U627" s="2480"/>
      <c r="V627" s="2480"/>
      <c r="W627" s="2480"/>
      <c r="X627" s="2480"/>
      <c r="Y627" s="2480"/>
      <c r="Z627" s="2480"/>
      <c r="AA627" s="2480"/>
      <c r="AB627" s="2480"/>
      <c r="AC627" s="2480"/>
      <c r="AD627" s="2480"/>
      <c r="AE627" s="537"/>
      <c r="AF627" s="537"/>
      <c r="AG627" s="537"/>
      <c r="AH627" s="537"/>
      <c r="AI627" s="537"/>
      <c r="AJ627" s="537"/>
      <c r="AK627" s="537"/>
      <c r="AL627" s="537"/>
      <c r="AN627" s="598"/>
    </row>
    <row r="628" spans="1:42" s="551" customFormat="1" ht="12.75" customHeight="1">
      <c r="B628" s="537"/>
      <c r="C628" s="932"/>
      <c r="D628" s="664"/>
      <c r="E628" s="2480"/>
      <c r="F628" s="2480"/>
      <c r="G628" s="2480"/>
      <c r="H628" s="2480"/>
      <c r="I628" s="2480"/>
      <c r="J628" s="2480"/>
      <c r="K628" s="2480"/>
      <c r="L628" s="2480"/>
      <c r="M628" s="2480"/>
      <c r="N628" s="2480"/>
      <c r="O628" s="2480"/>
      <c r="P628" s="2480"/>
      <c r="Q628" s="2480"/>
      <c r="R628" s="2480"/>
      <c r="S628" s="2480"/>
      <c r="T628" s="2480"/>
      <c r="U628" s="2480"/>
      <c r="V628" s="2480"/>
      <c r="W628" s="2480"/>
      <c r="X628" s="2480"/>
      <c r="Y628" s="2480"/>
      <c r="Z628" s="2480"/>
      <c r="AA628" s="2480"/>
      <c r="AB628" s="2480"/>
      <c r="AC628" s="2480"/>
      <c r="AD628" s="2480"/>
      <c r="AE628" s="537"/>
      <c r="AF628" s="537"/>
      <c r="AG628" s="537"/>
      <c r="AH628" s="537"/>
      <c r="AI628" s="537"/>
      <c r="AJ628" s="537"/>
      <c r="AK628" s="537"/>
      <c r="AL628" s="537"/>
      <c r="AN628" s="598"/>
    </row>
    <row r="629" spans="1:42" s="551" customFormat="1" ht="12.75" customHeight="1">
      <c r="B629" s="537"/>
      <c r="C629" s="932"/>
      <c r="D629" s="664"/>
      <c r="E629" s="2480"/>
      <c r="F629" s="2480"/>
      <c r="G629" s="2480"/>
      <c r="H629" s="2480"/>
      <c r="I629" s="2480"/>
      <c r="J629" s="2480"/>
      <c r="K629" s="2480"/>
      <c r="L629" s="2480"/>
      <c r="M629" s="2480"/>
      <c r="N629" s="2480"/>
      <c r="O629" s="2480"/>
      <c r="P629" s="2480"/>
      <c r="Q629" s="2480"/>
      <c r="R629" s="2480"/>
      <c r="S629" s="2480"/>
      <c r="T629" s="2480"/>
      <c r="U629" s="2480"/>
      <c r="V629" s="2480"/>
      <c r="W629" s="2480"/>
      <c r="X629" s="2480"/>
      <c r="Y629" s="2480"/>
      <c r="Z629" s="2480"/>
      <c r="AA629" s="2480"/>
      <c r="AB629" s="2480"/>
      <c r="AC629" s="2480"/>
      <c r="AD629" s="2480"/>
      <c r="AE629" s="537"/>
      <c r="AF629" s="537"/>
      <c r="AG629" s="537"/>
      <c r="AH629" s="537"/>
      <c r="AI629" s="537"/>
      <c r="AJ629" s="537"/>
      <c r="AK629" s="537"/>
      <c r="AL629" s="537"/>
      <c r="AN629" s="598"/>
    </row>
    <row r="630" spans="1:42" s="551" customFormat="1" ht="12.75" customHeight="1">
      <c r="B630" s="537"/>
      <c r="C630" s="932"/>
      <c r="D630" s="664"/>
      <c r="E630" s="2480"/>
      <c r="F630" s="2480"/>
      <c r="G630" s="2480"/>
      <c r="H630" s="2480"/>
      <c r="I630" s="2480"/>
      <c r="J630" s="2480"/>
      <c r="K630" s="2480"/>
      <c r="L630" s="2480"/>
      <c r="M630" s="2480"/>
      <c r="N630" s="2480"/>
      <c r="O630" s="2480"/>
      <c r="P630" s="2480"/>
      <c r="Q630" s="2480"/>
      <c r="R630" s="2480"/>
      <c r="S630" s="2480"/>
      <c r="T630" s="2480"/>
      <c r="U630" s="2480"/>
      <c r="V630" s="2480"/>
      <c r="W630" s="2480"/>
      <c r="X630" s="2480"/>
      <c r="Y630" s="2480"/>
      <c r="Z630" s="2480"/>
      <c r="AA630" s="2480"/>
      <c r="AB630" s="2480"/>
      <c r="AC630" s="2480"/>
      <c r="AD630" s="2480"/>
      <c r="AE630" s="537"/>
      <c r="AF630" s="537"/>
      <c r="AG630" s="537"/>
      <c r="AH630" s="537"/>
      <c r="AI630" s="537"/>
      <c r="AJ630" s="537"/>
      <c r="AK630" s="537"/>
      <c r="AL630" s="537"/>
      <c r="AN630" s="598"/>
    </row>
    <row r="631" spans="1:42" s="551" customFormat="1" ht="12.75" customHeight="1">
      <c r="A631" s="638"/>
      <c r="B631" s="617"/>
      <c r="C631" s="941"/>
      <c r="D631" s="664"/>
      <c r="E631" s="2480"/>
      <c r="F631" s="2480"/>
      <c r="G631" s="2480"/>
      <c r="H631" s="2480"/>
      <c r="I631" s="2480"/>
      <c r="J631" s="2480"/>
      <c r="K631" s="2480"/>
      <c r="L631" s="2480"/>
      <c r="M631" s="2480"/>
      <c r="N631" s="2480"/>
      <c r="O631" s="2480"/>
      <c r="P631" s="2480"/>
      <c r="Q631" s="2480"/>
      <c r="R631" s="2480"/>
      <c r="S631" s="2480"/>
      <c r="T631" s="2480"/>
      <c r="U631" s="2480"/>
      <c r="V631" s="2480"/>
      <c r="W631" s="2480"/>
      <c r="X631" s="2480"/>
      <c r="Y631" s="2480"/>
      <c r="Z631" s="2480"/>
      <c r="AA631" s="2480"/>
      <c r="AB631" s="2480"/>
      <c r="AC631" s="2480"/>
      <c r="AD631" s="2480"/>
      <c r="AE631" s="617"/>
      <c r="AF631" s="617"/>
      <c r="AG631" s="617"/>
      <c r="AH631" s="617"/>
      <c r="AI631" s="617"/>
      <c r="AJ631" s="617"/>
      <c r="AK631" s="537"/>
      <c r="AL631" s="537"/>
      <c r="AN631" s="598"/>
    </row>
    <row r="632" spans="1:42" s="551" customFormat="1" ht="12.75" customHeight="1">
      <c r="B632" s="617"/>
      <c r="C632" s="941"/>
      <c r="D632" s="664"/>
      <c r="E632" s="2480"/>
      <c r="F632" s="2480"/>
      <c r="G632" s="2480"/>
      <c r="H632" s="2480"/>
      <c r="I632" s="2480"/>
      <c r="J632" s="2480"/>
      <c r="K632" s="2480"/>
      <c r="L632" s="2480"/>
      <c r="M632" s="2480"/>
      <c r="N632" s="2480"/>
      <c r="O632" s="2480"/>
      <c r="P632" s="2480"/>
      <c r="Q632" s="2480"/>
      <c r="R632" s="2480"/>
      <c r="S632" s="2480"/>
      <c r="T632" s="2480"/>
      <c r="U632" s="2480"/>
      <c r="V632" s="2480"/>
      <c r="W632" s="2480"/>
      <c r="X632" s="2480"/>
      <c r="Y632" s="2480"/>
      <c r="Z632" s="2480"/>
      <c r="AA632" s="2480"/>
      <c r="AB632" s="2480"/>
      <c r="AC632" s="2480"/>
      <c r="AD632" s="2480"/>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8" t="s">
        <v>591</v>
      </c>
      <c r="Y634" s="233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6" t="s">
        <v>1408</v>
      </c>
      <c r="AG636" s="2466"/>
      <c r="AH636" s="2466"/>
      <c r="AI636" s="2466"/>
      <c r="AJ636" s="2466"/>
      <c r="AK636" s="2466"/>
      <c r="AL636" s="2466"/>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90" t="s">
        <v>687</v>
      </c>
      <c r="I638" s="2390"/>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73">
        <f>VLOOKUP($H$638,$AO$605:$AP$607,2,FALSE)</f>
        <v>3</v>
      </c>
      <c r="AK640" s="2375"/>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366" t="s">
        <v>2099</v>
      </c>
      <c r="F644" s="2366"/>
      <c r="G644" s="2366"/>
      <c r="H644" s="2366"/>
      <c r="I644" s="2366"/>
      <c r="J644" s="2366"/>
      <c r="K644" s="2366"/>
      <c r="L644" s="2366"/>
      <c r="M644" s="2366"/>
      <c r="N644" s="2366"/>
      <c r="O644" s="2366"/>
      <c r="P644" s="2366"/>
      <c r="Q644" s="2366"/>
      <c r="R644" s="2366"/>
      <c r="S644" s="2366"/>
      <c r="T644" s="2366"/>
      <c r="U644" s="2366"/>
      <c r="V644" s="2366"/>
      <c r="W644" s="2366"/>
      <c r="X644" s="2366"/>
      <c r="Y644" s="2366"/>
      <c r="Z644" s="2366"/>
      <c r="AA644" s="2366"/>
      <c r="AB644" s="2366"/>
      <c r="AC644" s="2366"/>
      <c r="AD644" s="2366"/>
      <c r="AE644" s="537"/>
      <c r="AF644" s="2466" t="s">
        <v>1352</v>
      </c>
      <c r="AG644" s="2466"/>
      <c r="AH644" s="2466"/>
      <c r="AI644" s="2466"/>
      <c r="AJ644" s="2466"/>
      <c r="AK644" s="2466"/>
      <c r="AL644" s="2466"/>
      <c r="AN644" s="598"/>
    </row>
    <row r="645" spans="1:42" s="551" customFormat="1" ht="12.75" customHeight="1">
      <c r="B645" s="537"/>
      <c r="C645" s="537"/>
      <c r="D645" s="664"/>
      <c r="E645" s="2366"/>
      <c r="F645" s="2366"/>
      <c r="G645" s="2366"/>
      <c r="H645" s="2366"/>
      <c r="I645" s="2366"/>
      <c r="J645" s="2366"/>
      <c r="K645" s="2366"/>
      <c r="L645" s="2366"/>
      <c r="M645" s="2366"/>
      <c r="N645" s="2366"/>
      <c r="O645" s="2366"/>
      <c r="P645" s="2366"/>
      <c r="Q645" s="2366"/>
      <c r="R645" s="2366"/>
      <c r="S645" s="2366"/>
      <c r="T645" s="2366"/>
      <c r="U645" s="2366"/>
      <c r="V645" s="2366"/>
      <c r="W645" s="2366"/>
      <c r="X645" s="2366"/>
      <c r="Y645" s="2366"/>
      <c r="Z645" s="2366"/>
      <c r="AA645" s="2366"/>
      <c r="AB645" s="2366"/>
      <c r="AC645" s="2366"/>
      <c r="AD645" s="236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6" t="s">
        <v>1408</v>
      </c>
      <c r="AG647" s="2466"/>
      <c r="AH647" s="2466"/>
      <c r="AI647" s="2466"/>
      <c r="AJ647" s="2466"/>
      <c r="AK647" s="2466"/>
      <c r="AL647" s="2466"/>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90" t="s">
        <v>509</v>
      </c>
      <c r="I650" s="2390"/>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73">
        <f>VLOOKUP(H650,AT605:AU607,2,FALSE)</f>
        <v>2</v>
      </c>
      <c r="AK652" s="237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366" t="s">
        <v>1418</v>
      </c>
      <c r="F657" s="2366"/>
      <c r="G657" s="2366"/>
      <c r="H657" s="2366"/>
      <c r="I657" s="2366"/>
      <c r="J657" s="2366"/>
      <c r="K657" s="2366"/>
      <c r="L657" s="2366"/>
      <c r="M657" s="2366"/>
      <c r="N657" s="2366"/>
      <c r="O657" s="2366"/>
      <c r="P657" s="2366"/>
      <c r="Q657" s="2366"/>
      <c r="R657" s="2366"/>
      <c r="S657" s="2366"/>
      <c r="T657" s="2366"/>
      <c r="U657" s="2366"/>
      <c r="V657" s="2366"/>
      <c r="W657" s="2366"/>
      <c r="X657" s="2366"/>
      <c r="Y657" s="2366"/>
      <c r="Z657" s="2366"/>
      <c r="AA657" s="2366"/>
      <c r="AB657" s="2366"/>
      <c r="AC657" s="2366"/>
      <c r="AD657" s="537"/>
      <c r="AE657" s="537"/>
      <c r="AF657" s="2466" t="s">
        <v>1378</v>
      </c>
      <c r="AG657" s="2466"/>
      <c r="AH657" s="2466"/>
      <c r="AI657" s="2466"/>
      <c r="AJ657" s="2466"/>
      <c r="AK657" s="2466"/>
      <c r="AL657" s="2466"/>
      <c r="AN657" s="598"/>
    </row>
    <row r="658" spans="1:42" s="551" customFormat="1" ht="12.75" customHeight="1">
      <c r="B658" s="537"/>
      <c r="C658" s="540"/>
      <c r="D658" s="537"/>
      <c r="E658" s="2366"/>
      <c r="F658" s="2366"/>
      <c r="G658" s="2366"/>
      <c r="H658" s="2366"/>
      <c r="I658" s="2366"/>
      <c r="J658" s="2366"/>
      <c r="K658" s="2366"/>
      <c r="L658" s="2366"/>
      <c r="M658" s="2366"/>
      <c r="N658" s="2366"/>
      <c r="O658" s="2366"/>
      <c r="P658" s="2366"/>
      <c r="Q658" s="2366"/>
      <c r="R658" s="2366"/>
      <c r="S658" s="2366"/>
      <c r="T658" s="2366"/>
      <c r="U658" s="2366"/>
      <c r="V658" s="2366"/>
      <c r="W658" s="2366"/>
      <c r="X658" s="2366"/>
      <c r="Y658" s="2366"/>
      <c r="Z658" s="2366"/>
      <c r="AA658" s="2366"/>
      <c r="AB658" s="2366"/>
      <c r="AC658" s="2366"/>
      <c r="AD658" s="537"/>
      <c r="AE658" s="537"/>
      <c r="AF658" s="537"/>
      <c r="AG658" s="537"/>
      <c r="AH658" s="537"/>
      <c r="AI658" s="537"/>
      <c r="AJ658" s="537"/>
      <c r="AK658" s="537"/>
      <c r="AL658" s="537"/>
      <c r="AN658" s="598"/>
    </row>
    <row r="659" spans="1:42" s="551" customFormat="1" ht="12.75" customHeight="1">
      <c r="B659" s="537"/>
      <c r="C659" s="540"/>
      <c r="D659" s="664"/>
      <c r="E659" s="2366"/>
      <c r="F659" s="2366"/>
      <c r="G659" s="2366"/>
      <c r="H659" s="2366"/>
      <c r="I659" s="2366"/>
      <c r="J659" s="2366"/>
      <c r="K659" s="2366"/>
      <c r="L659" s="2366"/>
      <c r="M659" s="2366"/>
      <c r="N659" s="2366"/>
      <c r="O659" s="2366"/>
      <c r="P659" s="2366"/>
      <c r="Q659" s="2366"/>
      <c r="R659" s="2366"/>
      <c r="S659" s="2366"/>
      <c r="T659" s="2366"/>
      <c r="U659" s="2366"/>
      <c r="V659" s="2366"/>
      <c r="W659" s="2366"/>
      <c r="X659" s="2366"/>
      <c r="Y659" s="2366"/>
      <c r="Z659" s="2366"/>
      <c r="AA659" s="2366"/>
      <c r="AB659" s="2366"/>
      <c r="AC659" s="236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366" t="s">
        <v>1419</v>
      </c>
      <c r="F661" s="2366"/>
      <c r="G661" s="2366"/>
      <c r="H661" s="2366"/>
      <c r="I661" s="2366"/>
      <c r="J661" s="2366"/>
      <c r="K661" s="2366"/>
      <c r="L661" s="2366"/>
      <c r="M661" s="2366"/>
      <c r="N661" s="2366"/>
      <c r="O661" s="2366"/>
      <c r="P661" s="2366"/>
      <c r="Q661" s="2366"/>
      <c r="R661" s="2366"/>
      <c r="S661" s="2366"/>
      <c r="T661" s="2366"/>
      <c r="U661" s="2366"/>
      <c r="V661" s="2366"/>
      <c r="W661" s="2366"/>
      <c r="X661" s="2366"/>
      <c r="Y661" s="2366"/>
      <c r="Z661" s="2366"/>
      <c r="AA661" s="2366"/>
      <c r="AB661" s="2366"/>
      <c r="AC661" s="2366"/>
      <c r="AD661" s="537"/>
      <c r="AE661" s="537"/>
      <c r="AF661" s="2466" t="s">
        <v>1399</v>
      </c>
      <c r="AG661" s="2466"/>
      <c r="AH661" s="2466"/>
      <c r="AI661" s="2466"/>
      <c r="AJ661" s="2466"/>
      <c r="AK661" s="2466"/>
      <c r="AL661" s="2466"/>
      <c r="AN661" s="598"/>
    </row>
    <row r="662" spans="1:42" s="551" customFormat="1" ht="12.75" customHeight="1">
      <c r="B662" s="537"/>
      <c r="C662" s="540"/>
      <c r="D662" s="537"/>
      <c r="E662" s="2366"/>
      <c r="F662" s="2366"/>
      <c r="G662" s="2366"/>
      <c r="H662" s="2366"/>
      <c r="I662" s="2366"/>
      <c r="J662" s="2366"/>
      <c r="K662" s="2366"/>
      <c r="L662" s="2366"/>
      <c r="M662" s="2366"/>
      <c r="N662" s="2366"/>
      <c r="O662" s="2366"/>
      <c r="P662" s="2366"/>
      <c r="Q662" s="2366"/>
      <c r="R662" s="2366"/>
      <c r="S662" s="2366"/>
      <c r="T662" s="2366"/>
      <c r="U662" s="2366"/>
      <c r="V662" s="2366"/>
      <c r="W662" s="2366"/>
      <c r="X662" s="2366"/>
      <c r="Y662" s="2366"/>
      <c r="Z662" s="2366"/>
      <c r="AA662" s="2366"/>
      <c r="AB662" s="2366"/>
      <c r="AC662" s="2366"/>
      <c r="AD662" s="537"/>
      <c r="AE662" s="537"/>
      <c r="AF662" s="537"/>
      <c r="AG662" s="537"/>
      <c r="AH662" s="537"/>
      <c r="AI662" s="537"/>
      <c r="AJ662" s="537"/>
      <c r="AK662" s="537"/>
      <c r="AL662" s="537"/>
      <c r="AN662" s="598"/>
    </row>
    <row r="663" spans="1:42" s="551" customFormat="1" ht="15" customHeight="1">
      <c r="B663" s="537"/>
      <c r="C663" s="540"/>
      <c r="D663" s="664"/>
      <c r="E663" s="2366"/>
      <c r="F663" s="2366"/>
      <c r="G663" s="2366"/>
      <c r="H663" s="2366"/>
      <c r="I663" s="2366"/>
      <c r="J663" s="2366"/>
      <c r="K663" s="2366"/>
      <c r="L663" s="2366"/>
      <c r="M663" s="2366"/>
      <c r="N663" s="2366"/>
      <c r="O663" s="2366"/>
      <c r="P663" s="2366"/>
      <c r="Q663" s="2366"/>
      <c r="R663" s="2366"/>
      <c r="S663" s="2366"/>
      <c r="T663" s="2366"/>
      <c r="U663" s="2366"/>
      <c r="V663" s="2366"/>
      <c r="W663" s="2366"/>
      <c r="X663" s="2366"/>
      <c r="Y663" s="2366"/>
      <c r="Z663" s="2366"/>
      <c r="AA663" s="2366"/>
      <c r="AB663" s="2366"/>
      <c r="AC663" s="236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366" t="s">
        <v>1420</v>
      </c>
      <c r="F665" s="2366"/>
      <c r="G665" s="2366"/>
      <c r="H665" s="2366"/>
      <c r="I665" s="2366"/>
      <c r="J665" s="2366"/>
      <c r="K665" s="2366"/>
      <c r="L665" s="2366"/>
      <c r="M665" s="2366"/>
      <c r="N665" s="2366"/>
      <c r="O665" s="2366"/>
      <c r="P665" s="2366"/>
      <c r="Q665" s="2366"/>
      <c r="R665" s="2366"/>
      <c r="S665" s="2366"/>
      <c r="T665" s="2366"/>
      <c r="U665" s="2366"/>
      <c r="V665" s="2366"/>
      <c r="W665" s="2366"/>
      <c r="X665" s="2366"/>
      <c r="Y665" s="2366"/>
      <c r="Z665" s="2366"/>
      <c r="AA665" s="2366"/>
      <c r="AB665" s="2366"/>
      <c r="AC665" s="2366"/>
      <c r="AD665" s="537"/>
      <c r="AE665" s="537"/>
      <c r="AF665" s="2466" t="s">
        <v>1352</v>
      </c>
      <c r="AG665" s="2466"/>
      <c r="AH665" s="2466"/>
      <c r="AI665" s="2466"/>
      <c r="AJ665" s="2466"/>
      <c r="AK665" s="2466"/>
      <c r="AL665" s="2466"/>
      <c r="AN665" s="598"/>
    </row>
    <row r="666" spans="1:42" s="551" customFormat="1" ht="12.75" customHeight="1">
      <c r="B666" s="537"/>
      <c r="C666" s="932"/>
      <c r="D666" s="537"/>
      <c r="E666" s="2366"/>
      <c r="F666" s="2366"/>
      <c r="G666" s="2366"/>
      <c r="H666" s="2366"/>
      <c r="I666" s="2366"/>
      <c r="J666" s="2366"/>
      <c r="K666" s="2366"/>
      <c r="L666" s="2366"/>
      <c r="M666" s="2366"/>
      <c r="N666" s="2366"/>
      <c r="O666" s="2366"/>
      <c r="P666" s="2366"/>
      <c r="Q666" s="2366"/>
      <c r="R666" s="2366"/>
      <c r="S666" s="2366"/>
      <c r="T666" s="2366"/>
      <c r="U666" s="2366"/>
      <c r="V666" s="2366"/>
      <c r="W666" s="2366"/>
      <c r="X666" s="2366"/>
      <c r="Y666" s="2366"/>
      <c r="Z666" s="2366"/>
      <c r="AA666" s="2366"/>
      <c r="AB666" s="2366"/>
      <c r="AC666" s="2366"/>
      <c r="AD666" s="537"/>
      <c r="AE666" s="2466"/>
      <c r="AF666" s="2466"/>
      <c r="AG666" s="2466"/>
      <c r="AH666" s="2466"/>
      <c r="AI666" s="2466"/>
      <c r="AJ666" s="2466"/>
      <c r="AK666" s="2466"/>
      <c r="AL666" s="595"/>
      <c r="AN666" s="598"/>
      <c r="AO666" s="551" t="s">
        <v>591</v>
      </c>
      <c r="AP666" s="674">
        <v>0</v>
      </c>
    </row>
    <row r="667" spans="1:42" s="551" customFormat="1" ht="12.75" customHeight="1">
      <c r="A667" s="680"/>
      <c r="B667" s="537"/>
      <c r="C667" s="537"/>
      <c r="D667" s="664"/>
      <c r="E667" s="2366"/>
      <c r="F667" s="2366"/>
      <c r="G667" s="2366"/>
      <c r="H667" s="2366"/>
      <c r="I667" s="2366"/>
      <c r="J667" s="2366"/>
      <c r="K667" s="2366"/>
      <c r="L667" s="2366"/>
      <c r="M667" s="2366"/>
      <c r="N667" s="2366"/>
      <c r="O667" s="2366"/>
      <c r="P667" s="2366"/>
      <c r="Q667" s="2366"/>
      <c r="R667" s="2366"/>
      <c r="S667" s="2366"/>
      <c r="T667" s="2366"/>
      <c r="U667" s="2366"/>
      <c r="V667" s="2366"/>
      <c r="W667" s="2366"/>
      <c r="X667" s="2366"/>
      <c r="Y667" s="2366"/>
      <c r="Z667" s="2366"/>
      <c r="AA667" s="2366"/>
      <c r="AB667" s="2366"/>
      <c r="AC667" s="2366"/>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366" t="s">
        <v>1421</v>
      </c>
      <c r="F669" s="2366"/>
      <c r="G669" s="2366"/>
      <c r="H669" s="2366"/>
      <c r="I669" s="2366"/>
      <c r="J669" s="2366"/>
      <c r="K669" s="2366"/>
      <c r="L669" s="2366"/>
      <c r="M669" s="2366"/>
      <c r="N669" s="2366"/>
      <c r="O669" s="2366"/>
      <c r="P669" s="2366"/>
      <c r="Q669" s="2366"/>
      <c r="R669" s="2366"/>
      <c r="S669" s="2366"/>
      <c r="T669" s="2366"/>
      <c r="U669" s="2366"/>
      <c r="V669" s="2366"/>
      <c r="W669" s="2366"/>
      <c r="X669" s="2366"/>
      <c r="Y669" s="2366"/>
      <c r="Z669" s="2366"/>
      <c r="AA669" s="2366"/>
      <c r="AB669" s="2366"/>
      <c r="AC669" s="2366"/>
      <c r="AD669" s="537"/>
      <c r="AE669" s="537"/>
      <c r="AF669" s="2466" t="s">
        <v>1399</v>
      </c>
      <c r="AG669" s="2466"/>
      <c r="AH669" s="2466"/>
      <c r="AI669" s="2466"/>
      <c r="AJ669" s="2466"/>
      <c r="AK669" s="2466"/>
      <c r="AL669" s="2466"/>
      <c r="AN669" s="598"/>
    </row>
    <row r="670" spans="1:42" s="551" customFormat="1" ht="12.75" customHeight="1">
      <c r="A670" s="671"/>
      <c r="B670" s="537"/>
      <c r="C670" s="948"/>
      <c r="D670" s="664"/>
      <c r="E670" s="2366"/>
      <c r="F670" s="2366"/>
      <c r="G670" s="2366"/>
      <c r="H670" s="2366"/>
      <c r="I670" s="2366"/>
      <c r="J670" s="2366"/>
      <c r="K670" s="2366"/>
      <c r="L670" s="2366"/>
      <c r="M670" s="2366"/>
      <c r="N670" s="2366"/>
      <c r="O670" s="2366"/>
      <c r="P670" s="2366"/>
      <c r="Q670" s="2366"/>
      <c r="R670" s="2366"/>
      <c r="S670" s="2366"/>
      <c r="T670" s="2366"/>
      <c r="U670" s="2366"/>
      <c r="V670" s="2366"/>
      <c r="W670" s="2366"/>
      <c r="X670" s="2366"/>
      <c r="Y670" s="2366"/>
      <c r="Z670" s="2366"/>
      <c r="AA670" s="2366"/>
      <c r="AB670" s="2366"/>
      <c r="AC670" s="236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66"/>
      <c r="F671" s="2366"/>
      <c r="G671" s="2366"/>
      <c r="H671" s="2366"/>
      <c r="I671" s="2366"/>
      <c r="J671" s="2366"/>
      <c r="K671" s="2366"/>
      <c r="L671" s="2366"/>
      <c r="M671" s="2366"/>
      <c r="N671" s="2366"/>
      <c r="O671" s="2366"/>
      <c r="P671" s="2366"/>
      <c r="Q671" s="2366"/>
      <c r="R671" s="2366"/>
      <c r="S671" s="2366"/>
      <c r="T671" s="2366"/>
      <c r="U671" s="2366"/>
      <c r="V671" s="2366"/>
      <c r="W671" s="2366"/>
      <c r="X671" s="2366"/>
      <c r="Y671" s="2366"/>
      <c r="Z671" s="2366"/>
      <c r="AA671" s="2366"/>
      <c r="AB671" s="2366"/>
      <c r="AC671" s="236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66" t="s">
        <v>1422</v>
      </c>
      <c r="F673" s="2366"/>
      <c r="G673" s="2366"/>
      <c r="H673" s="2366"/>
      <c r="I673" s="2366"/>
      <c r="J673" s="2366"/>
      <c r="K673" s="2366"/>
      <c r="L673" s="2366"/>
      <c r="M673" s="2366"/>
      <c r="N673" s="2366"/>
      <c r="O673" s="2366"/>
      <c r="P673" s="2366"/>
      <c r="Q673" s="2366"/>
      <c r="R673" s="2366"/>
      <c r="S673" s="2366"/>
      <c r="T673" s="2366"/>
      <c r="U673" s="2366"/>
      <c r="V673" s="2366"/>
      <c r="W673" s="2366"/>
      <c r="X673" s="2366"/>
      <c r="Y673" s="2366"/>
      <c r="Z673" s="2366"/>
      <c r="AA673" s="2366"/>
      <c r="AB673" s="2366"/>
      <c r="AC673" s="2366"/>
      <c r="AD673" s="537"/>
      <c r="AE673" s="537"/>
      <c r="AF673" s="2466" t="s">
        <v>1352</v>
      </c>
      <c r="AG673" s="2466"/>
      <c r="AH673" s="2466"/>
      <c r="AI673" s="2466"/>
      <c r="AJ673" s="2466"/>
      <c r="AK673" s="2466"/>
      <c r="AL673" s="2466"/>
      <c r="AM673" s="597"/>
      <c r="AN673" s="598"/>
    </row>
    <row r="674" spans="1:42" s="551" customFormat="1" ht="12.75" customHeight="1">
      <c r="B674" s="537"/>
      <c r="C674" s="932"/>
      <c r="D674" s="664"/>
      <c r="E674" s="2366"/>
      <c r="F674" s="2366"/>
      <c r="G674" s="2366"/>
      <c r="H674" s="2366"/>
      <c r="I674" s="2366"/>
      <c r="J674" s="2366"/>
      <c r="K674" s="2366"/>
      <c r="L674" s="2366"/>
      <c r="M674" s="2366"/>
      <c r="N674" s="2366"/>
      <c r="O674" s="2366"/>
      <c r="P674" s="2366"/>
      <c r="Q674" s="2366"/>
      <c r="R674" s="2366"/>
      <c r="S674" s="2366"/>
      <c r="T674" s="2366"/>
      <c r="U674" s="2366"/>
      <c r="V674" s="2366"/>
      <c r="W674" s="2366"/>
      <c r="X674" s="2366"/>
      <c r="Y674" s="2366"/>
      <c r="Z674" s="2366"/>
      <c r="AA674" s="2366"/>
      <c r="AB674" s="2366"/>
      <c r="AC674" s="2366"/>
      <c r="AD674" s="537"/>
      <c r="AE674" s="537"/>
      <c r="AF674" s="537"/>
      <c r="AG674" s="537"/>
      <c r="AH674" s="537"/>
      <c r="AI674" s="537"/>
      <c r="AJ674" s="537"/>
      <c r="AK674" s="537"/>
      <c r="AL674" s="537"/>
      <c r="AM674" s="597"/>
      <c r="AN674" s="598"/>
    </row>
    <row r="675" spans="1:42" s="551" customFormat="1" ht="12.75" customHeight="1">
      <c r="B675" s="537"/>
      <c r="C675" s="932"/>
      <c r="D675" s="664"/>
      <c r="E675" s="2366"/>
      <c r="F675" s="2366"/>
      <c r="G675" s="2366"/>
      <c r="H675" s="2366"/>
      <c r="I675" s="2366"/>
      <c r="J675" s="2366"/>
      <c r="K675" s="2366"/>
      <c r="L675" s="2366"/>
      <c r="M675" s="2366"/>
      <c r="N675" s="2366"/>
      <c r="O675" s="2366"/>
      <c r="P675" s="2366"/>
      <c r="Q675" s="2366"/>
      <c r="R675" s="2366"/>
      <c r="S675" s="2366"/>
      <c r="T675" s="2366"/>
      <c r="U675" s="2366"/>
      <c r="V675" s="2366"/>
      <c r="W675" s="2366"/>
      <c r="X675" s="2366"/>
      <c r="Y675" s="2366"/>
      <c r="Z675" s="2366"/>
      <c r="AA675" s="2366"/>
      <c r="AB675" s="2366"/>
      <c r="AC675" s="236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66" t="s">
        <v>1423</v>
      </c>
      <c r="F677" s="2366"/>
      <c r="G677" s="2366"/>
      <c r="H677" s="2366"/>
      <c r="I677" s="2366"/>
      <c r="J677" s="2366"/>
      <c r="K677" s="2366"/>
      <c r="L677" s="2366"/>
      <c r="M677" s="2366"/>
      <c r="N677" s="2366"/>
      <c r="O677" s="2366"/>
      <c r="P677" s="2366"/>
      <c r="Q677" s="2366"/>
      <c r="R677" s="2366"/>
      <c r="S677" s="2366"/>
      <c r="T677" s="2366"/>
      <c r="U677" s="2366"/>
      <c r="V677" s="2366"/>
      <c r="W677" s="2366"/>
      <c r="X677" s="2366"/>
      <c r="Y677" s="2366"/>
      <c r="Z677" s="2366"/>
      <c r="AA677" s="2366"/>
      <c r="AB677" s="2366"/>
      <c r="AC677" s="2366"/>
      <c r="AD677" s="537"/>
      <c r="AE677" s="537"/>
      <c r="AF677" s="2466" t="s">
        <v>1408</v>
      </c>
      <c r="AG677" s="2466"/>
      <c r="AH677" s="2466"/>
      <c r="AI677" s="2466"/>
      <c r="AJ677" s="2466"/>
      <c r="AK677" s="2466"/>
      <c r="AL677" s="2466"/>
      <c r="AM677" s="597"/>
      <c r="AN677" s="598"/>
    </row>
    <row r="678" spans="1:42" s="551" customFormat="1" ht="12.75" customHeight="1">
      <c r="A678" s="680"/>
      <c r="B678" s="537"/>
      <c r="C678" s="932"/>
      <c r="D678" s="664"/>
      <c r="E678" s="2366"/>
      <c r="F678" s="2366"/>
      <c r="G678" s="2366"/>
      <c r="H678" s="2366"/>
      <c r="I678" s="2366"/>
      <c r="J678" s="2366"/>
      <c r="K678" s="2366"/>
      <c r="L678" s="2366"/>
      <c r="M678" s="2366"/>
      <c r="N678" s="2366"/>
      <c r="O678" s="2366"/>
      <c r="P678" s="2366"/>
      <c r="Q678" s="2366"/>
      <c r="R678" s="2366"/>
      <c r="S678" s="2366"/>
      <c r="T678" s="2366"/>
      <c r="U678" s="2366"/>
      <c r="V678" s="2366"/>
      <c r="W678" s="2366"/>
      <c r="X678" s="2366"/>
      <c r="Y678" s="2366"/>
      <c r="Z678" s="2366"/>
      <c r="AA678" s="2366"/>
      <c r="AB678" s="2366"/>
      <c r="AC678" s="236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66"/>
      <c r="F679" s="2366"/>
      <c r="G679" s="2366"/>
      <c r="H679" s="2366"/>
      <c r="I679" s="2366"/>
      <c r="J679" s="2366"/>
      <c r="K679" s="2366"/>
      <c r="L679" s="2366"/>
      <c r="M679" s="2366"/>
      <c r="N679" s="2366"/>
      <c r="O679" s="2366"/>
      <c r="P679" s="2366"/>
      <c r="Q679" s="2366"/>
      <c r="R679" s="2366"/>
      <c r="S679" s="2366"/>
      <c r="T679" s="2366"/>
      <c r="U679" s="2366"/>
      <c r="V679" s="2366"/>
      <c r="W679" s="2366"/>
      <c r="X679" s="2366"/>
      <c r="Y679" s="2366"/>
      <c r="Z679" s="2366"/>
      <c r="AA679" s="2366"/>
      <c r="AB679" s="2366"/>
      <c r="AC679" s="236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366" t="s">
        <v>1424</v>
      </c>
      <c r="F681" s="2366"/>
      <c r="G681" s="2366"/>
      <c r="H681" s="2366"/>
      <c r="I681" s="2366"/>
      <c r="J681" s="2366"/>
      <c r="K681" s="2366"/>
      <c r="L681" s="2366"/>
      <c r="M681" s="2366"/>
      <c r="N681" s="2366"/>
      <c r="O681" s="2366"/>
      <c r="P681" s="2366"/>
      <c r="Q681" s="2366"/>
      <c r="R681" s="2366"/>
      <c r="S681" s="2366"/>
      <c r="T681" s="2366"/>
      <c r="U681" s="2366"/>
      <c r="V681" s="2366"/>
      <c r="W681" s="2366"/>
      <c r="X681" s="2366"/>
      <c r="Y681" s="2366"/>
      <c r="Z681" s="2366"/>
      <c r="AA681" s="2366"/>
      <c r="AB681" s="2366"/>
      <c r="AC681" s="2366"/>
      <c r="AD681" s="537"/>
      <c r="AE681" s="537"/>
      <c r="AF681" s="2466" t="s">
        <v>1425</v>
      </c>
      <c r="AG681" s="2466"/>
      <c r="AH681" s="2466"/>
      <c r="AI681" s="2466"/>
      <c r="AJ681" s="2466"/>
      <c r="AK681" s="2466"/>
      <c r="AL681" s="2466"/>
      <c r="AM681" s="597"/>
      <c r="AN681" s="598"/>
      <c r="AO681" s="612" t="s">
        <v>687</v>
      </c>
      <c r="AP681" s="551">
        <v>3</v>
      </c>
    </row>
    <row r="682" spans="1:42" s="551" customFormat="1" ht="12.75" customHeight="1">
      <c r="A682" s="680"/>
      <c r="B682" s="537"/>
      <c r="C682" s="932"/>
      <c r="D682" s="664"/>
      <c r="E682" s="2366"/>
      <c r="F682" s="2366"/>
      <c r="G682" s="2366"/>
      <c r="H682" s="2366"/>
      <c r="I682" s="2366"/>
      <c r="J682" s="2366"/>
      <c r="K682" s="2366"/>
      <c r="L682" s="2366"/>
      <c r="M682" s="2366"/>
      <c r="N682" s="2366"/>
      <c r="O682" s="2366"/>
      <c r="P682" s="2366"/>
      <c r="Q682" s="2366"/>
      <c r="R682" s="2366"/>
      <c r="S682" s="2366"/>
      <c r="T682" s="2366"/>
      <c r="U682" s="2366"/>
      <c r="V682" s="2366"/>
      <c r="W682" s="2366"/>
      <c r="X682" s="2366"/>
      <c r="Y682" s="2366"/>
      <c r="Z682" s="2366"/>
      <c r="AA682" s="2366"/>
      <c r="AB682" s="2366"/>
      <c r="AC682" s="2366"/>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366"/>
      <c r="F683" s="2366"/>
      <c r="G683" s="2366"/>
      <c r="H683" s="2366"/>
      <c r="I683" s="2366"/>
      <c r="J683" s="2366"/>
      <c r="K683" s="2366"/>
      <c r="L683" s="2366"/>
      <c r="M683" s="2366"/>
      <c r="N683" s="2366"/>
      <c r="O683" s="2366"/>
      <c r="P683" s="2366"/>
      <c r="Q683" s="2366"/>
      <c r="R683" s="2366"/>
      <c r="S683" s="2366"/>
      <c r="T683" s="2366"/>
      <c r="U683" s="2366"/>
      <c r="V683" s="2366"/>
      <c r="W683" s="2366"/>
      <c r="X683" s="2366"/>
      <c r="Y683" s="2366"/>
      <c r="Z683" s="2366"/>
      <c r="AA683" s="2366"/>
      <c r="AB683" s="2366"/>
      <c r="AC683" s="236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90" t="s">
        <v>509</v>
      </c>
      <c r="I685" s="2390"/>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73">
        <f>VLOOKUP($H$685,$AO$633:$AP$640,2,FALSE)</f>
        <v>4</v>
      </c>
      <c r="AK687" s="237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20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96</v>
      </c>
    </row>
    <row r="691" spans="1:51" s="551" customFormat="1" ht="12.75" customHeight="1">
      <c r="A691" s="680"/>
      <c r="B691" s="537"/>
      <c r="C691" s="949"/>
      <c r="D691" s="664" t="s">
        <v>687</v>
      </c>
      <c r="E691" s="2336" t="s">
        <v>2191</v>
      </c>
      <c r="F691" s="2336"/>
      <c r="G691" s="2336"/>
      <c r="H691" s="2336"/>
      <c r="I691" s="2336"/>
      <c r="J691" s="2336"/>
      <c r="K691" s="2336"/>
      <c r="L691" s="2336"/>
      <c r="M691" s="2336"/>
      <c r="N691" s="2336"/>
      <c r="O691" s="2336"/>
      <c r="P691" s="2336"/>
      <c r="Q691" s="2336"/>
      <c r="R691" s="2336"/>
      <c r="S691" s="2336"/>
      <c r="T691" s="2336"/>
      <c r="U691" s="2336"/>
      <c r="V691" s="2336"/>
      <c r="W691" s="2336"/>
      <c r="X691" s="2336"/>
      <c r="Y691" s="2336"/>
      <c r="Z691" s="2336"/>
      <c r="AA691" s="2336"/>
      <c r="AB691" s="2336"/>
      <c r="AC691" s="537"/>
      <c r="AD691" s="537"/>
      <c r="AE691" s="537"/>
      <c r="AF691" s="2466" t="s">
        <v>1352</v>
      </c>
      <c r="AG691" s="2466"/>
      <c r="AH691" s="2466"/>
      <c r="AI691" s="2466"/>
      <c r="AJ691" s="2466"/>
      <c r="AK691" s="2466"/>
      <c r="AL691" s="2466"/>
      <c r="AN691" s="598"/>
      <c r="AW691" s="22" t="s">
        <v>2186</v>
      </c>
      <c r="AX691" s="551">
        <f>Application!DE753</f>
        <v>0</v>
      </c>
    </row>
    <row r="692" spans="1:51" s="551" customFormat="1" ht="12.75" customHeight="1">
      <c r="A692" s="680"/>
      <c r="B692" s="537"/>
      <c r="C692" s="949"/>
      <c r="D692" s="664"/>
      <c r="E692" s="2336"/>
      <c r="F692" s="2336"/>
      <c r="G692" s="2336"/>
      <c r="H692" s="2336"/>
      <c r="I692" s="2336"/>
      <c r="J692" s="2336"/>
      <c r="K692" s="2336"/>
      <c r="L692" s="2336"/>
      <c r="M692" s="2336"/>
      <c r="N692" s="2336"/>
      <c r="O692" s="2336"/>
      <c r="P692" s="2336"/>
      <c r="Q692" s="2336"/>
      <c r="R692" s="2336"/>
      <c r="S692" s="2336"/>
      <c r="T692" s="2336"/>
      <c r="U692" s="2336"/>
      <c r="V692" s="2336"/>
      <c r="W692" s="2336"/>
      <c r="X692" s="2336"/>
      <c r="Y692" s="2336"/>
      <c r="Z692" s="2336"/>
      <c r="AA692" s="2336"/>
      <c r="AB692" s="2336"/>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366" t="s">
        <v>2135</v>
      </c>
      <c r="F694" s="2366"/>
      <c r="G694" s="2366"/>
      <c r="H694" s="2366"/>
      <c r="I694" s="2366"/>
      <c r="J694" s="2366"/>
      <c r="K694" s="2366"/>
      <c r="L694" s="2366"/>
      <c r="M694" s="2366"/>
      <c r="N694" s="2366"/>
      <c r="O694" s="2366"/>
      <c r="P694" s="2366"/>
      <c r="Q694" s="2366"/>
      <c r="R694" s="2366"/>
      <c r="S694" s="2366"/>
      <c r="T694" s="2366"/>
      <c r="U694" s="2366"/>
      <c r="V694" s="2366"/>
      <c r="W694" s="2366"/>
      <c r="X694" s="2366"/>
      <c r="Y694" s="2366"/>
      <c r="Z694" s="2366"/>
      <c r="AA694" s="2366"/>
      <c r="AB694" s="2366"/>
      <c r="AC694" s="537"/>
      <c r="AD694" s="537"/>
      <c r="AE694" s="537"/>
      <c r="AF694" s="2466" t="s">
        <v>1352</v>
      </c>
      <c r="AG694" s="2466"/>
      <c r="AH694" s="2466"/>
      <c r="AI694" s="2466"/>
      <c r="AJ694" s="2466"/>
      <c r="AK694" s="2466"/>
      <c r="AL694" s="2466"/>
      <c r="AN694" s="598"/>
      <c r="AW694" s="22" t="s">
        <v>2189</v>
      </c>
      <c r="AX694" s="551">
        <f>AX691+AX692+AX693</f>
        <v>0</v>
      </c>
    </row>
    <row r="695" spans="1:51" s="551" customFormat="1" ht="12.75" customHeight="1">
      <c r="B695" s="537"/>
      <c r="C695" s="941"/>
      <c r="D695" s="664"/>
      <c r="E695" s="2366"/>
      <c r="F695" s="2366"/>
      <c r="G695" s="2366"/>
      <c r="H695" s="2366"/>
      <c r="I695" s="2366"/>
      <c r="J695" s="2366"/>
      <c r="K695" s="2366"/>
      <c r="L695" s="2366"/>
      <c r="M695" s="2366"/>
      <c r="N695" s="2366"/>
      <c r="O695" s="2366"/>
      <c r="P695" s="2366"/>
      <c r="Q695" s="2366"/>
      <c r="R695" s="2366"/>
      <c r="S695" s="2366"/>
      <c r="T695" s="2366"/>
      <c r="U695" s="2366"/>
      <c r="V695" s="2366"/>
      <c r="W695" s="2366"/>
      <c r="X695" s="2366"/>
      <c r="Y695" s="2366"/>
      <c r="Z695" s="2366"/>
      <c r="AA695" s="2366"/>
      <c r="AB695" s="2366"/>
      <c r="AC695" s="537"/>
      <c r="AD695" s="537"/>
      <c r="AE695" s="617"/>
      <c r="AF695" s="537"/>
      <c r="AG695" s="537"/>
      <c r="AH695" s="537"/>
      <c r="AI695" s="537"/>
      <c r="AJ695" s="537"/>
      <c r="AK695" s="537"/>
      <c r="AL695" s="537"/>
      <c r="AN695" s="598"/>
      <c r="AO695" s="2380" t="b">
        <f>IF(Application!D211="Special Needs",IF(AY695&gt;=0.25,TRUE,FALSE),IF(AX695&gt;=0.25,TRUE,FALSE))</f>
        <v>0</v>
      </c>
      <c r="AP695" s="2380"/>
      <c r="AW695" s="22" t="s">
        <v>2190</v>
      </c>
      <c r="AX695" s="551">
        <f>IFERROR(AX694/AX690,0)</f>
        <v>0</v>
      </c>
      <c r="AY695" s="551">
        <f>IFERROR(AX694/(AX690-AX689),0)</f>
        <v>0</v>
      </c>
    </row>
    <row r="696" spans="1:51" s="551" customFormat="1" ht="12.75" customHeight="1">
      <c r="B696" s="537"/>
      <c r="C696" s="941"/>
      <c r="E696" s="2366"/>
      <c r="F696" s="2366"/>
      <c r="G696" s="2366"/>
      <c r="H696" s="2366"/>
      <c r="I696" s="2366"/>
      <c r="J696" s="2366"/>
      <c r="K696" s="2366"/>
      <c r="L696" s="2366"/>
      <c r="M696" s="2366"/>
      <c r="N696" s="2366"/>
      <c r="O696" s="2366"/>
      <c r="P696" s="2366"/>
      <c r="Q696" s="2366"/>
      <c r="R696" s="2366"/>
      <c r="S696" s="2366"/>
      <c r="T696" s="2366"/>
      <c r="U696" s="2366"/>
      <c r="V696" s="2366"/>
      <c r="W696" s="2366"/>
      <c r="X696" s="2366"/>
      <c r="Y696" s="2366"/>
      <c r="Z696" s="2366"/>
      <c r="AA696" s="2366"/>
      <c r="AB696" s="2366"/>
      <c r="AC696" s="537"/>
      <c r="AD696" s="537"/>
      <c r="AE696" s="617"/>
      <c r="AF696" s="617"/>
      <c r="AG696" s="617"/>
      <c r="AH696" s="617"/>
      <c r="AI696" s="617"/>
      <c r="AJ696" s="617"/>
      <c r="AK696" s="617"/>
      <c r="AL696" s="617"/>
      <c r="AN696" s="598"/>
      <c r="AW696" s="14"/>
    </row>
    <row r="697" spans="1:51" s="551" customFormat="1" ht="28.5" customHeight="1">
      <c r="B697" s="537"/>
      <c r="C697" s="941"/>
      <c r="D697" s="537"/>
      <c r="E697" s="2366"/>
      <c r="F697" s="2366"/>
      <c r="G697" s="2366"/>
      <c r="H697" s="2366"/>
      <c r="I697" s="2366"/>
      <c r="J697" s="2366"/>
      <c r="K697" s="2366"/>
      <c r="L697" s="2366"/>
      <c r="M697" s="2366"/>
      <c r="N697" s="2366"/>
      <c r="O697" s="2366"/>
      <c r="P697" s="2366"/>
      <c r="Q697" s="2366"/>
      <c r="R697" s="2366"/>
      <c r="S697" s="2366"/>
      <c r="T697" s="2366"/>
      <c r="U697" s="2366"/>
      <c r="V697" s="2366"/>
      <c r="W697" s="2366"/>
      <c r="X697" s="2366"/>
      <c r="Y697" s="2366"/>
      <c r="Z697" s="2366"/>
      <c r="AA697" s="2366"/>
      <c r="AB697" s="2366"/>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366" t="s">
        <v>2136</v>
      </c>
      <c r="F699" s="2366"/>
      <c r="G699" s="2366"/>
      <c r="H699" s="2366"/>
      <c r="I699" s="2366"/>
      <c r="J699" s="2366"/>
      <c r="K699" s="2366"/>
      <c r="L699" s="2366"/>
      <c r="M699" s="2366"/>
      <c r="N699" s="2366"/>
      <c r="O699" s="2366"/>
      <c r="P699" s="2366"/>
      <c r="Q699" s="2366"/>
      <c r="R699" s="2366"/>
      <c r="S699" s="2366"/>
      <c r="T699" s="2366"/>
      <c r="U699" s="2366"/>
      <c r="V699" s="2366"/>
      <c r="W699" s="2366"/>
      <c r="X699" s="2366"/>
      <c r="Y699" s="2366"/>
      <c r="Z699" s="2366"/>
      <c r="AA699" s="2366"/>
      <c r="AB699" s="2366"/>
      <c r="AC699" s="537"/>
      <c r="AD699" s="537"/>
      <c r="AE699" s="537"/>
      <c r="AF699" s="2466" t="s">
        <v>1408</v>
      </c>
      <c r="AG699" s="2466"/>
      <c r="AH699" s="2466"/>
      <c r="AI699" s="2466"/>
      <c r="AJ699" s="2466"/>
      <c r="AK699" s="2466"/>
      <c r="AL699" s="2466"/>
      <c r="AN699" s="598"/>
      <c r="AO699" s="612" t="s">
        <v>509</v>
      </c>
      <c r="AP699" s="551">
        <v>1</v>
      </c>
    </row>
    <row r="700" spans="1:51" s="551" customFormat="1" ht="12" customHeight="1">
      <c r="B700" s="537"/>
      <c r="C700" s="932"/>
      <c r="E700" s="2366"/>
      <c r="F700" s="2366"/>
      <c r="G700" s="2366"/>
      <c r="H700" s="2366"/>
      <c r="I700" s="2366"/>
      <c r="J700" s="2366"/>
      <c r="K700" s="2366"/>
      <c r="L700" s="2366"/>
      <c r="M700" s="2366"/>
      <c r="N700" s="2366"/>
      <c r="O700" s="2366"/>
      <c r="P700" s="2366"/>
      <c r="Q700" s="2366"/>
      <c r="R700" s="2366"/>
      <c r="S700" s="2366"/>
      <c r="T700" s="2366"/>
      <c r="U700" s="2366"/>
      <c r="V700" s="2366"/>
      <c r="W700" s="2366"/>
      <c r="X700" s="2366"/>
      <c r="Y700" s="2366"/>
      <c r="Z700" s="2366"/>
      <c r="AA700" s="2366"/>
      <c r="AB700" s="2366"/>
      <c r="AC700" s="537"/>
      <c r="AD700" s="537"/>
      <c r="AE700" s="617"/>
      <c r="AF700" s="537"/>
      <c r="AG700" s="537"/>
      <c r="AH700" s="537"/>
      <c r="AI700" s="537"/>
      <c r="AJ700" s="537"/>
      <c r="AK700" s="537"/>
      <c r="AL700" s="537"/>
      <c r="AN700" s="598"/>
    </row>
    <row r="701" spans="1:51" s="551" customFormat="1" ht="12" customHeight="1">
      <c r="B701" s="537"/>
      <c r="C701" s="932"/>
      <c r="D701" s="537"/>
      <c r="E701" s="2366"/>
      <c r="F701" s="2366"/>
      <c r="G701" s="2366"/>
      <c r="H701" s="2366"/>
      <c r="I701" s="2366"/>
      <c r="J701" s="2366"/>
      <c r="K701" s="2366"/>
      <c r="L701" s="2366"/>
      <c r="M701" s="2366"/>
      <c r="N701" s="2366"/>
      <c r="O701" s="2366"/>
      <c r="P701" s="2366"/>
      <c r="Q701" s="2366"/>
      <c r="R701" s="2366"/>
      <c r="S701" s="2366"/>
      <c r="T701" s="2366"/>
      <c r="U701" s="2366"/>
      <c r="V701" s="2366"/>
      <c r="W701" s="2366"/>
      <c r="X701" s="2366"/>
      <c r="Y701" s="2366"/>
      <c r="Z701" s="2366"/>
      <c r="AA701" s="2366"/>
      <c r="AB701" s="2366"/>
      <c r="AC701" s="537"/>
      <c r="AD701" s="537"/>
      <c r="AE701" s="617"/>
      <c r="AF701" s="537"/>
      <c r="AG701" s="537"/>
      <c r="AH701" s="537"/>
      <c r="AI701" s="537"/>
      <c r="AJ701" s="537"/>
      <c r="AK701" s="537"/>
      <c r="AL701" s="537"/>
      <c r="AN701" s="598"/>
    </row>
    <row r="702" spans="1:51" s="551" customFormat="1" ht="12" customHeight="1">
      <c r="B702" s="537"/>
      <c r="C702" s="932"/>
      <c r="D702" s="537"/>
      <c r="E702" s="2366"/>
      <c r="F702" s="2366"/>
      <c r="G702" s="2366"/>
      <c r="H702" s="2366"/>
      <c r="I702" s="2366"/>
      <c r="J702" s="2366"/>
      <c r="K702" s="2366"/>
      <c r="L702" s="2366"/>
      <c r="M702" s="2366"/>
      <c r="N702" s="2366"/>
      <c r="O702" s="2366"/>
      <c r="P702" s="2366"/>
      <c r="Q702" s="2366"/>
      <c r="R702" s="2366"/>
      <c r="S702" s="2366"/>
      <c r="T702" s="2366"/>
      <c r="U702" s="2366"/>
      <c r="V702" s="2366"/>
      <c r="W702" s="2366"/>
      <c r="X702" s="2366"/>
      <c r="Y702" s="2366"/>
      <c r="Z702" s="2366"/>
      <c r="AA702" s="2366"/>
      <c r="AB702" s="2366"/>
      <c r="AC702" s="537"/>
      <c r="AD702" s="537"/>
      <c r="AE702" s="617"/>
      <c r="AF702" s="537"/>
      <c r="AG702" s="537"/>
      <c r="AH702" s="537"/>
      <c r="AI702" s="537"/>
      <c r="AJ702" s="537"/>
      <c r="AK702" s="537"/>
      <c r="AL702" s="537"/>
      <c r="AN702" s="598"/>
    </row>
    <row r="703" spans="1:51" s="571" customFormat="1" ht="12.95" customHeight="1">
      <c r="A703" s="551"/>
      <c r="B703" s="537"/>
      <c r="C703" s="932"/>
      <c r="D703" s="537"/>
      <c r="E703" s="2366"/>
      <c r="F703" s="2366"/>
      <c r="G703" s="2366"/>
      <c r="H703" s="2366"/>
      <c r="I703" s="2366"/>
      <c r="J703" s="2366"/>
      <c r="K703" s="2366"/>
      <c r="L703" s="2366"/>
      <c r="M703" s="2366"/>
      <c r="N703" s="2366"/>
      <c r="O703" s="2366"/>
      <c r="P703" s="2366"/>
      <c r="Q703" s="2366"/>
      <c r="R703" s="2366"/>
      <c r="S703" s="2366"/>
      <c r="T703" s="2366"/>
      <c r="U703" s="2366"/>
      <c r="V703" s="2366"/>
      <c r="W703" s="2366"/>
      <c r="X703" s="2366"/>
      <c r="Y703" s="2366"/>
      <c r="Z703" s="2366"/>
      <c r="AA703" s="2366"/>
      <c r="AB703" s="2366"/>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366" t="s">
        <v>1693</v>
      </c>
      <c r="F705" s="2366"/>
      <c r="G705" s="2366"/>
      <c r="H705" s="2366"/>
      <c r="I705" s="2366"/>
      <c r="J705" s="2366"/>
      <c r="K705" s="2366"/>
      <c r="L705" s="2366"/>
      <c r="M705" s="2366"/>
      <c r="N705" s="2366"/>
      <c r="O705" s="2366"/>
      <c r="P705" s="2366"/>
      <c r="Q705" s="2366"/>
      <c r="R705" s="2366"/>
      <c r="S705" s="2366"/>
      <c r="T705" s="2366"/>
      <c r="U705" s="2366"/>
      <c r="V705" s="2366"/>
      <c r="W705" s="2366"/>
      <c r="X705" s="2366"/>
      <c r="Y705" s="2366"/>
      <c r="Z705" s="2366"/>
      <c r="AA705" s="2366"/>
      <c r="AB705" s="2366"/>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366"/>
      <c r="F706" s="2366"/>
      <c r="G706" s="2366"/>
      <c r="H706" s="2366"/>
      <c r="I706" s="2366"/>
      <c r="J706" s="2366"/>
      <c r="K706" s="2366"/>
      <c r="L706" s="2366"/>
      <c r="M706" s="2366"/>
      <c r="N706" s="2366"/>
      <c r="O706" s="2366"/>
      <c r="P706" s="2366"/>
      <c r="Q706" s="2366"/>
      <c r="R706" s="2366"/>
      <c r="S706" s="2366"/>
      <c r="T706" s="2366"/>
      <c r="U706" s="2366"/>
      <c r="V706" s="2366"/>
      <c r="W706" s="2366"/>
      <c r="X706" s="2366"/>
      <c r="Y706" s="2366"/>
      <c r="Z706" s="2366"/>
      <c r="AA706" s="2366"/>
      <c r="AB706" s="2366"/>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366"/>
      <c r="F707" s="2366"/>
      <c r="G707" s="2366"/>
      <c r="H707" s="2366"/>
      <c r="I707" s="2366"/>
      <c r="J707" s="2366"/>
      <c r="K707" s="2366"/>
      <c r="L707" s="2366"/>
      <c r="M707" s="2366"/>
      <c r="N707" s="2366"/>
      <c r="O707" s="2366"/>
      <c r="P707" s="2366"/>
      <c r="Q707" s="2366"/>
      <c r="R707" s="2366"/>
      <c r="S707" s="2366"/>
      <c r="T707" s="2366"/>
      <c r="U707" s="2366"/>
      <c r="V707" s="2366"/>
      <c r="W707" s="2366"/>
      <c r="X707" s="2366"/>
      <c r="Y707" s="2366"/>
      <c r="Z707" s="2366"/>
      <c r="AA707" s="2366"/>
      <c r="AB707" s="236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90" t="s">
        <v>687</v>
      </c>
      <c r="I709" s="2390"/>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73">
        <f>VLOOKUP($H$709,$AO$703:$AP$706,2,FALSE)</f>
        <v>3</v>
      </c>
      <c r="AK711" s="2375"/>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8" t="s">
        <v>1695</v>
      </c>
      <c r="F715" s="2478"/>
      <c r="G715" s="2478"/>
      <c r="H715" s="2478"/>
      <c r="I715" s="2478"/>
      <c r="J715" s="2478"/>
      <c r="K715" s="2478"/>
      <c r="L715" s="2478"/>
      <c r="M715" s="2478"/>
      <c r="N715" s="2478"/>
      <c r="O715" s="2478"/>
      <c r="P715" s="2478"/>
      <c r="Q715" s="2478"/>
      <c r="R715" s="2478"/>
      <c r="S715" s="2478"/>
      <c r="T715" s="2478"/>
      <c r="U715" s="2478"/>
      <c r="V715" s="2478"/>
      <c r="W715" s="2478"/>
      <c r="X715" s="2478"/>
      <c r="Y715" s="2478"/>
      <c r="Z715" s="2478"/>
      <c r="AA715" s="2478"/>
      <c r="AB715" s="2478"/>
      <c r="AC715" s="537"/>
      <c r="AD715" s="537"/>
      <c r="AE715" s="537"/>
      <c r="AF715" s="2466" t="s">
        <v>1352</v>
      </c>
      <c r="AG715" s="2466"/>
      <c r="AH715" s="2466"/>
      <c r="AI715" s="2466"/>
      <c r="AJ715" s="2466"/>
      <c r="AK715" s="2466"/>
      <c r="AL715" s="2466"/>
      <c r="AM715" s="551"/>
      <c r="AN715" s="685"/>
      <c r="AP715" s="571" t="s">
        <v>1432</v>
      </c>
    </row>
    <row r="716" spans="1:43" s="571" customFormat="1" ht="12" customHeight="1">
      <c r="A716" s="551"/>
      <c r="B716" s="537"/>
      <c r="C716" s="934"/>
      <c r="D716" s="664"/>
      <c r="E716" s="2478"/>
      <c r="F716" s="2478"/>
      <c r="G716" s="2478"/>
      <c r="H716" s="2478"/>
      <c r="I716" s="2478"/>
      <c r="J716" s="2478"/>
      <c r="K716" s="2478"/>
      <c r="L716" s="2478"/>
      <c r="M716" s="2478"/>
      <c r="N716" s="2478"/>
      <c r="O716" s="2478"/>
      <c r="P716" s="2478"/>
      <c r="Q716" s="2478"/>
      <c r="R716" s="2478"/>
      <c r="S716" s="2478"/>
      <c r="T716" s="2478"/>
      <c r="U716" s="2478"/>
      <c r="V716" s="2478"/>
      <c r="W716" s="2478"/>
      <c r="X716" s="2478"/>
      <c r="Y716" s="2478"/>
      <c r="Z716" s="2478"/>
      <c r="AA716" s="2478"/>
      <c r="AB716" s="2478"/>
      <c r="AC716" s="537"/>
      <c r="AD716" s="537"/>
      <c r="AE716" s="537"/>
      <c r="AF716" s="537"/>
      <c r="AG716" s="537"/>
      <c r="AH716" s="537"/>
      <c r="AI716" s="537"/>
      <c r="AJ716" s="537"/>
      <c r="AK716" s="537"/>
      <c r="AL716" s="537"/>
      <c r="AM716" s="551"/>
      <c r="AN716" s="685"/>
      <c r="AP716" s="571" t="s">
        <v>1433</v>
      </c>
    </row>
    <row r="717" spans="1:43" s="571" customFormat="1" ht="14.25" customHeight="1">
      <c r="A717" s="551"/>
      <c r="B717" s="611"/>
      <c r="C717" s="932"/>
      <c r="D717" s="664"/>
      <c r="E717" s="2478"/>
      <c r="F717" s="2478"/>
      <c r="G717" s="2478"/>
      <c r="H717" s="2478"/>
      <c r="I717" s="2478"/>
      <c r="J717" s="2478"/>
      <c r="K717" s="2478"/>
      <c r="L717" s="2478"/>
      <c r="M717" s="2478"/>
      <c r="N717" s="2478"/>
      <c r="O717" s="2478"/>
      <c r="P717" s="2478"/>
      <c r="Q717" s="2478"/>
      <c r="R717" s="2478"/>
      <c r="S717" s="2478"/>
      <c r="T717" s="2478"/>
      <c r="U717" s="2478"/>
      <c r="V717" s="2478"/>
      <c r="W717" s="2478"/>
      <c r="X717" s="2478"/>
      <c r="Y717" s="2478"/>
      <c r="Z717" s="2478"/>
      <c r="AA717" s="2478"/>
      <c r="AB717" s="2478"/>
      <c r="AC717" s="537"/>
      <c r="AD717" s="537"/>
      <c r="AE717" s="617"/>
      <c r="AF717" s="537"/>
      <c r="AG717" s="537"/>
      <c r="AH717" s="537"/>
      <c r="AI717" s="537"/>
      <c r="AJ717" s="537"/>
      <c r="AK717" s="537"/>
      <c r="AL717" s="537"/>
      <c r="AM717" s="551"/>
      <c r="AN717" s="685"/>
      <c r="AP717" s="571" t="s">
        <v>1434</v>
      </c>
    </row>
    <row r="718" spans="1:43" s="571" customFormat="1" ht="14.2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25" customHeight="1">
      <c r="A719" s="551"/>
      <c r="B719" s="537"/>
      <c r="C719" s="932"/>
      <c r="D719" s="664" t="s">
        <v>509</v>
      </c>
      <c r="E719" s="2479" t="s">
        <v>1435</v>
      </c>
      <c r="F719" s="2479"/>
      <c r="G719" s="2479"/>
      <c r="H719" s="2479"/>
      <c r="I719" s="2479"/>
      <c r="J719" s="2479"/>
      <c r="K719" s="2479"/>
      <c r="L719" s="2479"/>
      <c r="M719" s="2479"/>
      <c r="N719" s="2479"/>
      <c r="O719" s="2479"/>
      <c r="P719" s="2479"/>
      <c r="Q719" s="2479"/>
      <c r="R719" s="2479"/>
      <c r="S719" s="2479"/>
      <c r="T719" s="2479"/>
      <c r="U719" s="2479"/>
      <c r="V719" s="2479"/>
      <c r="W719" s="2479"/>
      <c r="X719" s="2479"/>
      <c r="Y719" s="2479"/>
      <c r="Z719" s="2479"/>
      <c r="AA719" s="2479"/>
      <c r="AB719" s="2479"/>
      <c r="AC719" s="537"/>
      <c r="AD719" s="537"/>
      <c r="AE719" s="537"/>
      <c r="AF719" s="2466" t="s">
        <v>1408</v>
      </c>
      <c r="AG719" s="2466"/>
      <c r="AH719" s="2466"/>
      <c r="AI719" s="2466"/>
      <c r="AJ719" s="2466"/>
      <c r="AK719" s="2466"/>
      <c r="AL719" s="2466"/>
      <c r="AM719" s="551"/>
      <c r="AN719" s="686"/>
    </row>
    <row r="720" spans="1:43" s="571" customFormat="1" ht="12.75" customHeight="1">
      <c r="A720" s="551"/>
      <c r="B720" s="537"/>
      <c r="C720" s="934"/>
      <c r="D720" s="537"/>
      <c r="E720" s="2479"/>
      <c r="F720" s="2479"/>
      <c r="G720" s="2479"/>
      <c r="H720" s="2479"/>
      <c r="I720" s="2479"/>
      <c r="J720" s="2479"/>
      <c r="K720" s="2479"/>
      <c r="L720" s="2479"/>
      <c r="M720" s="2479"/>
      <c r="N720" s="2479"/>
      <c r="O720" s="2479"/>
      <c r="P720" s="2479"/>
      <c r="Q720" s="2479"/>
      <c r="R720" s="2479"/>
      <c r="S720" s="2479"/>
      <c r="T720" s="2479"/>
      <c r="U720" s="2479"/>
      <c r="V720" s="2479"/>
      <c r="W720" s="2479"/>
      <c r="X720" s="2479"/>
      <c r="Y720" s="2479"/>
      <c r="Z720" s="2479"/>
      <c r="AA720" s="2479"/>
      <c r="AB720" s="2479"/>
      <c r="AC720" s="537"/>
      <c r="AD720" s="537"/>
      <c r="AE720" s="537"/>
      <c r="AF720" s="537"/>
      <c r="AG720" s="537"/>
      <c r="AH720" s="537"/>
      <c r="AI720" s="537"/>
      <c r="AJ720" s="537"/>
      <c r="AK720" s="537"/>
      <c r="AL720" s="537"/>
      <c r="AM720" s="551"/>
      <c r="AN720" s="685"/>
      <c r="AP720" s="551" t="s">
        <v>591</v>
      </c>
      <c r="AQ720" s="674">
        <v>0</v>
      </c>
    </row>
    <row r="721" spans="1:81" s="571" customFormat="1" ht="14.25" customHeight="1">
      <c r="A721" s="551"/>
      <c r="B721" s="537"/>
      <c r="C721" s="934"/>
      <c r="D721" s="537"/>
      <c r="E721" s="2479"/>
      <c r="F721" s="2479"/>
      <c r="G721" s="2479"/>
      <c r="H721" s="2479"/>
      <c r="I721" s="2479"/>
      <c r="J721" s="2479"/>
      <c r="K721" s="2479"/>
      <c r="L721" s="2479"/>
      <c r="M721" s="2479"/>
      <c r="N721" s="2479"/>
      <c r="O721" s="2479"/>
      <c r="P721" s="2479"/>
      <c r="Q721" s="2479"/>
      <c r="R721" s="2479"/>
      <c r="S721" s="2479"/>
      <c r="T721" s="2479"/>
      <c r="U721" s="2479"/>
      <c r="V721" s="2479"/>
      <c r="W721" s="2479"/>
      <c r="X721" s="2479"/>
      <c r="Y721" s="2479"/>
      <c r="Z721" s="2479"/>
      <c r="AA721" s="2479"/>
      <c r="AB721" s="2479"/>
      <c r="AC721" s="537"/>
      <c r="AD721" s="537"/>
      <c r="AE721" s="537"/>
      <c r="AF721" s="537"/>
      <c r="AG721" s="537"/>
      <c r="AH721" s="537"/>
      <c r="AI721" s="537"/>
      <c r="AJ721" s="537"/>
      <c r="AK721" s="537"/>
      <c r="AL721" s="537"/>
      <c r="AM721" s="551"/>
      <c r="AN721" s="685"/>
      <c r="AP721" s="612" t="s">
        <v>687</v>
      </c>
      <c r="AQ721" s="551">
        <v>3</v>
      </c>
    </row>
    <row r="722" spans="1:81" s="571" customFormat="1" ht="14.2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25" customHeight="1">
      <c r="A723" s="551"/>
      <c r="B723" s="537"/>
      <c r="C723" s="934"/>
      <c r="D723" s="537" t="s">
        <v>1400</v>
      </c>
      <c r="E723" s="937"/>
      <c r="F723" s="937"/>
      <c r="G723" s="937"/>
      <c r="H723" s="2390" t="s">
        <v>687</v>
      </c>
      <c r="I723" s="2390"/>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73">
        <f>VLOOKUP($H$723,$AP$720:$AQ$722,2,FALSE)</f>
        <v>3</v>
      </c>
      <c r="AK725" s="2375"/>
      <c r="AL725" s="596"/>
      <c r="AM725" s="551"/>
      <c r="AN725" s="685"/>
      <c r="AP725" s="2373"/>
      <c r="AQ725" s="237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366" t="s">
        <v>1696</v>
      </c>
      <c r="F729" s="2366"/>
      <c r="G729" s="2366"/>
      <c r="H729" s="2366"/>
      <c r="I729" s="2366"/>
      <c r="J729" s="2366"/>
      <c r="K729" s="2366"/>
      <c r="L729" s="2366"/>
      <c r="M729" s="2366"/>
      <c r="N729" s="2366"/>
      <c r="O729" s="2366"/>
      <c r="P729" s="2366"/>
      <c r="Q729" s="2366"/>
      <c r="R729" s="2366"/>
      <c r="S729" s="2366"/>
      <c r="T729" s="2366"/>
      <c r="U729" s="2366"/>
      <c r="V729" s="2366"/>
      <c r="W729" s="2366"/>
      <c r="X729" s="2366"/>
      <c r="Y729" s="2366"/>
      <c r="Z729" s="2366"/>
      <c r="AA729" s="2366"/>
      <c r="AB729" s="2366"/>
      <c r="AC729" s="537"/>
      <c r="AD729" s="537"/>
      <c r="AE729" s="537"/>
      <c r="AF729" s="2466" t="s">
        <v>1352</v>
      </c>
      <c r="AG729" s="2466"/>
      <c r="AH729" s="2466"/>
      <c r="AI729" s="2466"/>
      <c r="AJ729" s="2466"/>
      <c r="AK729" s="2466"/>
      <c r="AL729" s="2466"/>
      <c r="AM729" s="551"/>
      <c r="AN729" s="685"/>
      <c r="AT729" s="14"/>
      <c r="AU729" s="14"/>
      <c r="AV729" s="14"/>
      <c r="AW729" s="14"/>
      <c r="AX729" s="14"/>
      <c r="AY729" s="14"/>
      <c r="AZ729" s="14"/>
    </row>
    <row r="730" spans="1:81" s="571" customFormat="1">
      <c r="A730" s="551"/>
      <c r="B730" s="537"/>
      <c r="C730" s="934"/>
      <c r="D730" s="664"/>
      <c r="E730" s="2366"/>
      <c r="F730" s="2366"/>
      <c r="G730" s="2366"/>
      <c r="H730" s="2366"/>
      <c r="I730" s="2366"/>
      <c r="J730" s="2366"/>
      <c r="K730" s="2366"/>
      <c r="L730" s="2366"/>
      <c r="M730" s="2366"/>
      <c r="N730" s="2366"/>
      <c r="O730" s="2366"/>
      <c r="P730" s="2366"/>
      <c r="Q730" s="2366"/>
      <c r="R730" s="2366"/>
      <c r="S730" s="2366"/>
      <c r="T730" s="2366"/>
      <c r="U730" s="2366"/>
      <c r="V730" s="2366"/>
      <c r="W730" s="2366"/>
      <c r="X730" s="2366"/>
      <c r="Y730" s="2366"/>
      <c r="Z730" s="2366"/>
      <c r="AA730" s="2366"/>
      <c r="AB730" s="236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366" t="s">
        <v>1439</v>
      </c>
      <c r="F732" s="2366"/>
      <c r="G732" s="2366"/>
      <c r="H732" s="2366"/>
      <c r="I732" s="2366"/>
      <c r="J732" s="2366"/>
      <c r="K732" s="2366"/>
      <c r="L732" s="2366"/>
      <c r="M732" s="2366"/>
      <c r="N732" s="2366"/>
      <c r="O732" s="2366"/>
      <c r="P732" s="2366"/>
      <c r="Q732" s="2366"/>
      <c r="R732" s="2366"/>
      <c r="S732" s="2366"/>
      <c r="T732" s="2366"/>
      <c r="U732" s="2366"/>
      <c r="V732" s="2366"/>
      <c r="W732" s="2366"/>
      <c r="X732" s="2366"/>
      <c r="Y732" s="2366"/>
      <c r="Z732" s="2366"/>
      <c r="AA732" s="2366"/>
      <c r="AB732" s="2366"/>
      <c r="AC732" s="537"/>
      <c r="AD732" s="537"/>
      <c r="AE732" s="537"/>
      <c r="AF732" s="2466" t="s">
        <v>1408</v>
      </c>
      <c r="AG732" s="2466"/>
      <c r="AH732" s="2466"/>
      <c r="AI732" s="2466"/>
      <c r="AJ732" s="2466"/>
      <c r="AK732" s="2466"/>
      <c r="AL732" s="2466"/>
      <c r="AM732" s="551"/>
      <c r="AN732" s="685"/>
      <c r="AT732" s="14"/>
      <c r="AU732" s="14"/>
      <c r="AV732" s="14"/>
      <c r="AW732" s="14"/>
      <c r="AX732" s="14"/>
      <c r="AY732" s="14"/>
      <c r="AZ732" s="14"/>
    </row>
    <row r="733" spans="1:81" s="571" customFormat="1">
      <c r="A733" s="551"/>
      <c r="B733" s="537"/>
      <c r="C733" s="934"/>
      <c r="D733" s="537"/>
      <c r="E733" s="2366"/>
      <c r="F733" s="2366"/>
      <c r="G733" s="2366"/>
      <c r="H733" s="2366"/>
      <c r="I733" s="2366"/>
      <c r="J733" s="2366"/>
      <c r="K733" s="2366"/>
      <c r="L733" s="2366"/>
      <c r="M733" s="2366"/>
      <c r="N733" s="2366"/>
      <c r="O733" s="2366"/>
      <c r="P733" s="2366"/>
      <c r="Q733" s="2366"/>
      <c r="R733" s="2366"/>
      <c r="S733" s="2366"/>
      <c r="T733" s="2366"/>
      <c r="U733" s="2366"/>
      <c r="V733" s="2366"/>
      <c r="W733" s="2366"/>
      <c r="X733" s="2366"/>
      <c r="Y733" s="2366"/>
      <c r="Z733" s="2366"/>
      <c r="AA733" s="2366"/>
      <c r="AB733" s="236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90" t="s">
        <v>591</v>
      </c>
      <c r="I735" s="2390"/>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73">
        <f>VLOOKUP($H$735,$AO$666:$AP$668,2,FALSE)</f>
        <v>0</v>
      </c>
      <c r="AK737" s="237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366" t="s">
        <v>1442</v>
      </c>
      <c r="F741" s="2366"/>
      <c r="G741" s="2366"/>
      <c r="H741" s="2366"/>
      <c r="I741" s="2366"/>
      <c r="J741" s="2366"/>
      <c r="K741" s="2366"/>
      <c r="L741" s="2366"/>
      <c r="M741" s="2366"/>
      <c r="N741" s="2366"/>
      <c r="O741" s="2366"/>
      <c r="P741" s="2366"/>
      <c r="Q741" s="2366"/>
      <c r="R741" s="2366"/>
      <c r="S741" s="2366"/>
      <c r="T741" s="2366"/>
      <c r="U741" s="2366"/>
      <c r="V741" s="2366"/>
      <c r="W741" s="2366"/>
      <c r="X741" s="2366"/>
      <c r="Y741" s="2366"/>
      <c r="Z741" s="2366"/>
      <c r="AA741" s="2366"/>
      <c r="AB741" s="2366"/>
      <c r="AC741" s="537"/>
      <c r="AD741" s="537"/>
      <c r="AE741" s="537"/>
      <c r="AF741" s="2466" t="s">
        <v>1352</v>
      </c>
      <c r="AG741" s="2466"/>
      <c r="AH741" s="2466"/>
      <c r="AI741" s="2466"/>
      <c r="AJ741" s="2466"/>
      <c r="AK741" s="2466"/>
      <c r="AL741" s="2466"/>
      <c r="AM741" s="551"/>
      <c r="AN741" s="685"/>
      <c r="AT741" s="14"/>
      <c r="AU741" s="14"/>
      <c r="AV741" s="14"/>
      <c r="AW741" s="14"/>
      <c r="AX741" s="14"/>
      <c r="AY741" s="14"/>
      <c r="AZ741" s="14"/>
    </row>
    <row r="742" spans="1:81" s="571" customFormat="1">
      <c r="A742" s="551"/>
      <c r="B742" s="537"/>
      <c r="C742" s="932"/>
      <c r="D742" s="664"/>
      <c r="E742" s="2366"/>
      <c r="F742" s="2366"/>
      <c r="G742" s="2366"/>
      <c r="H742" s="2366"/>
      <c r="I742" s="2366"/>
      <c r="J742" s="2366"/>
      <c r="K742" s="2366"/>
      <c r="L742" s="2366"/>
      <c r="M742" s="2366"/>
      <c r="N742" s="2366"/>
      <c r="O742" s="2366"/>
      <c r="P742" s="2366"/>
      <c r="Q742" s="2366"/>
      <c r="R742" s="2366"/>
      <c r="S742" s="2366"/>
      <c r="T742" s="2366"/>
      <c r="U742" s="2366"/>
      <c r="V742" s="2366"/>
      <c r="W742" s="2366"/>
      <c r="X742" s="2366"/>
      <c r="Y742" s="2366"/>
      <c r="Z742" s="2366"/>
      <c r="AA742" s="2366"/>
      <c r="AB742" s="236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366"/>
      <c r="F743" s="2366"/>
      <c r="G743" s="2366"/>
      <c r="H743" s="2366"/>
      <c r="I743" s="2366"/>
      <c r="J743" s="2366"/>
      <c r="K743" s="2366"/>
      <c r="L743" s="2366"/>
      <c r="M743" s="2366"/>
      <c r="N743" s="2366"/>
      <c r="O743" s="2366"/>
      <c r="P743" s="2366"/>
      <c r="Q743" s="2366"/>
      <c r="R743" s="2366"/>
      <c r="S743" s="2366"/>
      <c r="T743" s="2366"/>
      <c r="U743" s="2366"/>
      <c r="V743" s="2366"/>
      <c r="W743" s="2366"/>
      <c r="X743" s="2366"/>
      <c r="Y743" s="2366"/>
      <c r="Z743" s="2366"/>
      <c r="AA743" s="2366"/>
      <c r="AB743" s="236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66"/>
      <c r="F744" s="2366"/>
      <c r="G744" s="2366"/>
      <c r="H744" s="2366"/>
      <c r="I744" s="2366"/>
      <c r="J744" s="2366"/>
      <c r="K744" s="2366"/>
      <c r="L744" s="2366"/>
      <c r="M744" s="2366"/>
      <c r="N744" s="2366"/>
      <c r="O744" s="2366"/>
      <c r="P744" s="2366"/>
      <c r="Q744" s="2366"/>
      <c r="R744" s="2366"/>
      <c r="S744" s="2366"/>
      <c r="T744" s="2366"/>
      <c r="U744" s="2366"/>
      <c r="V744" s="2366"/>
      <c r="W744" s="2366"/>
      <c r="X744" s="2366"/>
      <c r="Y744" s="2366"/>
      <c r="Z744" s="2366"/>
      <c r="AA744" s="2366"/>
      <c r="AB744" s="236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366" t="s">
        <v>1443</v>
      </c>
      <c r="F746" s="2366"/>
      <c r="G746" s="2366"/>
      <c r="H746" s="2366"/>
      <c r="I746" s="2366"/>
      <c r="J746" s="2366"/>
      <c r="K746" s="2366"/>
      <c r="L746" s="2366"/>
      <c r="M746" s="2366"/>
      <c r="N746" s="2366"/>
      <c r="O746" s="2366"/>
      <c r="P746" s="2366"/>
      <c r="Q746" s="2366"/>
      <c r="R746" s="2366"/>
      <c r="S746" s="2366"/>
      <c r="T746" s="2366"/>
      <c r="U746" s="2366"/>
      <c r="V746" s="2366"/>
      <c r="W746" s="2366"/>
      <c r="X746" s="2366"/>
      <c r="Y746" s="2366"/>
      <c r="Z746" s="2366"/>
      <c r="AA746" s="2366"/>
      <c r="AB746" s="576"/>
      <c r="AC746" s="537"/>
      <c r="AD746" s="537"/>
      <c r="AE746" s="537"/>
      <c r="AF746" s="2466" t="s">
        <v>1408</v>
      </c>
      <c r="AG746" s="2466"/>
      <c r="AH746" s="2466"/>
      <c r="AI746" s="2466"/>
      <c r="AJ746" s="2466"/>
      <c r="AK746" s="2466"/>
      <c r="AL746" s="2466"/>
      <c r="AM746" s="551"/>
      <c r="AN746" s="685"/>
      <c r="AO746" s="30"/>
      <c r="AP746" s="14"/>
    </row>
    <row r="747" spans="1:81" s="571" customFormat="1">
      <c r="A747" s="551"/>
      <c r="B747" s="537"/>
      <c r="C747" s="932"/>
      <c r="D747" s="664"/>
      <c r="E747" s="2366"/>
      <c r="F747" s="2366"/>
      <c r="G747" s="2366"/>
      <c r="H747" s="2366"/>
      <c r="I747" s="2366"/>
      <c r="J747" s="2366"/>
      <c r="K747" s="2366"/>
      <c r="L747" s="2366"/>
      <c r="M747" s="2366"/>
      <c r="N747" s="2366"/>
      <c r="O747" s="2366"/>
      <c r="P747" s="2366"/>
      <c r="Q747" s="2366"/>
      <c r="R747" s="2366"/>
      <c r="S747" s="2366"/>
      <c r="T747" s="2366"/>
      <c r="U747" s="2366"/>
      <c r="V747" s="2366"/>
      <c r="W747" s="2366"/>
      <c r="X747" s="2366"/>
      <c r="Y747" s="2366"/>
      <c r="Z747" s="2366"/>
      <c r="AA747" s="2366"/>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366"/>
      <c r="F748" s="2366"/>
      <c r="G748" s="2366"/>
      <c r="H748" s="2366"/>
      <c r="I748" s="2366"/>
      <c r="J748" s="2366"/>
      <c r="K748" s="2366"/>
      <c r="L748" s="2366"/>
      <c r="M748" s="2366"/>
      <c r="N748" s="2366"/>
      <c r="O748" s="2366"/>
      <c r="P748" s="2366"/>
      <c r="Q748" s="2366"/>
      <c r="R748" s="2366"/>
      <c r="S748" s="2366"/>
      <c r="T748" s="2366"/>
      <c r="U748" s="2366"/>
      <c r="V748" s="2366"/>
      <c r="W748" s="2366"/>
      <c r="X748" s="2366"/>
      <c r="Y748" s="2366"/>
      <c r="Z748" s="2366"/>
      <c r="AA748" s="2366"/>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366"/>
      <c r="F749" s="2366"/>
      <c r="G749" s="2366"/>
      <c r="H749" s="2366"/>
      <c r="I749" s="2366"/>
      <c r="J749" s="2366"/>
      <c r="K749" s="2366"/>
      <c r="L749" s="2366"/>
      <c r="M749" s="2366"/>
      <c r="N749" s="2366"/>
      <c r="O749" s="2366"/>
      <c r="P749" s="2366"/>
      <c r="Q749" s="2366"/>
      <c r="R749" s="2366"/>
      <c r="S749" s="2366"/>
      <c r="T749" s="2366"/>
      <c r="U749" s="2366"/>
      <c r="V749" s="2366"/>
      <c r="W749" s="2366"/>
      <c r="X749" s="2366"/>
      <c r="Y749" s="2366"/>
      <c r="Z749" s="2366"/>
      <c r="AA749" s="2366"/>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90" t="s">
        <v>687</v>
      </c>
      <c r="I751" s="2390"/>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73">
        <f>VLOOKUP($H$751,$AO$680:$AP$682,2,FALSE)</f>
        <v>3</v>
      </c>
      <c r="AK753" s="237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366" t="s">
        <v>1445</v>
      </c>
      <c r="F757" s="2366"/>
      <c r="G757" s="2366"/>
      <c r="H757" s="2366"/>
      <c r="I757" s="2366"/>
      <c r="J757" s="2366"/>
      <c r="K757" s="2366"/>
      <c r="L757" s="2366"/>
      <c r="M757" s="2366"/>
      <c r="N757" s="2366"/>
      <c r="O757" s="2366"/>
      <c r="P757" s="2366"/>
      <c r="Q757" s="2366"/>
      <c r="R757" s="2366"/>
      <c r="S757" s="2366"/>
      <c r="T757" s="2366"/>
      <c r="U757" s="2366"/>
      <c r="V757" s="2366"/>
      <c r="W757" s="2366"/>
      <c r="X757" s="2366"/>
      <c r="Y757" s="2366"/>
      <c r="Z757" s="2366"/>
      <c r="AA757" s="2366"/>
      <c r="AB757" s="2366"/>
      <c r="AC757" s="537"/>
      <c r="AD757" s="537"/>
      <c r="AE757" s="537"/>
      <c r="AF757" s="2466" t="s">
        <v>1408</v>
      </c>
      <c r="AG757" s="2466"/>
      <c r="AH757" s="2466"/>
      <c r="AI757" s="2466"/>
      <c r="AJ757" s="2466"/>
      <c r="AK757" s="2466"/>
      <c r="AL757" s="2466"/>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366"/>
      <c r="F758" s="2366"/>
      <c r="G758" s="2366"/>
      <c r="H758" s="2366"/>
      <c r="I758" s="2366"/>
      <c r="J758" s="2366"/>
      <c r="K758" s="2366"/>
      <c r="L758" s="2366"/>
      <c r="M758" s="2366"/>
      <c r="N758" s="2366"/>
      <c r="O758" s="2366"/>
      <c r="P758" s="2366"/>
      <c r="Q758" s="2366"/>
      <c r="R758" s="2366"/>
      <c r="S758" s="2366"/>
      <c r="T758" s="2366"/>
      <c r="U758" s="2366"/>
      <c r="V758" s="2366"/>
      <c r="W758" s="2366"/>
      <c r="X758" s="2366"/>
      <c r="Y758" s="2366"/>
      <c r="Z758" s="2366"/>
      <c r="AA758" s="2366"/>
      <c r="AB758" s="236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366" t="s">
        <v>1446</v>
      </c>
      <c r="F760" s="2366"/>
      <c r="G760" s="2366"/>
      <c r="H760" s="2366"/>
      <c r="I760" s="2366"/>
      <c r="J760" s="2366"/>
      <c r="K760" s="2366"/>
      <c r="L760" s="2366"/>
      <c r="M760" s="2366"/>
      <c r="N760" s="2366"/>
      <c r="O760" s="2366"/>
      <c r="P760" s="2366"/>
      <c r="Q760" s="2366"/>
      <c r="R760" s="2366"/>
      <c r="S760" s="2366"/>
      <c r="T760" s="2366"/>
      <c r="U760" s="2366"/>
      <c r="V760" s="2366"/>
      <c r="W760" s="2366"/>
      <c r="X760" s="2366"/>
      <c r="Y760" s="2366"/>
      <c r="Z760" s="2366"/>
      <c r="AA760" s="2366"/>
      <c r="AB760" s="2366"/>
      <c r="AC760" s="537"/>
      <c r="AD760" s="537"/>
      <c r="AE760" s="537"/>
      <c r="AF760" s="2466" t="s">
        <v>1425</v>
      </c>
      <c r="AG760" s="2466"/>
      <c r="AH760" s="2466"/>
      <c r="AI760" s="2466"/>
      <c r="AJ760" s="2466"/>
      <c r="AK760" s="2466"/>
      <c r="AL760" s="2466"/>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66"/>
      <c r="F761" s="2366"/>
      <c r="G761" s="2366"/>
      <c r="H761" s="2366"/>
      <c r="I761" s="2366"/>
      <c r="J761" s="2366"/>
      <c r="K761" s="2366"/>
      <c r="L761" s="2366"/>
      <c r="M761" s="2366"/>
      <c r="N761" s="2366"/>
      <c r="O761" s="2366"/>
      <c r="P761" s="2366"/>
      <c r="Q761" s="2366"/>
      <c r="R761" s="2366"/>
      <c r="S761" s="2366"/>
      <c r="T761" s="2366"/>
      <c r="U761" s="2366"/>
      <c r="V761" s="2366"/>
      <c r="W761" s="2366"/>
      <c r="X761" s="2366"/>
      <c r="Y761" s="2366"/>
      <c r="Z761" s="2366"/>
      <c r="AA761" s="2366"/>
      <c r="AB761" s="236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90" t="s">
        <v>687</v>
      </c>
      <c r="I763" s="2390"/>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2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73">
        <f>VLOOKUP($H$763,$AO$697:$AP$699,2,FALSE)</f>
        <v>2</v>
      </c>
      <c r="AK765" s="237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366" t="s">
        <v>1692</v>
      </c>
      <c r="F769" s="2366"/>
      <c r="G769" s="2366"/>
      <c r="H769" s="2366"/>
      <c r="I769" s="2366"/>
      <c r="J769" s="2366"/>
      <c r="K769" s="2366"/>
      <c r="L769" s="2366"/>
      <c r="M769" s="2366"/>
      <c r="N769" s="2366"/>
      <c r="O769" s="2366"/>
      <c r="P769" s="2366"/>
      <c r="Q769" s="2366"/>
      <c r="R769" s="2366"/>
      <c r="S769" s="2366"/>
      <c r="T769" s="2366"/>
      <c r="U769" s="2366"/>
      <c r="V769" s="2366"/>
      <c r="W769" s="2366"/>
      <c r="X769" s="2366"/>
      <c r="Y769" s="2366"/>
      <c r="Z769" s="2366"/>
      <c r="AA769" s="2366"/>
      <c r="AB769" s="2366"/>
      <c r="AC769" s="2366"/>
      <c r="AD769" s="2366"/>
      <c r="AE769" s="537"/>
      <c r="AF769" s="2466" t="s">
        <v>1408</v>
      </c>
      <c r="AG769" s="2466"/>
      <c r="AH769" s="2466"/>
      <c r="AI769" s="2466"/>
      <c r="AJ769" s="2466"/>
      <c r="AK769" s="2466"/>
      <c r="AL769" s="2466"/>
      <c r="AM769" s="614"/>
      <c r="AN769" s="685"/>
      <c r="AO769" s="551" t="s">
        <v>591</v>
      </c>
      <c r="AP769" s="674">
        <v>0</v>
      </c>
    </row>
    <row r="770" spans="1:81" s="571" customFormat="1" ht="13.7" customHeight="1">
      <c r="A770" s="551"/>
      <c r="B770" s="617"/>
      <c r="C770" s="941"/>
      <c r="D770" s="664"/>
      <c r="E770" s="2366"/>
      <c r="F770" s="2366"/>
      <c r="G770" s="2366"/>
      <c r="H770" s="2366"/>
      <c r="I770" s="2366"/>
      <c r="J770" s="2366"/>
      <c r="K770" s="2366"/>
      <c r="L770" s="2366"/>
      <c r="M770" s="2366"/>
      <c r="N770" s="2366"/>
      <c r="O770" s="2366"/>
      <c r="P770" s="2366"/>
      <c r="Q770" s="2366"/>
      <c r="R770" s="2366"/>
      <c r="S770" s="2366"/>
      <c r="T770" s="2366"/>
      <c r="U770" s="2366"/>
      <c r="V770" s="2366"/>
      <c r="W770" s="2366"/>
      <c r="X770" s="2366"/>
      <c r="Y770" s="2366"/>
      <c r="Z770" s="2366"/>
      <c r="AA770" s="2366"/>
      <c r="AB770" s="2366"/>
      <c r="AC770" s="2366"/>
      <c r="AD770" s="2366"/>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366"/>
      <c r="F771" s="2366"/>
      <c r="G771" s="2366"/>
      <c r="H771" s="2366"/>
      <c r="I771" s="2366"/>
      <c r="J771" s="2366"/>
      <c r="K771" s="2366"/>
      <c r="L771" s="2366"/>
      <c r="M771" s="2366"/>
      <c r="N771" s="2366"/>
      <c r="O771" s="2366"/>
      <c r="P771" s="2366"/>
      <c r="Q771" s="2366"/>
      <c r="R771" s="2366"/>
      <c r="S771" s="2366"/>
      <c r="T771" s="2366"/>
      <c r="U771" s="2366"/>
      <c r="V771" s="2366"/>
      <c r="W771" s="2366"/>
      <c r="X771" s="2366"/>
      <c r="Y771" s="2366"/>
      <c r="Z771" s="2366"/>
      <c r="AA771" s="2366"/>
      <c r="AB771" s="2366"/>
      <c r="AC771" s="2366"/>
      <c r="AD771" s="2366"/>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75" customHeight="1">
      <c r="A772" s="551"/>
      <c r="B772" s="617"/>
      <c r="C772" s="941"/>
      <c r="D772" s="664"/>
      <c r="E772" s="2366"/>
      <c r="F772" s="2366"/>
      <c r="G772" s="2366"/>
      <c r="H772" s="2366"/>
      <c r="I772" s="2366"/>
      <c r="J772" s="2366"/>
      <c r="K772" s="2366"/>
      <c r="L772" s="2366"/>
      <c r="M772" s="2366"/>
      <c r="N772" s="2366"/>
      <c r="O772" s="2366"/>
      <c r="P772" s="2366"/>
      <c r="Q772" s="2366"/>
      <c r="R772" s="2366"/>
      <c r="S772" s="2366"/>
      <c r="T772" s="2366"/>
      <c r="U772" s="2366"/>
      <c r="V772" s="2366"/>
      <c r="W772" s="2366"/>
      <c r="X772" s="2366"/>
      <c r="Y772" s="2366"/>
      <c r="Z772" s="2366"/>
      <c r="AA772" s="2366"/>
      <c r="AB772" s="2366"/>
      <c r="AC772" s="2366"/>
      <c r="AD772" s="236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7" t="s">
        <v>1697</v>
      </c>
      <c r="F774" s="2477"/>
      <c r="G774" s="2477"/>
      <c r="H774" s="2477"/>
      <c r="I774" s="2477"/>
      <c r="J774" s="2477"/>
      <c r="K774" s="2477"/>
      <c r="L774" s="2477"/>
      <c r="M774" s="2477"/>
      <c r="N774" s="2477"/>
      <c r="O774" s="2477"/>
      <c r="P774" s="2477"/>
      <c r="Q774" s="2477"/>
      <c r="R774" s="2477"/>
      <c r="S774" s="2477"/>
      <c r="T774" s="2477"/>
      <c r="U774" s="2477"/>
      <c r="V774" s="2477"/>
      <c r="W774" s="2477"/>
      <c r="X774" s="2477"/>
      <c r="Y774" s="2477"/>
      <c r="Z774" s="2477"/>
      <c r="AA774" s="2477"/>
      <c r="AB774" s="2477"/>
      <c r="AC774" s="2477"/>
      <c r="AD774" s="2477"/>
      <c r="AE774" s="537"/>
      <c r="AF774" s="2466" t="s">
        <v>1352</v>
      </c>
      <c r="AG774" s="2466"/>
      <c r="AH774" s="2466"/>
      <c r="AI774" s="2466"/>
      <c r="AJ774" s="2466"/>
      <c r="AK774" s="2466"/>
      <c r="AL774" s="2466"/>
      <c r="AM774" s="614"/>
      <c r="AN774" s="598"/>
    </row>
    <row r="775" spans="1:81" s="551" customFormat="1" ht="12.75" customHeight="1">
      <c r="B775" s="617"/>
      <c r="C775" s="941"/>
      <c r="D775" s="664"/>
      <c r="E775" s="2477"/>
      <c r="F775" s="2477"/>
      <c r="G775" s="2477"/>
      <c r="H775" s="2477"/>
      <c r="I775" s="2477"/>
      <c r="J775" s="2477"/>
      <c r="K775" s="2477"/>
      <c r="L775" s="2477"/>
      <c r="M775" s="2477"/>
      <c r="N775" s="2477"/>
      <c r="O775" s="2477"/>
      <c r="P775" s="2477"/>
      <c r="Q775" s="2477"/>
      <c r="R775" s="2477"/>
      <c r="S775" s="2477"/>
      <c r="T775" s="2477"/>
      <c r="U775" s="2477"/>
      <c r="V775" s="2477"/>
      <c r="W775" s="2477"/>
      <c r="X775" s="2477"/>
      <c r="Y775" s="2477"/>
      <c r="Z775" s="2477"/>
      <c r="AA775" s="2477"/>
      <c r="AB775" s="2477"/>
      <c r="AC775" s="2477"/>
      <c r="AD775" s="2477"/>
      <c r="AE775" s="595"/>
      <c r="AF775" s="595"/>
      <c r="AG775" s="595"/>
      <c r="AH775" s="595"/>
      <c r="AI775" s="595"/>
      <c r="AJ775" s="595"/>
      <c r="AK775" s="595"/>
      <c r="AL775" s="595"/>
      <c r="AM775" s="614"/>
      <c r="AN775" s="598"/>
    </row>
    <row r="776" spans="1:81" s="551" customFormat="1" ht="12.75" customHeight="1">
      <c r="B776" s="617"/>
      <c r="C776" s="941"/>
      <c r="D776" s="664"/>
      <c r="E776" s="2477"/>
      <c r="F776" s="2477"/>
      <c r="G776" s="2477"/>
      <c r="H776" s="2477"/>
      <c r="I776" s="2477"/>
      <c r="J776" s="2477"/>
      <c r="K776" s="2477"/>
      <c r="L776" s="2477"/>
      <c r="M776" s="2477"/>
      <c r="N776" s="2477"/>
      <c r="O776" s="2477"/>
      <c r="P776" s="2477"/>
      <c r="Q776" s="2477"/>
      <c r="R776" s="2477"/>
      <c r="S776" s="2477"/>
      <c r="T776" s="2477"/>
      <c r="U776" s="2477"/>
      <c r="V776" s="2477"/>
      <c r="W776" s="2477"/>
      <c r="X776" s="2477"/>
      <c r="Y776" s="2477"/>
      <c r="Z776" s="2477"/>
      <c r="AA776" s="2477"/>
      <c r="AB776" s="2477"/>
      <c r="AC776" s="2477"/>
      <c r="AD776" s="2477"/>
      <c r="AE776" s="595"/>
      <c r="AF776" s="595"/>
      <c r="AG776" s="595"/>
      <c r="AH776" s="595"/>
      <c r="AI776" s="595"/>
      <c r="AJ776" s="595"/>
      <c r="AK776" s="595"/>
      <c r="AL776" s="595"/>
      <c r="AM776" s="614"/>
      <c r="AN776" s="598"/>
    </row>
    <row r="777" spans="1:81" s="551" customFormat="1" ht="12.75" customHeight="1">
      <c r="B777" s="617"/>
      <c r="C777" s="941"/>
      <c r="D777" s="664"/>
      <c r="E777" s="2477"/>
      <c r="F777" s="2477"/>
      <c r="G777" s="2477"/>
      <c r="H777" s="2477"/>
      <c r="I777" s="2477"/>
      <c r="J777" s="2477"/>
      <c r="K777" s="2477"/>
      <c r="L777" s="2477"/>
      <c r="M777" s="2477"/>
      <c r="N777" s="2477"/>
      <c r="O777" s="2477"/>
      <c r="P777" s="2477"/>
      <c r="Q777" s="2477"/>
      <c r="R777" s="2477"/>
      <c r="S777" s="2477"/>
      <c r="T777" s="2477"/>
      <c r="U777" s="2477"/>
      <c r="V777" s="2477"/>
      <c r="W777" s="2477"/>
      <c r="X777" s="2477"/>
      <c r="Y777" s="2477"/>
      <c r="Z777" s="2477"/>
      <c r="AA777" s="2477"/>
      <c r="AB777" s="2477"/>
      <c r="AC777" s="2477"/>
      <c r="AD777" s="2477"/>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90" t="s">
        <v>591</v>
      </c>
      <c r="I779" s="2390"/>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73">
        <f>VLOOKUP($H$779,$AO$769:$AP$771,2,FALSE)</f>
        <v>0</v>
      </c>
      <c r="AK781" s="2375"/>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366" t="s">
        <v>2034</v>
      </c>
      <c r="F785" s="2366"/>
      <c r="G785" s="2366"/>
      <c r="H785" s="2366"/>
      <c r="I785" s="2366"/>
      <c r="J785" s="2366"/>
      <c r="K785" s="2366"/>
      <c r="L785" s="2366"/>
      <c r="M785" s="2366"/>
      <c r="N785" s="2366"/>
      <c r="O785" s="2366"/>
      <c r="P785" s="2366"/>
      <c r="Q785" s="2366"/>
      <c r="R785" s="2366"/>
      <c r="S785" s="2366"/>
      <c r="T785" s="2366"/>
      <c r="U785" s="2366"/>
      <c r="V785" s="2366"/>
      <c r="W785" s="2366"/>
      <c r="X785" s="2366"/>
      <c r="Y785" s="2366"/>
      <c r="Z785" s="2366"/>
      <c r="AA785" s="2366"/>
      <c r="AB785" s="2366"/>
      <c r="AC785" s="2366"/>
      <c r="AD785" s="2366"/>
      <c r="AE785" s="537"/>
      <c r="AF785" s="2466" t="s">
        <v>1352</v>
      </c>
      <c r="AG785" s="2466"/>
      <c r="AH785" s="2466"/>
      <c r="AI785" s="2466"/>
      <c r="AJ785" s="2466"/>
      <c r="AK785" s="2466"/>
      <c r="AL785" s="2466"/>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366"/>
      <c r="F786" s="2366"/>
      <c r="G786" s="2366"/>
      <c r="H786" s="2366"/>
      <c r="I786" s="2366"/>
      <c r="J786" s="2366"/>
      <c r="K786" s="2366"/>
      <c r="L786" s="2366"/>
      <c r="M786" s="2366"/>
      <c r="N786" s="2366"/>
      <c r="O786" s="2366"/>
      <c r="P786" s="2366"/>
      <c r="Q786" s="2366"/>
      <c r="R786" s="2366"/>
      <c r="S786" s="2366"/>
      <c r="T786" s="2366"/>
      <c r="U786" s="2366"/>
      <c r="V786" s="2366"/>
      <c r="W786" s="2366"/>
      <c r="X786" s="2366"/>
      <c r="Y786" s="2366"/>
      <c r="Z786" s="2366"/>
      <c r="AA786" s="2366"/>
      <c r="AB786" s="2366"/>
      <c r="AC786" s="2366"/>
      <c r="AD786" s="236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366"/>
      <c r="F787" s="2366"/>
      <c r="G787" s="2366"/>
      <c r="H787" s="2366"/>
      <c r="I787" s="2366"/>
      <c r="J787" s="2366"/>
      <c r="K787" s="2366"/>
      <c r="L787" s="2366"/>
      <c r="M787" s="2366"/>
      <c r="N787" s="2366"/>
      <c r="O787" s="2366"/>
      <c r="P787" s="2366"/>
      <c r="Q787" s="2366"/>
      <c r="R787" s="2366"/>
      <c r="S787" s="2366"/>
      <c r="T787" s="2366"/>
      <c r="U787" s="2366"/>
      <c r="V787" s="2366"/>
      <c r="W787" s="2366"/>
      <c r="X787" s="2366"/>
      <c r="Y787" s="2366"/>
      <c r="Z787" s="2366"/>
      <c r="AA787" s="2366"/>
      <c r="AB787" s="2366"/>
      <c r="AC787" s="2366"/>
      <c r="AD787" s="236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366"/>
      <c r="F788" s="2366"/>
      <c r="G788" s="2366"/>
      <c r="H788" s="2366"/>
      <c r="I788" s="2366"/>
      <c r="J788" s="2366"/>
      <c r="K788" s="2366"/>
      <c r="L788" s="2366"/>
      <c r="M788" s="2366"/>
      <c r="N788" s="2366"/>
      <c r="O788" s="2366"/>
      <c r="P788" s="2366"/>
      <c r="Q788" s="2366"/>
      <c r="R788" s="2366"/>
      <c r="S788" s="2366"/>
      <c r="T788" s="2366"/>
      <c r="U788" s="2366"/>
      <c r="V788" s="2366"/>
      <c r="W788" s="2366"/>
      <c r="X788" s="2366"/>
      <c r="Y788" s="2366"/>
      <c r="Z788" s="2366"/>
      <c r="AA788" s="2366"/>
      <c r="AB788" s="2366"/>
      <c r="AC788" s="2366"/>
      <c r="AD788" s="236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390" t="s">
        <v>591</v>
      </c>
      <c r="I790" s="2390"/>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73">
        <f>VLOOKUP($H$790,$AO$784:$AP$785,2,FALSE)</f>
        <v>0</v>
      </c>
      <c r="AK792" s="237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73">
        <f>IF(($AJ$621+$AJ$640+$AJ$652+$AJ$687+$AJ$711+$AJ$725+$AJ$737+$AJ$753+$AJ$765+$AJ$781+AJ792)&gt;10,10,($AJ$621+$AJ$640+$AJ$652+$AJ$687+$AJ$711+$AJ$725+$AJ$737+$AJ$753+$AJ$765+$AJ$781+AJ792))</f>
        <v>10</v>
      </c>
      <c r="AL794" s="2374"/>
      <c r="AM794" s="237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57" t="s">
        <v>1568</v>
      </c>
      <c r="B797" s="2458"/>
      <c r="C797" s="2458"/>
      <c r="D797" s="2458"/>
      <c r="E797" s="2458"/>
      <c r="F797" s="2458"/>
      <c r="G797" s="2458"/>
      <c r="H797" s="2458"/>
      <c r="I797" s="2458"/>
      <c r="J797" s="2458"/>
      <c r="K797" s="2458"/>
      <c r="L797" s="2458"/>
      <c r="M797" s="2458"/>
      <c r="N797" s="2458"/>
      <c r="O797" s="2458"/>
      <c r="P797" s="2458"/>
      <c r="Q797" s="2458"/>
      <c r="R797" s="2458"/>
      <c r="S797" s="2458"/>
      <c r="T797" s="2458"/>
      <c r="U797" s="2458"/>
      <c r="V797" s="2458"/>
      <c r="W797" s="2458"/>
      <c r="X797" s="2458"/>
      <c r="Y797" s="2458"/>
      <c r="Z797" s="2458"/>
      <c r="AA797" s="2458"/>
      <c r="AB797" s="2458"/>
      <c r="AC797" s="2458"/>
      <c r="AD797" s="2458"/>
      <c r="AE797" s="2458"/>
      <c r="AF797" s="2458"/>
      <c r="AG797" s="2458"/>
      <c r="AH797" s="2458"/>
      <c r="AI797" s="2458"/>
      <c r="AJ797" s="2458"/>
      <c r="AK797" s="2458"/>
      <c r="AL797" s="2458"/>
      <c r="AM797" s="2458"/>
    </row>
    <row r="798" spans="1:81">
      <c r="A798" s="2459"/>
      <c r="B798" s="2459"/>
      <c r="C798" s="2459"/>
      <c r="D798" s="2459"/>
      <c r="E798" s="2459"/>
      <c r="F798" s="2459"/>
      <c r="G798" s="2459"/>
      <c r="H798" s="2459"/>
      <c r="I798" s="2459"/>
      <c r="J798" s="2459"/>
      <c r="K798" s="2459"/>
      <c r="L798" s="2459"/>
      <c r="M798" s="2459"/>
      <c r="N798" s="2459"/>
      <c r="O798" s="2459"/>
      <c r="P798" s="2459"/>
      <c r="Q798" s="2459"/>
      <c r="R798" s="2459"/>
      <c r="S798" s="2459"/>
      <c r="T798" s="2459"/>
      <c r="U798" s="2459"/>
      <c r="V798" s="2459"/>
      <c r="W798" s="2459"/>
      <c r="X798" s="2459"/>
      <c r="Y798" s="2459"/>
      <c r="Z798" s="2459"/>
      <c r="AA798" s="2459"/>
      <c r="AB798" s="2459"/>
      <c r="AC798" s="2459"/>
      <c r="AD798" s="2459"/>
      <c r="AE798" s="2459"/>
      <c r="AF798" s="2459"/>
      <c r="AG798" s="2459"/>
      <c r="AH798" s="2459"/>
      <c r="AI798" s="2459"/>
      <c r="AJ798" s="2459"/>
      <c r="AK798" s="2459"/>
      <c r="AL798" s="2459"/>
      <c r="AM798" s="2459"/>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388"/>
      <c r="B800" s="2388"/>
      <c r="C800" s="2388"/>
      <c r="D800" s="2388"/>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2388"/>
      <c r="AF800" s="2388"/>
      <c r="AG800" s="2388"/>
      <c r="AH800" s="2388"/>
      <c r="AI800" s="2388"/>
      <c r="AJ800" s="2388"/>
      <c r="AK800" s="2388"/>
      <c r="AL800" s="2388"/>
      <c r="AM800" s="2388"/>
      <c r="AP800" s="817"/>
      <c r="AQ800" s="817"/>
    </row>
    <row r="801" spans="1:81">
      <c r="A801" s="2388"/>
      <c r="B801" s="2388"/>
      <c r="C801" s="2388"/>
      <c r="D801" s="2388"/>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2388"/>
      <c r="AF801" s="2388"/>
      <c r="AG801" s="2388"/>
      <c r="AH801" s="2388"/>
      <c r="AI801" s="2388"/>
      <c r="AJ801" s="2388"/>
      <c r="AK801" s="2388"/>
      <c r="AL801" s="2388"/>
      <c r="AM801" s="2388"/>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460" t="s">
        <v>1569</v>
      </c>
      <c r="U802" s="2461"/>
      <c r="V802" s="2461"/>
      <c r="W802" s="2461"/>
      <c r="X802" s="2461"/>
      <c r="Y802" s="2462"/>
      <c r="Z802" s="2460" t="s">
        <v>1570</v>
      </c>
      <c r="AA802" s="2461"/>
      <c r="AB802" s="2461"/>
      <c r="AC802" s="2461"/>
      <c r="AD802" s="2461"/>
      <c r="AE802" s="2462"/>
      <c r="AF802" s="2460" t="s">
        <v>1571</v>
      </c>
      <c r="AG802" s="2461"/>
      <c r="AH802" s="2461"/>
      <c r="AI802" s="2461"/>
      <c r="AJ802" s="2461"/>
      <c r="AK802" s="2462"/>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463"/>
      <c r="U803" s="2464"/>
      <c r="V803" s="2464"/>
      <c r="W803" s="2464"/>
      <c r="X803" s="2464"/>
      <c r="Y803" s="2465"/>
      <c r="Z803" s="2463"/>
      <c r="AA803" s="2464"/>
      <c r="AB803" s="2464"/>
      <c r="AC803" s="2464"/>
      <c r="AD803" s="2464"/>
      <c r="AE803" s="2465"/>
      <c r="AF803" s="2463"/>
      <c r="AG803" s="2464"/>
      <c r="AH803" s="2464"/>
      <c r="AI803" s="2464"/>
      <c r="AJ803" s="2464"/>
      <c r="AK803" s="2465"/>
      <c r="AL803" s="819"/>
      <c r="AM803" s="597"/>
      <c r="AO803" s="817"/>
      <c r="AP803" s="817"/>
      <c r="AQ803" s="817"/>
    </row>
    <row r="804" spans="1:81">
      <c r="A804" s="820" t="s">
        <v>757</v>
      </c>
      <c r="B804" s="2417" t="s">
        <v>1304</v>
      </c>
      <c r="C804" s="2417"/>
      <c r="D804" s="2417"/>
      <c r="E804" s="2417"/>
      <c r="F804" s="2417"/>
      <c r="G804" s="2417"/>
      <c r="H804" s="2417"/>
      <c r="I804" s="2417"/>
      <c r="J804" s="2417"/>
      <c r="K804" s="2417"/>
      <c r="L804" s="2417"/>
      <c r="M804" s="2417"/>
      <c r="N804" s="2417"/>
      <c r="O804" s="2417"/>
      <c r="P804" s="2417"/>
      <c r="Q804" s="2417"/>
      <c r="R804" s="2417"/>
      <c r="S804" s="2418"/>
      <c r="T804" s="2445">
        <f>AK62</f>
        <v>0</v>
      </c>
      <c r="U804" s="2421"/>
      <c r="V804" s="2421"/>
      <c r="W804" s="2421"/>
      <c r="X804" s="2421"/>
      <c r="Y804" s="2422"/>
      <c r="Z804" s="2420">
        <v>20</v>
      </c>
      <c r="AA804" s="2421"/>
      <c r="AB804" s="2421"/>
      <c r="AC804" s="2421"/>
      <c r="AD804" s="2421"/>
      <c r="AE804" s="2422"/>
      <c r="AF804" s="2385">
        <f>IF(T804&gt;Z804,Z804,T804)</f>
        <v>0</v>
      </c>
      <c r="AG804" s="2385"/>
      <c r="AH804" s="2385"/>
      <c r="AI804" s="2385"/>
      <c r="AJ804" s="2385"/>
      <c r="AK804" s="2385"/>
      <c r="AL804" s="819"/>
      <c r="AM804" s="597"/>
      <c r="AO804" s="817"/>
      <c r="AP804" s="817"/>
      <c r="AQ804" s="817"/>
    </row>
    <row r="805" spans="1:81">
      <c r="A805" s="820" t="s">
        <v>1541</v>
      </c>
      <c r="B805" s="2417" t="s">
        <v>1313</v>
      </c>
      <c r="C805" s="2417"/>
      <c r="D805" s="2417"/>
      <c r="E805" s="2417"/>
      <c r="F805" s="2417"/>
      <c r="G805" s="2417"/>
      <c r="H805" s="2417"/>
      <c r="I805" s="2417"/>
      <c r="J805" s="2417"/>
      <c r="K805" s="2417"/>
      <c r="L805" s="2417"/>
      <c r="M805" s="2417"/>
      <c r="N805" s="2417"/>
      <c r="O805" s="2417"/>
      <c r="P805" s="2417"/>
      <c r="Q805" s="2417"/>
      <c r="R805" s="2417"/>
      <c r="S805" s="2418"/>
      <c r="T805" s="2445">
        <f>AK84</f>
        <v>10</v>
      </c>
      <c r="U805" s="2421"/>
      <c r="V805" s="2421"/>
      <c r="W805" s="2421"/>
      <c r="X805" s="2421"/>
      <c r="Y805" s="2422"/>
      <c r="Z805" s="2420">
        <v>10</v>
      </c>
      <c r="AA805" s="2421"/>
      <c r="AB805" s="2421"/>
      <c r="AC805" s="2421"/>
      <c r="AD805" s="2421"/>
      <c r="AE805" s="2422"/>
      <c r="AF805" s="2385">
        <f>IF(T805&gt;Z805,Z805,T805)</f>
        <v>10</v>
      </c>
      <c r="AG805" s="2385"/>
      <c r="AH805" s="2385"/>
      <c r="AI805" s="2385"/>
      <c r="AJ805" s="2385"/>
      <c r="AK805" s="2385"/>
      <c r="AL805" s="819"/>
      <c r="AM805" s="597"/>
      <c r="AO805" s="817"/>
      <c r="AP805" s="817"/>
      <c r="AQ805" s="817"/>
    </row>
    <row r="806" spans="1:81">
      <c r="A806" s="820" t="s">
        <v>1550</v>
      </c>
      <c r="B806" s="2417" t="s">
        <v>1323</v>
      </c>
      <c r="C806" s="2417"/>
      <c r="D806" s="2417"/>
      <c r="E806" s="2417"/>
      <c r="F806" s="2417"/>
      <c r="G806" s="2417"/>
      <c r="H806" s="2417"/>
      <c r="I806" s="2417"/>
      <c r="J806" s="2417"/>
      <c r="K806" s="2417"/>
      <c r="L806" s="2417"/>
      <c r="M806" s="2417"/>
      <c r="N806" s="2417"/>
      <c r="O806" s="2417"/>
      <c r="P806" s="2417"/>
      <c r="Q806" s="2417"/>
      <c r="R806" s="2417"/>
      <c r="S806" s="2418"/>
      <c r="T806" s="2445">
        <f ca="1">AK109</f>
        <v>20</v>
      </c>
      <c r="U806" s="2421"/>
      <c r="V806" s="2421"/>
      <c r="W806" s="2421"/>
      <c r="X806" s="2421"/>
      <c r="Y806" s="2422"/>
      <c r="Z806" s="2420">
        <v>20</v>
      </c>
      <c r="AA806" s="2421"/>
      <c r="AB806" s="2421"/>
      <c r="AC806" s="2421"/>
      <c r="AD806" s="2421"/>
      <c r="AE806" s="2422"/>
      <c r="AF806" s="2385">
        <f ca="1">IF(T806&gt;Z806,Z806,T806)</f>
        <v>20</v>
      </c>
      <c r="AG806" s="2385"/>
      <c r="AH806" s="2385"/>
      <c r="AI806" s="2385"/>
      <c r="AJ806" s="2385"/>
      <c r="AK806" s="2385"/>
      <c r="AL806" s="819"/>
      <c r="AM806" s="597"/>
      <c r="AO806" s="817"/>
      <c r="AP806" s="817"/>
      <c r="AQ806" s="817"/>
    </row>
    <row r="807" spans="1:81">
      <c r="A807" s="820" t="s">
        <v>1572</v>
      </c>
      <c r="B807" s="2417" t="s">
        <v>1333</v>
      </c>
      <c r="C807" s="2417"/>
      <c r="D807" s="2417"/>
      <c r="E807" s="2417"/>
      <c r="F807" s="2417"/>
      <c r="G807" s="2417"/>
      <c r="H807" s="2417"/>
      <c r="I807" s="2417"/>
      <c r="J807" s="2417"/>
      <c r="K807" s="2417"/>
      <c r="L807" s="2417"/>
      <c r="M807" s="2417"/>
      <c r="N807" s="2417"/>
      <c r="O807" s="2417"/>
      <c r="P807" s="2417"/>
      <c r="Q807" s="2417"/>
      <c r="R807" s="2417"/>
      <c r="S807" s="2418"/>
      <c r="T807" s="2445">
        <f>AK143</f>
        <v>10</v>
      </c>
      <c r="U807" s="2421"/>
      <c r="V807" s="2421"/>
      <c r="W807" s="2421"/>
      <c r="X807" s="2421"/>
      <c r="Y807" s="2422"/>
      <c r="Z807" s="2420">
        <v>10</v>
      </c>
      <c r="AA807" s="2421"/>
      <c r="AB807" s="2421"/>
      <c r="AC807" s="2421"/>
      <c r="AD807" s="2421"/>
      <c r="AE807" s="2422"/>
      <c r="AF807" s="2385">
        <f>IF(T807&gt;Z807,Z807,T807)</f>
        <v>10</v>
      </c>
      <c r="AG807" s="2385"/>
      <c r="AH807" s="2385"/>
      <c r="AI807" s="2385"/>
      <c r="AJ807" s="2385"/>
      <c r="AK807" s="2385"/>
      <c r="AL807" s="819"/>
      <c r="AM807" s="597"/>
      <c r="AO807" s="817"/>
      <c r="AP807" s="817"/>
      <c r="AQ807" s="817"/>
    </row>
    <row r="808" spans="1:81">
      <c r="A808" s="821" t="s">
        <v>1573</v>
      </c>
      <c r="B808" s="2417" t="s">
        <v>1574</v>
      </c>
      <c r="C808" s="2417"/>
      <c r="D808" s="2417"/>
      <c r="E808" s="2417"/>
      <c r="F808" s="2417"/>
      <c r="G808" s="2417"/>
      <c r="H808" s="2417"/>
      <c r="I808" s="2417"/>
      <c r="J808" s="2417"/>
      <c r="K808" s="2417"/>
      <c r="L808" s="2417"/>
      <c r="M808" s="2417"/>
      <c r="N808" s="2417"/>
      <c r="O808" s="2417"/>
      <c r="P808" s="2417"/>
      <c r="Q808" s="2417"/>
      <c r="R808" s="2417"/>
      <c r="S808" s="2418"/>
      <c r="T808" s="2419">
        <f>SUM(T809:Y810)</f>
        <v>10</v>
      </c>
      <c r="U808" s="2419"/>
      <c r="V808" s="2419"/>
      <c r="W808" s="2419"/>
      <c r="X808" s="2419"/>
      <c r="Y808" s="2419"/>
      <c r="Z808" s="2385">
        <v>10</v>
      </c>
      <c r="AA808" s="2385"/>
      <c r="AB808" s="2385"/>
      <c r="AC808" s="2385"/>
      <c r="AD808" s="2385"/>
      <c r="AE808" s="2385"/>
      <c r="AF808" s="2385">
        <f>IF(T808&gt;Z808,Z808,T808)</f>
        <v>10</v>
      </c>
      <c r="AG808" s="2385"/>
      <c r="AH808" s="2385"/>
      <c r="AI808" s="2385"/>
      <c r="AJ808" s="2385"/>
      <c r="AK808" s="2385"/>
      <c r="AL808" s="819"/>
      <c r="AM808" s="597"/>
    </row>
    <row r="809" spans="1:81">
      <c r="A809" s="536"/>
      <c r="B809" s="602"/>
      <c r="C809" s="2423" t="s">
        <v>1575</v>
      </c>
      <c r="D809" s="2423"/>
      <c r="E809" s="2423"/>
      <c r="F809" s="2423"/>
      <c r="G809" s="2423"/>
      <c r="H809" s="2423"/>
      <c r="I809" s="2423"/>
      <c r="J809" s="2423"/>
      <c r="K809" s="2423"/>
      <c r="L809" s="2423"/>
      <c r="M809" s="2423"/>
      <c r="N809" s="2423"/>
      <c r="O809" s="2423"/>
      <c r="P809" s="2423"/>
      <c r="Q809" s="2423"/>
      <c r="R809" s="2423"/>
      <c r="S809" s="2424"/>
      <c r="T809" s="2425">
        <f>AJ166</f>
        <v>7</v>
      </c>
      <c r="U809" s="2425"/>
      <c r="V809" s="2425"/>
      <c r="W809" s="2425"/>
      <c r="X809" s="2425"/>
      <c r="Y809" s="2425"/>
      <c r="Z809" s="2426">
        <v>7</v>
      </c>
      <c r="AA809" s="2426"/>
      <c r="AB809" s="2426"/>
      <c r="AC809" s="2426"/>
      <c r="AD809" s="2426"/>
      <c r="AE809" s="2426"/>
      <c r="AF809" s="2427"/>
      <c r="AG809" s="2427"/>
      <c r="AH809" s="2427"/>
      <c r="AI809" s="2427"/>
      <c r="AJ809" s="2427"/>
      <c r="AK809" s="2427"/>
      <c r="AL809" s="819"/>
      <c r="AM809" s="597"/>
    </row>
    <row r="810" spans="1:81">
      <c r="A810" s="601"/>
      <c r="B810" s="602"/>
      <c r="C810" s="2423" t="s">
        <v>1576</v>
      </c>
      <c r="D810" s="2423"/>
      <c r="E810" s="2423"/>
      <c r="F810" s="2423"/>
      <c r="G810" s="2423"/>
      <c r="H810" s="2423"/>
      <c r="I810" s="2423"/>
      <c r="J810" s="2423"/>
      <c r="K810" s="2423"/>
      <c r="L810" s="2423"/>
      <c r="M810" s="2423"/>
      <c r="N810" s="2423"/>
      <c r="O810" s="2423"/>
      <c r="P810" s="2423"/>
      <c r="Q810" s="2423"/>
      <c r="R810" s="2423"/>
      <c r="S810" s="2424"/>
      <c r="T810" s="2425">
        <f>AJ180</f>
        <v>3</v>
      </c>
      <c r="U810" s="2425"/>
      <c r="V810" s="2425"/>
      <c r="W810" s="2425"/>
      <c r="X810" s="2425"/>
      <c r="Y810" s="2425"/>
      <c r="Z810" s="2426">
        <v>3</v>
      </c>
      <c r="AA810" s="2426"/>
      <c r="AB810" s="2426"/>
      <c r="AC810" s="2426"/>
      <c r="AD810" s="2426"/>
      <c r="AE810" s="2426"/>
      <c r="AF810" s="2427"/>
      <c r="AG810" s="2427"/>
      <c r="AH810" s="2427"/>
      <c r="AI810" s="2427"/>
      <c r="AJ810" s="2427"/>
      <c r="AK810" s="2427"/>
      <c r="AL810" s="819"/>
      <c r="AM810" s="597"/>
      <c r="AO810" s="551"/>
    </row>
    <row r="811" spans="1:81">
      <c r="A811" s="821" t="s">
        <v>1361</v>
      </c>
      <c r="B811" s="2417" t="s">
        <v>1577</v>
      </c>
      <c r="C811" s="2417"/>
      <c r="D811" s="2417"/>
      <c r="E811" s="2417"/>
      <c r="F811" s="2417"/>
      <c r="G811" s="2417"/>
      <c r="H811" s="2417"/>
      <c r="I811" s="2417"/>
      <c r="J811" s="2417"/>
      <c r="K811" s="2417"/>
      <c r="L811" s="2417"/>
      <c r="M811" s="2417"/>
      <c r="N811" s="2417"/>
      <c r="O811" s="2417"/>
      <c r="P811" s="2417"/>
      <c r="Q811" s="2417"/>
      <c r="R811" s="2417"/>
      <c r="S811" s="2418"/>
      <c r="T811" s="2419">
        <f>AK191</f>
        <v>10</v>
      </c>
      <c r="U811" s="2419"/>
      <c r="V811" s="2419"/>
      <c r="W811" s="2419"/>
      <c r="X811" s="2419"/>
      <c r="Y811" s="2419"/>
      <c r="Z811" s="2385">
        <v>10</v>
      </c>
      <c r="AA811" s="2385"/>
      <c r="AB811" s="2385"/>
      <c r="AC811" s="2385"/>
      <c r="AD811" s="2385"/>
      <c r="AE811" s="2385"/>
      <c r="AF811" s="2385">
        <f>IF(T811&gt;Z811,Z811,T811)</f>
        <v>10</v>
      </c>
      <c r="AG811" s="2385"/>
      <c r="AH811" s="2385"/>
      <c r="AI811" s="2385"/>
      <c r="AJ811" s="2385"/>
      <c r="AK811" s="2385"/>
      <c r="AL811" s="819"/>
      <c r="AM811" s="597"/>
    </row>
    <row r="812" spans="1:81">
      <c r="A812" s="820" t="s">
        <v>1370</v>
      </c>
      <c r="B812" s="2417" t="s">
        <v>1371</v>
      </c>
      <c r="C812" s="2417"/>
      <c r="D812" s="2417"/>
      <c r="E812" s="2417"/>
      <c r="F812" s="2417"/>
      <c r="G812" s="2417"/>
      <c r="H812" s="2417"/>
      <c r="I812" s="2417"/>
      <c r="J812" s="2417"/>
      <c r="K812" s="2417"/>
      <c r="L812" s="2417"/>
      <c r="M812" s="2417"/>
      <c r="N812" s="2417"/>
      <c r="O812" s="2417"/>
      <c r="P812" s="2417"/>
      <c r="Q812" s="2417"/>
      <c r="R812" s="2417"/>
      <c r="S812" s="2418"/>
      <c r="T812" s="2419">
        <f>AK273</f>
        <v>8</v>
      </c>
      <c r="U812" s="2419"/>
      <c r="V812" s="2419"/>
      <c r="W812" s="2419"/>
      <c r="X812" s="2419"/>
      <c r="Y812" s="2419"/>
      <c r="Z812" s="2420">
        <v>8</v>
      </c>
      <c r="AA812" s="2421"/>
      <c r="AB812" s="2421"/>
      <c r="AC812" s="2421"/>
      <c r="AD812" s="2421"/>
      <c r="AE812" s="2422"/>
      <c r="AF812" s="2385">
        <f>IF(T812&gt;Z812,Z812,T812)</f>
        <v>8</v>
      </c>
      <c r="AG812" s="2385"/>
      <c r="AH812" s="2385"/>
      <c r="AI812" s="2385"/>
      <c r="AJ812" s="2385"/>
      <c r="AK812" s="2385"/>
      <c r="AL812" s="819"/>
      <c r="AM812" s="597"/>
    </row>
    <row r="813" spans="1:81" s="535" customFormat="1" hidden="1">
      <c r="A813" s="821" t="s">
        <v>589</v>
      </c>
      <c r="B813" s="2417" t="s">
        <v>1578</v>
      </c>
      <c r="C813" s="2417"/>
      <c r="D813" s="2417"/>
      <c r="E813" s="2417"/>
      <c r="F813" s="2417"/>
      <c r="G813" s="2417"/>
      <c r="H813" s="2417"/>
      <c r="I813" s="2417"/>
      <c r="J813" s="2417"/>
      <c r="K813" s="2417"/>
      <c r="L813" s="2417"/>
      <c r="M813" s="2417"/>
      <c r="N813" s="2417"/>
      <c r="O813" s="2417"/>
      <c r="P813" s="2417"/>
      <c r="Q813" s="2417"/>
      <c r="R813" s="2417"/>
      <c r="S813" s="2418"/>
      <c r="T813" s="2419">
        <f>IF(AK535&gt;5,5,AK535)</f>
        <v>0</v>
      </c>
      <c r="U813" s="2419"/>
      <c r="V813" s="2419"/>
      <c r="W813" s="2419"/>
      <c r="X813" s="2419"/>
      <c r="Y813" s="2419"/>
      <c r="Z813" s="2385">
        <v>5</v>
      </c>
      <c r="AA813" s="2385"/>
      <c r="AB813" s="2385"/>
      <c r="AC813" s="2385"/>
      <c r="AD813" s="2385"/>
      <c r="AE813" s="2385"/>
      <c r="AF813" s="2385">
        <f>IF(T813&gt;Z813,5,T813)</f>
        <v>0</v>
      </c>
      <c r="AG813" s="2385"/>
      <c r="AH813" s="2385"/>
      <c r="AI813" s="2385"/>
      <c r="AJ813" s="2385"/>
      <c r="AK813" s="238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17" t="s">
        <v>1579</v>
      </c>
      <c r="C814" s="2417"/>
      <c r="D814" s="2417"/>
      <c r="E814" s="2417"/>
      <c r="F814" s="2417"/>
      <c r="G814" s="2417"/>
      <c r="H814" s="2417"/>
      <c r="I814" s="2417"/>
      <c r="J814" s="2417"/>
      <c r="K814" s="2417"/>
      <c r="L814" s="2417"/>
      <c r="M814" s="2417"/>
      <c r="N814" s="2417"/>
      <c r="O814" s="2417"/>
      <c r="P814" s="2417"/>
      <c r="Q814" s="2417"/>
      <c r="R814" s="2417"/>
      <c r="S814" s="2418"/>
      <c r="T814" s="2419">
        <f>AK285</f>
        <v>10</v>
      </c>
      <c r="U814" s="2419"/>
      <c r="V814" s="2419"/>
      <c r="W814" s="2419"/>
      <c r="X814" s="2419"/>
      <c r="Y814" s="2419"/>
      <c r="Z814" s="2385">
        <v>10</v>
      </c>
      <c r="AA814" s="2385"/>
      <c r="AB814" s="2385"/>
      <c r="AC814" s="2385"/>
      <c r="AD814" s="2385"/>
      <c r="AE814" s="2385"/>
      <c r="AF814" s="2428">
        <f>IF(T814&gt;Z814,Z814,T814)</f>
        <v>10</v>
      </c>
      <c r="AG814" s="2429"/>
      <c r="AH814" s="2429"/>
      <c r="AI814" s="2429"/>
      <c r="AJ814" s="2429"/>
      <c r="AK814" s="2430"/>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17" t="s">
        <v>1381</v>
      </c>
      <c r="C815" s="2417"/>
      <c r="D815" s="2417"/>
      <c r="E815" s="2417"/>
      <c r="F815" s="2417"/>
      <c r="G815" s="2417"/>
      <c r="H815" s="2417"/>
      <c r="I815" s="2417"/>
      <c r="J815" s="2417"/>
      <c r="K815" s="2417"/>
      <c r="L815" s="2417"/>
      <c r="M815" s="2417"/>
      <c r="N815" s="2417"/>
      <c r="O815" s="2417"/>
      <c r="P815" s="2417"/>
      <c r="Q815" s="2417"/>
      <c r="R815" s="2417"/>
      <c r="S815" s="2418"/>
      <c r="T815" s="2419">
        <f>AK338</f>
        <v>9</v>
      </c>
      <c r="U815" s="2419"/>
      <c r="V815" s="2419"/>
      <c r="W815" s="2419"/>
      <c r="X815" s="2419"/>
      <c r="Y815" s="2419"/>
      <c r="Z815" s="2428">
        <v>10</v>
      </c>
      <c r="AA815" s="2429"/>
      <c r="AB815" s="2429"/>
      <c r="AC815" s="2429"/>
      <c r="AD815" s="2429"/>
      <c r="AE815" s="2430"/>
      <c r="AF815" s="2428">
        <f>IF(T815&gt;Z815,Z815,T815)</f>
        <v>9</v>
      </c>
      <c r="AG815" s="2429"/>
      <c r="AH815" s="2429"/>
      <c r="AI815" s="2429"/>
      <c r="AJ815" s="2429"/>
      <c r="AK815" s="2430"/>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25">
        <f>AK338</f>
        <v>9</v>
      </c>
      <c r="U816" s="2425"/>
      <c r="V816" s="2425"/>
      <c r="W816" s="2425"/>
      <c r="X816" s="2425"/>
      <c r="Y816" s="2425"/>
      <c r="Z816" s="2373">
        <v>20</v>
      </c>
      <c r="AA816" s="2374"/>
      <c r="AB816" s="2374"/>
      <c r="AC816" s="2374"/>
      <c r="AD816" s="2374"/>
      <c r="AE816" s="2375"/>
      <c r="AF816" s="2427"/>
      <c r="AG816" s="2427"/>
      <c r="AH816" s="2427"/>
      <c r="AI816" s="2427"/>
      <c r="AJ816" s="2427"/>
      <c r="AK816" s="2427"/>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17" t="s">
        <v>845</v>
      </c>
      <c r="C817" s="2417"/>
      <c r="D817" s="2417"/>
      <c r="E817" s="2417"/>
      <c r="F817" s="2417"/>
      <c r="G817" s="2417"/>
      <c r="H817" s="2417"/>
      <c r="I817" s="2417"/>
      <c r="J817" s="2417"/>
      <c r="K817" s="2417"/>
      <c r="L817" s="2417"/>
      <c r="M817" s="2417"/>
      <c r="N817" s="2417"/>
      <c r="O817" s="2417"/>
      <c r="P817" s="2417"/>
      <c r="Q817" s="2417"/>
      <c r="R817" s="2417"/>
      <c r="S817" s="2418"/>
      <c r="T817" s="2419">
        <f>AK469</f>
        <v>10</v>
      </c>
      <c r="U817" s="2419"/>
      <c r="V817" s="2419"/>
      <c r="W817" s="2419"/>
      <c r="X817" s="2419"/>
      <c r="Y817" s="2419"/>
      <c r="Z817" s="2428">
        <v>10</v>
      </c>
      <c r="AA817" s="2429"/>
      <c r="AB817" s="2429"/>
      <c r="AC817" s="2429"/>
      <c r="AD817" s="2429"/>
      <c r="AE817" s="2430"/>
      <c r="AF817" s="2385">
        <f>IF(T817&gt;Z817,Z817,T817)</f>
        <v>10</v>
      </c>
      <c r="AG817" s="2385"/>
      <c r="AH817" s="2385"/>
      <c r="AI817" s="2385"/>
      <c r="AJ817" s="2385"/>
      <c r="AK817" s="238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17" t="s">
        <v>1559</v>
      </c>
      <c r="C818" s="2417"/>
      <c r="D818" s="2417"/>
      <c r="E818" s="2417"/>
      <c r="F818" s="2417"/>
      <c r="G818" s="2417"/>
      <c r="H818" s="2417"/>
      <c r="I818" s="2417"/>
      <c r="J818" s="2417"/>
      <c r="K818" s="2417"/>
      <c r="L818" s="2417"/>
      <c r="M818" s="2417"/>
      <c r="N818" s="2417"/>
      <c r="O818" s="2417"/>
      <c r="P818" s="2417"/>
      <c r="Q818" s="2417"/>
      <c r="R818" s="2417"/>
      <c r="S818" s="2418"/>
      <c r="T818" s="2419">
        <f>AK559</f>
        <v>12</v>
      </c>
      <c r="U818" s="2419"/>
      <c r="V818" s="2419"/>
      <c r="W818" s="2419"/>
      <c r="X818" s="2419"/>
      <c r="Y818" s="2419"/>
      <c r="Z818" s="2428">
        <v>12</v>
      </c>
      <c r="AA818" s="2429"/>
      <c r="AB818" s="2429"/>
      <c r="AC818" s="2429"/>
      <c r="AD818" s="2429"/>
      <c r="AE818" s="2430"/>
      <c r="AF818" s="2385">
        <f>IF(T818&gt;Z818,Z818,T818)</f>
        <v>12</v>
      </c>
      <c r="AG818" s="2385"/>
      <c r="AH818" s="2385"/>
      <c r="AI818" s="2385"/>
      <c r="AJ818" s="2385"/>
      <c r="AK818" s="238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17" t="s">
        <v>1581</v>
      </c>
      <c r="C819" s="2417"/>
      <c r="D819" s="2417"/>
      <c r="E819" s="2417"/>
      <c r="F819" s="2417"/>
      <c r="G819" s="2417"/>
      <c r="H819" s="2417"/>
      <c r="I819" s="2417"/>
      <c r="J819" s="2417"/>
      <c r="K819" s="2417"/>
      <c r="L819" s="2417"/>
      <c r="M819" s="2417"/>
      <c r="N819" s="2417"/>
      <c r="O819" s="2417"/>
      <c r="P819" s="2417"/>
      <c r="Q819" s="2417"/>
      <c r="R819" s="2417"/>
      <c r="S819" s="2418"/>
      <c r="T819" s="2419">
        <f>AK794</f>
        <v>10</v>
      </c>
      <c r="U819" s="2419"/>
      <c r="V819" s="2419"/>
      <c r="W819" s="2419"/>
      <c r="X819" s="2419"/>
      <c r="Y819" s="2419"/>
      <c r="Z819" s="2428">
        <v>10</v>
      </c>
      <c r="AA819" s="2429"/>
      <c r="AB819" s="2429"/>
      <c r="AC819" s="2429"/>
      <c r="AD819" s="2429"/>
      <c r="AE819" s="2430"/>
      <c r="AF819" s="2385">
        <f>IF(T819&gt;Z819,Z819,T819)</f>
        <v>10</v>
      </c>
      <c r="AG819" s="2385"/>
      <c r="AH819" s="2385"/>
      <c r="AI819" s="2385"/>
      <c r="AJ819" s="2385"/>
      <c r="AK819" s="238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31" t="s">
        <v>1582</v>
      </c>
      <c r="B820" s="2417"/>
      <c r="C820" s="2417"/>
      <c r="D820" s="2417"/>
      <c r="E820" s="2417"/>
      <c r="F820" s="2417"/>
      <c r="G820" s="2417"/>
      <c r="H820" s="2417"/>
      <c r="I820" s="2417"/>
      <c r="J820" s="2417"/>
      <c r="K820" s="2417"/>
      <c r="L820" s="2417"/>
      <c r="M820" s="2417"/>
      <c r="N820" s="2417"/>
      <c r="O820" s="2417"/>
      <c r="P820" s="2417"/>
      <c r="Q820" s="2417"/>
      <c r="R820" s="2417"/>
      <c r="S820" s="2418"/>
      <c r="T820" s="2432"/>
      <c r="U820" s="2432"/>
      <c r="V820" s="2432"/>
      <c r="W820" s="2432"/>
      <c r="X820" s="2432"/>
      <c r="Y820" s="2432"/>
      <c r="Z820" s="2426" t="s">
        <v>1583</v>
      </c>
      <c r="AA820" s="2426"/>
      <c r="AB820" s="2426"/>
      <c r="AC820" s="2426"/>
      <c r="AD820" s="2426"/>
      <c r="AE820" s="2426"/>
      <c r="AF820" s="2428">
        <f>IF(T820&gt;0,T820,0)</f>
        <v>0</v>
      </c>
      <c r="AG820" s="2429"/>
      <c r="AH820" s="2429"/>
      <c r="AI820" s="2429"/>
      <c r="AJ820" s="2429"/>
      <c r="AK820" s="2430"/>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33" t="s">
        <v>1584</v>
      </c>
      <c r="B821" s="2434"/>
      <c r="C821" s="2434"/>
      <c r="D821" s="2434"/>
      <c r="E821" s="2434"/>
      <c r="F821" s="2434"/>
      <c r="G821" s="2434"/>
      <c r="H821" s="2434"/>
      <c r="I821" s="2434"/>
      <c r="J821" s="2434"/>
      <c r="K821" s="2434"/>
      <c r="L821" s="2434"/>
      <c r="M821" s="2434"/>
      <c r="N821" s="2434"/>
      <c r="O821" s="2434"/>
      <c r="P821" s="2434"/>
      <c r="Q821" s="2434"/>
      <c r="R821" s="2434"/>
      <c r="S821" s="2434"/>
      <c r="T821" s="2434"/>
      <c r="U821" s="2434"/>
      <c r="V821" s="2434"/>
      <c r="W821" s="2434"/>
      <c r="X821" s="2434"/>
      <c r="Y821" s="2434"/>
      <c r="Z821" s="2434"/>
      <c r="AA821" s="2434"/>
      <c r="AB821" s="2434"/>
      <c r="AC821" s="2434"/>
      <c r="AD821" s="2434"/>
      <c r="AE821" s="2435"/>
      <c r="AF821" s="2439">
        <f ca="1">SUM(AF804:AK819)-AF820</f>
        <v>119</v>
      </c>
      <c r="AG821" s="2440"/>
      <c r="AH821" s="2440"/>
      <c r="AI821" s="2440"/>
      <c r="AJ821" s="2440"/>
      <c r="AK821" s="2441"/>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36"/>
      <c r="B822" s="2437"/>
      <c r="C822" s="2437"/>
      <c r="D822" s="2437"/>
      <c r="E822" s="2437"/>
      <c r="F822" s="2437"/>
      <c r="G822" s="2437"/>
      <c r="H822" s="2437"/>
      <c r="I822" s="2437"/>
      <c r="J822" s="2437"/>
      <c r="K822" s="2437"/>
      <c r="L822" s="2437"/>
      <c r="M822" s="2437"/>
      <c r="N822" s="2437"/>
      <c r="O822" s="2437"/>
      <c r="P822" s="2437"/>
      <c r="Q822" s="2437"/>
      <c r="R822" s="2437"/>
      <c r="S822" s="2437"/>
      <c r="T822" s="2437"/>
      <c r="U822" s="2437"/>
      <c r="V822" s="2437"/>
      <c r="W822" s="2437"/>
      <c r="X822" s="2437"/>
      <c r="Y822" s="2437"/>
      <c r="Z822" s="2437"/>
      <c r="AA822" s="2437"/>
      <c r="AB822" s="2437"/>
      <c r="AC822" s="2437"/>
      <c r="AD822" s="2437"/>
      <c r="AE822" s="2438"/>
      <c r="AF822" s="2442"/>
      <c r="AG822" s="2443"/>
      <c r="AH822" s="2443"/>
      <c r="AI822" s="2443"/>
      <c r="AJ822" s="2443"/>
      <c r="AK822" s="2444"/>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p9eDxhf+U9CXktue8RESWmosZekTxouNo6dph54tqfKfZz+myDf5I8TYR8dKBi4SlHWyfQk9W8tyAYY9onuFsw==" saltValue="HBJk8rihPcOujpZEzyF8t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16" workbookViewId="0">
      <selection activeCell="O22" sqref="O22"/>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14" t="s">
        <v>1585</v>
      </c>
      <c r="B1" s="2614"/>
      <c r="C1" s="2614"/>
      <c r="D1" s="2614"/>
      <c r="E1" s="2614"/>
      <c r="F1" s="2614"/>
      <c r="G1" s="2614"/>
      <c r="H1" s="2614"/>
      <c r="I1" s="2614"/>
      <c r="J1" s="2614"/>
    </row>
    <row r="2" spans="1:13" ht="15" customHeight="1" thickBot="1">
      <c r="A2" s="1047"/>
      <c r="B2" s="1047"/>
      <c r="I2" s="1048"/>
      <c r="K2" s="1049"/>
    </row>
    <row r="3" spans="1:13" s="1052" customFormat="1" ht="20.25" customHeight="1">
      <c r="A3" s="1102"/>
      <c r="B3" s="1103"/>
      <c r="C3" s="1104"/>
      <c r="D3" s="1109"/>
      <c r="E3" s="1104"/>
      <c r="F3" s="1105" t="s">
        <v>1991</v>
      </c>
      <c r="G3" s="1104"/>
      <c r="H3" s="1106">
        <f>E18</f>
        <v>31613984</v>
      </c>
      <c r="I3" s="1107"/>
    </row>
    <row r="4" spans="1:13" s="1052" customFormat="1" ht="20.25" customHeight="1">
      <c r="B4" s="1096"/>
      <c r="D4" s="1110"/>
      <c r="F4" s="1094" t="s">
        <v>1993</v>
      </c>
      <c r="G4" s="1093" t="s">
        <v>1992</v>
      </c>
      <c r="H4" s="1095">
        <f>I18</f>
        <v>28550813.214869283</v>
      </c>
      <c r="I4" s="1097"/>
      <c r="K4" s="1056"/>
    </row>
    <row r="5" spans="1:13" s="1052" customFormat="1" ht="20.25" customHeight="1" thickBot="1">
      <c r="B5" s="1098"/>
      <c r="C5" s="1099"/>
      <c r="D5" s="1111"/>
      <c r="E5" s="1100"/>
      <c r="F5" s="1111" t="s">
        <v>1942</v>
      </c>
      <c r="G5" s="1112"/>
      <c r="H5" s="1108">
        <f>IFERROR(H3/H4,0)</f>
        <v>1.1072883900741368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17" t="s">
        <v>1940</v>
      </c>
      <c r="C8" s="2618"/>
      <c r="D8" s="2618"/>
      <c r="E8" s="2619"/>
      <c r="G8" s="2620" t="s">
        <v>1941</v>
      </c>
      <c r="H8" s="2621"/>
      <c r="I8" s="2622"/>
      <c r="K8" s="1058"/>
    </row>
    <row r="9" spans="1:13" ht="15" customHeight="1">
      <c r="A9" s="1047"/>
      <c r="B9" s="2615" t="s">
        <v>1974</v>
      </c>
      <c r="C9" s="2615"/>
      <c r="D9" s="2615"/>
      <c r="E9" s="1060">
        <f>G33</f>
        <v>4320000</v>
      </c>
      <c r="G9" s="2607" t="s">
        <v>1972</v>
      </c>
      <c r="H9" s="2607"/>
      <c r="I9" s="1061">
        <f>Application!AM554</f>
        <v>43010702</v>
      </c>
      <c r="K9" s="1062"/>
      <c r="M9" s="1063"/>
    </row>
    <row r="10" spans="1:13" ht="15" customHeight="1" thickBot="1">
      <c r="A10" s="1047"/>
      <c r="B10" s="2615" t="s">
        <v>1975</v>
      </c>
      <c r="C10" s="2615"/>
      <c r="D10" s="2615"/>
      <c r="E10" s="1061">
        <f>G47</f>
        <v>17414784</v>
      </c>
      <c r="G10" s="2624" t="s">
        <v>1943</v>
      </c>
      <c r="H10" s="2624"/>
      <c r="I10" s="1142">
        <f>'Basis &amp; Credits'!AB78</f>
        <v>0</v>
      </c>
      <c r="M10" s="1063"/>
    </row>
    <row r="11" spans="1:13" ht="15" customHeight="1">
      <c r="A11" s="1047"/>
      <c r="B11" s="2608" t="s">
        <v>2266</v>
      </c>
      <c r="C11" s="2609"/>
      <c r="D11" s="2610"/>
      <c r="E11" s="1061">
        <f>SUM(E12,E13)</f>
        <v>980000</v>
      </c>
      <c r="G11" s="2606" t="s">
        <v>1983</v>
      </c>
      <c r="H11" s="2606"/>
      <c r="I11" s="1141">
        <f>I9+I10</f>
        <v>43010702</v>
      </c>
      <c r="M11" s="1063"/>
    </row>
    <row r="12" spans="1:13" ht="15" customHeight="1">
      <c r="A12" s="1064"/>
      <c r="B12" s="2616" t="s">
        <v>2268</v>
      </c>
      <c r="C12" s="2616"/>
      <c r="D12" s="2616"/>
      <c r="E12" s="1167">
        <f>G56</f>
        <v>200000</v>
      </c>
      <c r="M12" s="1063"/>
    </row>
    <row r="13" spans="1:13" ht="15" customHeight="1">
      <c r="A13" s="1050"/>
      <c r="B13" s="2616" t="s">
        <v>2269</v>
      </c>
      <c r="C13" s="2616"/>
      <c r="D13" s="2616"/>
      <c r="E13" s="1167">
        <f>G65</f>
        <v>780000</v>
      </c>
      <c r="G13" s="2594" t="s">
        <v>2007</v>
      </c>
      <c r="H13" s="2595"/>
      <c r="I13" s="2596"/>
      <c r="M13" s="1063"/>
    </row>
    <row r="14" spans="1:13" ht="15" customHeight="1">
      <c r="A14" s="1050"/>
      <c r="B14" s="2608" t="s">
        <v>2267</v>
      </c>
      <c r="C14" s="2609"/>
      <c r="D14" s="2610"/>
      <c r="E14" s="1169">
        <f>MAX(E15,E16)+E17</f>
        <v>8899200</v>
      </c>
      <c r="G14" s="2607" t="s">
        <v>139</v>
      </c>
      <c r="H14" s="2607"/>
      <c r="I14" s="1065">
        <f>15%*(AND(G120="Yes",G122&lt;&gt;""))</f>
        <v>0.15</v>
      </c>
      <c r="M14" s="1063"/>
    </row>
    <row r="15" spans="1:13" ht="15" customHeight="1">
      <c r="A15" s="1050"/>
      <c r="B15" s="2591" t="s">
        <v>2273</v>
      </c>
      <c r="C15" s="2592"/>
      <c r="D15" s="2593"/>
      <c r="E15" s="1167">
        <f>G80</f>
        <v>2592000</v>
      </c>
      <c r="G15" s="1139" t="s">
        <v>1984</v>
      </c>
      <c r="H15" s="1139"/>
      <c r="I15" s="1065">
        <f>IF(Application!AJ1032&gt;0,10%,IF(Application!AJ1036&gt;0,5%,0))</f>
        <v>0.1</v>
      </c>
      <c r="M15" s="1063"/>
    </row>
    <row r="16" spans="1:13" ht="15" customHeight="1">
      <c r="A16" s="1050"/>
      <c r="B16" s="2591" t="s">
        <v>2272</v>
      </c>
      <c r="C16" s="2592"/>
      <c r="D16" s="2593"/>
      <c r="E16" s="1167">
        <f>G90</f>
        <v>1728000</v>
      </c>
      <c r="G16" s="2607" t="s">
        <v>1985</v>
      </c>
      <c r="H16" s="2607"/>
      <c r="I16" s="1065">
        <f>G132</f>
        <v>8.6192810457516339E-2</v>
      </c>
    </row>
    <row r="17" spans="1:21" ht="15" customHeight="1" thickBot="1">
      <c r="A17" s="1050"/>
      <c r="B17" s="2591" t="s">
        <v>2271</v>
      </c>
      <c r="C17" s="2592"/>
      <c r="D17" s="2593"/>
      <c r="E17" s="1167">
        <f>G115</f>
        <v>6307200</v>
      </c>
      <c r="G17" s="2607" t="s">
        <v>2281</v>
      </c>
      <c r="H17" s="2607"/>
      <c r="I17" s="1065">
        <f>IF(AND(G139="Yes",OR(G136,G137)),IF(G143&gt;15%,15%,G143),0)</f>
        <v>0</v>
      </c>
    </row>
    <row r="18" spans="1:21" ht="15" customHeight="1">
      <c r="A18" s="1047"/>
      <c r="B18" s="2623" t="s">
        <v>1939</v>
      </c>
      <c r="C18" s="2623"/>
      <c r="D18" s="2623"/>
      <c r="E18" s="1113">
        <f>SUM(E9:E11,E14)</f>
        <v>31613984</v>
      </c>
      <c r="G18" s="1140" t="s">
        <v>1973</v>
      </c>
      <c r="H18" s="1140"/>
      <c r="I18" s="1114">
        <f>I11-((I11*I14)+(I11*I15)+(I11*I16)+(I11*I17))</f>
        <v>28550813.214869283</v>
      </c>
      <c r="M18" s="1066">
        <f>SUM(Cdlac[Quantity])</f>
        <v>96</v>
      </c>
      <c r="O18" s="1086" t="s">
        <v>582</v>
      </c>
      <c r="P18" s="1045">
        <f>MATCH(Application!T189,Application!CB160:CB217,0)</f>
        <v>1</v>
      </c>
      <c r="T18" s="1066">
        <f>SUM(Cdlac[Population])</f>
        <v>20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20</v>
      </c>
      <c r="N20" s="1072">
        <f>Application!AC718</f>
        <v>0.3</v>
      </c>
      <c r="O20" s="1072">
        <f>IF(Cdlac[[#This Row],[Quantity]]&gt;0,IF(Cdlac[[#This Row],[Federal]],30%,IF(AND(OR(NOT($G$38),$G$38=""),$G$43),40%,Cdlac[[#This Row],[iAMI]])),"")</f>
        <v>0.3</v>
      </c>
      <c r="P20" s="1066" cm="1">
        <f t="array" ref="P20">IF(Cdlac[[#This Row],[Quantity]]&gt;0,INDEX(TcacRents,$P$18,Cdlac[[#This Row],[Bedrooms]]+1)*Cdlac[[#This Row],[AMI]],"")</f>
        <v>817.19999999999993</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1007.8000000000001</v>
      </c>
      <c r="T20" s="1045">
        <f>IF(Cdlac[[#This Row],[Quantity]]&gt;0,AND(Application!AK718&lt;&gt;"N/A",Application!AK718&lt;&gt;"")*Cdlac[[#This Row],[Quantity]],"")</f>
        <v>20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0</v>
      </c>
      <c r="M21" s="1066">
        <f>Application!G719</f>
        <v>19</v>
      </c>
      <c r="N21" s="1072">
        <f>Application!AC719</f>
        <v>0.3</v>
      </c>
      <c r="O21" s="1072">
        <f>IF(Cdlac[[#This Row],[Quantity]]&gt;0,IF(Cdlac[[#This Row],[Federal]],30%,IF(AND(OR(NOT($G$38),$G$38=""),$G$43),40%,Cdlac[[#This Row],[iAMI]])),"")</f>
        <v>0.3</v>
      </c>
      <c r="P21" s="1066" cm="1">
        <f t="array" ref="P21">IF(Cdlac[[#This Row],[Quantity]]&gt;0,INDEX(TcacRents,$P$18,Cdlac[[#This Row],[Bedrooms]]+1)*Cdlac[[#This Row],[AMI]],"")</f>
        <v>817.19999999999993</v>
      </c>
      <c r="Q21" s="1166"/>
      <c r="R21" s="1066" cm="1">
        <f t="array" ref="R21">IF(Cdlac[[#This Row],[Quantity]]&gt;0,INDEX(HudFmrs,$P$18,Cdlac[[#This Row],[Bedrooms]]+1),"")</f>
        <v>1825</v>
      </c>
      <c r="S21" s="1066">
        <f>IF(Cdlac[[#This Row],[Quantity]]&gt;0,MAX(0,Cdlac[[#This Row],[Fair Market Rent]]-IF(AND($G$37,$G$38,$G$38&lt;&gt;"",NOT(Cdlac[[#This Row],[Federal]]),Cdlac[[#This Row],[Preservation Rent]]&lt;&gt;""),Cdlac[[#This Row],[Preservation Rent]],Cdlac[[#This Row],[Restricted Rent]])),"")</f>
        <v>1007.8000000000001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598" t="s">
        <v>1987</v>
      </c>
      <c r="D22" s="2598" t="s">
        <v>1988</v>
      </c>
      <c r="E22" s="2598" t="s">
        <v>1989</v>
      </c>
      <c r="F22" s="2598" t="s">
        <v>1990</v>
      </c>
      <c r="G22" s="2598" t="s">
        <v>1986</v>
      </c>
      <c r="H22" s="1071"/>
      <c r="I22" s="1070"/>
      <c r="L22" s="1045">
        <f>IFERROR(MIN(4,MATCH(Application!B720,UnitSizes,0)-1),"")</f>
        <v>0</v>
      </c>
      <c r="M22" s="1066">
        <f>Application!G720</f>
        <v>57</v>
      </c>
      <c r="N22" s="1072">
        <f>Application!AC720</f>
        <v>0.5</v>
      </c>
      <c r="O22" s="1072">
        <f>IF(Cdlac[[#This Row],[Quantity]]&gt;0,IF(Cdlac[[#This Row],[Federal]],30%,IF(AND(OR(NOT($G$38),$G$38=""),$G$43),40%,Cdlac[[#This Row],[iAMI]])),"")</f>
        <v>0.3</v>
      </c>
      <c r="P22" s="1066" cm="1">
        <f t="array" ref="P22">IF(Cdlac[[#This Row],[Quantity]]&gt;0,INDEX(TcacRents,$P$18,Cdlac[[#This Row],[Bedrooms]]+1)*Cdlac[[#This Row],[AMI]],"")</f>
        <v>817.19999999999993</v>
      </c>
      <c r="Q22" s="1166"/>
      <c r="R22" s="1066" cm="1">
        <f t="array" ref="R22">IF(Cdlac[[#This Row],[Quantity]]&gt;0,INDEX(HudFmrs,$P$18,Cdlac[[#This Row],[Bedrooms]]+1),"")</f>
        <v>1825</v>
      </c>
      <c r="S22" s="1066">
        <f>IF(Cdlac[[#This Row],[Quantity]]&gt;0,MAX(0,Cdlac[[#This Row],[Fair Market Rent]]-IF(AND($G$37,$G$38,$G$38&lt;&gt;"",NOT(Cdlac[[#This Row],[Federal]]),Cdlac[[#This Row],[Preservation Rent]]&lt;&gt;""),Cdlac[[#This Row],[Preservation Rent]],Cdlac[[#This Row],[Restricted Rent]])),"")</f>
        <v>1007.8000000000001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599"/>
      <c r="D23" s="2599"/>
      <c r="E23" s="2599"/>
      <c r="F23" s="2599"/>
      <c r="G23" s="2599"/>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96</v>
      </c>
      <c r="F24" s="1073">
        <f>E24</f>
        <v>96</v>
      </c>
      <c r="G24" s="1073">
        <f>D24*F24</f>
        <v>86.4</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00" t="s">
        <v>1586</v>
      </c>
      <c r="D29" s="2601"/>
      <c r="E29" s="1091">
        <f>SUM(E24:E28)</f>
        <v>96</v>
      </c>
      <c r="F29" s="1091">
        <f>SUM(F24:F28)</f>
        <v>96</v>
      </c>
      <c r="G29" s="1092">
        <f>SUMPRODUCT(D24:D28,F24:F28)</f>
        <v>86.4</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86.4</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4320000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03" t="str">
        <f>IF(AND(G37,G38,G38&lt;&gt;""),"Enter the average rent charged for each unit type over the last three years, as documented with rent rolls or property audits, in cells Q20:Q44","")</f>
        <v/>
      </c>
      <c r="D39" s="2603"/>
      <c r="E39" s="2603"/>
      <c r="F39" s="2603"/>
      <c r="G39" s="2603"/>
      <c r="H39" s="260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03"/>
      <c r="D40" s="2603"/>
      <c r="E40" s="2603"/>
      <c r="F40" s="2603"/>
      <c r="G40" s="2603"/>
      <c r="H40" s="260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03"/>
      <c r="D41" s="2603"/>
      <c r="E41" s="2603"/>
      <c r="F41" s="2603"/>
      <c r="G41" s="2603"/>
      <c r="H41" s="260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96748.800000000003</v>
      </c>
    </row>
    <row r="46" spans="1:21" ht="15" customHeight="1">
      <c r="E46" s="1119" t="s">
        <v>2006</v>
      </c>
      <c r="F46" s="1115" t="s">
        <v>1994</v>
      </c>
      <c r="G46" s="1123">
        <f>12*15</f>
        <v>180</v>
      </c>
    </row>
    <row r="47" spans="1:21" ht="15" customHeight="1">
      <c r="E47" s="1124" t="s">
        <v>1944</v>
      </c>
      <c r="F47" s="1047"/>
      <c r="G47" s="1125">
        <f>G45*G46</f>
        <v>17414784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20</v>
      </c>
    </row>
    <row r="52" spans="2:9" ht="15" customHeight="1">
      <c r="E52" s="1119" t="s">
        <v>1996</v>
      </c>
      <c r="G52" s="1116">
        <f>ROUNDDOWN(E29*50%,0)</f>
        <v>48</v>
      </c>
    </row>
    <row r="53" spans="2:9" ht="15" customHeight="1">
      <c r="E53" s="1119"/>
      <c r="G53" s="1127"/>
    </row>
    <row r="54" spans="2:9" ht="15" customHeight="1">
      <c r="E54" s="1119" t="s">
        <v>1955</v>
      </c>
      <c r="G54" s="1116">
        <f>MIN(G51:G52)</f>
        <v>20</v>
      </c>
    </row>
    <row r="55" spans="2:9" ht="15" customHeight="1">
      <c r="E55" s="1119" t="s">
        <v>1945</v>
      </c>
      <c r="F55" s="1115" t="s">
        <v>1994</v>
      </c>
      <c r="G55" s="1126">
        <v>10000</v>
      </c>
    </row>
    <row r="56" spans="2:9" ht="15" customHeight="1">
      <c r="E56" s="1120" t="s">
        <v>1978</v>
      </c>
      <c r="F56" s="1047"/>
      <c r="G56" s="1125">
        <f>G54*G55</f>
        <v>200000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39</v>
      </c>
    </row>
    <row r="61" spans="2:9" ht="15" customHeight="1">
      <c r="E61" s="1119" t="s">
        <v>1996</v>
      </c>
      <c r="G61" s="1080">
        <f>ROUNDDOWN(E29*50%,0)</f>
        <v>48</v>
      </c>
    </row>
    <row r="62" spans="2:9" ht="15" customHeight="1">
      <c r="E62" s="1119"/>
      <c r="G62" s="1080"/>
    </row>
    <row r="63" spans="2:9" ht="15" customHeight="1">
      <c r="E63" s="1119" t="s">
        <v>1955</v>
      </c>
      <c r="G63" s="1116">
        <f>MIN(G60:G61)</f>
        <v>39</v>
      </c>
    </row>
    <row r="64" spans="2:9" ht="15" customHeight="1">
      <c r="E64" s="1119" t="s">
        <v>1945</v>
      </c>
      <c r="F64" s="1115" t="s">
        <v>1994</v>
      </c>
      <c r="G64" s="1126">
        <v>20000</v>
      </c>
    </row>
    <row r="65" spans="2:14" ht="15" customHeight="1">
      <c r="E65" s="1120" t="s">
        <v>1977</v>
      </c>
      <c r="F65" s="1047"/>
      <c r="G65" s="1125">
        <f>G63*G64</f>
        <v>780000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11" t="s">
        <v>1970</v>
      </c>
      <c r="M72" s="2612"/>
      <c r="N72" s="1133">
        <v>30000</v>
      </c>
    </row>
    <row r="73" spans="2:14" ht="15" customHeight="1">
      <c r="C73" s="2613" t="s">
        <v>2265</v>
      </c>
      <c r="D73" s="2613"/>
      <c r="E73" s="2613"/>
      <c r="F73" s="2613"/>
      <c r="G73" s="1044" t="s">
        <v>545</v>
      </c>
      <c r="L73" s="2625" t="s">
        <v>1938</v>
      </c>
      <c r="M73" s="2626"/>
      <c r="N73" s="1134">
        <v>20000</v>
      </c>
    </row>
    <row r="74" spans="2:14" ht="15" customHeight="1" thickBot="1">
      <c r="C74" s="2613"/>
      <c r="D74" s="2613"/>
      <c r="E74" s="2613"/>
      <c r="F74" s="2613"/>
      <c r="L74" s="2627" t="s">
        <v>1971</v>
      </c>
      <c r="M74" s="2628"/>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86.4</v>
      </c>
    </row>
    <row r="80" spans="2:14" ht="15" customHeight="1">
      <c r="D80" s="1047"/>
      <c r="E80" s="1120" t="s">
        <v>2270</v>
      </c>
      <c r="F80" s="1047"/>
      <c r="G80" s="1125">
        <f>G79*G78*G76</f>
        <v>2592000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86.4</v>
      </c>
    </row>
    <row r="89" spans="2:9" ht="15" customHeight="1">
      <c r="E89" s="1086" t="s">
        <v>1945</v>
      </c>
      <c r="F89" s="1115" t="s">
        <v>1994</v>
      </c>
      <c r="G89" s="1051">
        <v>20000</v>
      </c>
    </row>
    <row r="90" spans="2:9" ht="15" customHeight="1">
      <c r="E90" s="1120" t="s">
        <v>2274</v>
      </c>
      <c r="F90" s="1047"/>
      <c r="G90" s="1125">
        <f>G86*G89*G88</f>
        <v>1728000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86.4</v>
      </c>
    </row>
    <row r="97" spans="2:14" ht="15" customHeight="1">
      <c r="E97" s="1120" t="s">
        <v>1962</v>
      </c>
      <c r="F97" s="1047"/>
      <c r="G97" s="1125">
        <f>G94*G95*G96</f>
        <v>2419200</v>
      </c>
      <c r="L97" s="1129" t="str">
        <f>'Points System'!H638</f>
        <v>(i)</v>
      </c>
      <c r="M97" s="2633" t="s">
        <v>1405</v>
      </c>
      <c r="N97" s="2634"/>
    </row>
    <row r="98" spans="2:14" ht="15" customHeight="1">
      <c r="C98" s="1078"/>
      <c r="G98" s="1116"/>
      <c r="L98" s="1130" t="str">
        <f>'Points System'!H650</f>
        <v>(ii)</v>
      </c>
      <c r="M98" s="2629" t="s">
        <v>1957</v>
      </c>
      <c r="N98" s="2630"/>
    </row>
    <row r="99" spans="2:14" ht="15" customHeight="1">
      <c r="E99" s="1086" t="s">
        <v>1999</v>
      </c>
      <c r="G99" s="1128">
        <f>COUNTIFS(L97:L104,"(i)")</f>
        <v>5</v>
      </c>
      <c r="L99" s="1130" t="str">
        <f>'Points System'!H685</f>
        <v>(ii)</v>
      </c>
      <c r="M99" s="2629" t="s">
        <v>1958</v>
      </c>
      <c r="N99" s="2630"/>
    </row>
    <row r="100" spans="2:14" ht="15" customHeight="1">
      <c r="E100" s="1086" t="s">
        <v>1945</v>
      </c>
      <c r="F100" s="1115" t="s">
        <v>1994</v>
      </c>
      <c r="G100" s="1126">
        <v>4000</v>
      </c>
      <c r="L100" s="1130" t="str">
        <f>IF(OR('Points System'!H709="(ii)",'Points System'!H709="(i)"),"(i)","N/A")</f>
        <v>(i)</v>
      </c>
      <c r="M100" s="2629" t="s">
        <v>1959</v>
      </c>
      <c r="N100" s="2630"/>
    </row>
    <row r="101" spans="2:14" ht="15" customHeight="1">
      <c r="E101" s="1120" t="s">
        <v>1963</v>
      </c>
      <c r="F101" s="1047"/>
      <c r="G101" s="1125">
        <f>G96*G99*G100</f>
        <v>1728000</v>
      </c>
      <c r="L101" s="1131" t="str">
        <f>'Points System'!H723</f>
        <v>(i)</v>
      </c>
      <c r="M101" s="2629" t="s">
        <v>1431</v>
      </c>
      <c r="N101" s="2630"/>
    </row>
    <row r="102" spans="2:14" ht="15" customHeight="1">
      <c r="L102" s="1130" t="str">
        <f>'Points System'!H735</f>
        <v>N/A</v>
      </c>
      <c r="M102" s="2629" t="s">
        <v>1960</v>
      </c>
      <c r="N102" s="2630"/>
    </row>
    <row r="103" spans="2:14" ht="15" customHeight="1">
      <c r="C103" s="1081" t="s">
        <v>1965</v>
      </c>
      <c r="L103" s="1130" t="str">
        <f>'Points System'!H751</f>
        <v>(i)</v>
      </c>
      <c r="M103" s="2629" t="s">
        <v>1961</v>
      </c>
      <c r="N103" s="2630"/>
    </row>
    <row r="104" spans="2:14" ht="15" customHeight="1" thickBot="1">
      <c r="C104" s="1078" t="s">
        <v>1966</v>
      </c>
      <c r="G104" s="1044"/>
      <c r="L104" s="1132" t="str">
        <f>'Points System'!H763</f>
        <v>(i)</v>
      </c>
      <c r="M104" s="2631" t="s">
        <v>1434</v>
      </c>
      <c r="N104" s="2632"/>
    </row>
    <row r="105" spans="2:14" ht="15" customHeight="1">
      <c r="C105" s="1078" t="s">
        <v>1967</v>
      </c>
      <c r="G105" s="1044"/>
    </row>
    <row r="106" spans="2:14" ht="15" customHeight="1">
      <c r="C106" s="1078" t="s">
        <v>2141</v>
      </c>
      <c r="G106" s="1044" t="s">
        <v>545</v>
      </c>
    </row>
    <row r="107" spans="2:14" ht="15" customHeight="1">
      <c r="C107" s="1078" t="s">
        <v>2142</v>
      </c>
      <c r="G107" s="1044" t="s">
        <v>545</v>
      </c>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86.4</v>
      </c>
    </row>
    <row r="112" spans="2:14" ht="15" customHeight="1">
      <c r="E112" s="1086" t="s">
        <v>1945</v>
      </c>
      <c r="F112" s="1115" t="s">
        <v>1994</v>
      </c>
      <c r="G112" s="1126">
        <v>25000</v>
      </c>
    </row>
    <row r="113" spans="2:9" ht="15" customHeight="1">
      <c r="E113" s="1120" t="s">
        <v>1964</v>
      </c>
      <c r="F113" s="1047"/>
      <c r="G113" s="1125">
        <f>G109*G112*G96</f>
        <v>2160000</v>
      </c>
    </row>
    <row r="114" spans="2:9" ht="15" customHeight="1">
      <c r="C114" s="1078"/>
      <c r="E114" s="1078"/>
    </row>
    <row r="115" spans="2:9" ht="15" customHeight="1">
      <c r="E115" s="1120" t="s">
        <v>2275</v>
      </c>
      <c r="G115" s="1125">
        <f>G113+G101+G97</f>
        <v>6307200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02" t="s">
        <v>2230</v>
      </c>
      <c r="D119" s="2602"/>
      <c r="E119" s="2602"/>
      <c r="F119" s="2602"/>
    </row>
    <row r="120" spans="2:9" ht="15" customHeight="1">
      <c r="C120" s="2602"/>
      <c r="D120" s="2602"/>
      <c r="E120" s="2602"/>
      <c r="F120" s="2602"/>
      <c r="G120" s="1044" t="s">
        <v>545</v>
      </c>
    </row>
    <row r="121" spans="2:9" ht="15" customHeight="1"/>
    <row r="122" spans="2:9" ht="15" customHeight="1">
      <c r="C122" s="1045" t="s">
        <v>2232</v>
      </c>
      <c r="G122" s="2604" t="s">
        <v>2611</v>
      </c>
      <c r="H122" s="2604"/>
    </row>
    <row r="123" spans="2:9" ht="15" customHeight="1">
      <c r="G123" s="2604"/>
      <c r="H123" s="2604"/>
    </row>
    <row r="124" spans="2:9" ht="15" customHeight="1">
      <c r="G124" s="2605"/>
      <c r="H124" s="2605"/>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2002</v>
      </c>
      <c r="G131" s="1079">
        <f>MEDIAN((Application!CU160:CU217))</f>
        <v>489600</v>
      </c>
    </row>
    <row r="132" spans="2:9" ht="15">
      <c r="D132" s="1047"/>
      <c r="E132" s="1120" t="s">
        <v>2004</v>
      </c>
      <c r="F132" s="1136"/>
      <c r="G132" s="1137">
        <f>((G130-G131)/G131)*0.25</f>
        <v>8.6192810457516339E-2</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597" t="s">
        <v>2278</v>
      </c>
      <c r="D138" s="2597"/>
      <c r="E138" s="2597"/>
      <c r="F138" s="2597"/>
    </row>
    <row r="139" spans="2:9">
      <c r="B139" s="1046"/>
      <c r="C139" s="2597"/>
      <c r="D139" s="2597"/>
      <c r="E139" s="2597"/>
      <c r="F139" s="2597"/>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6451605.2999999998</v>
      </c>
    </row>
  </sheetData>
  <sheetProtection algorithmName="SHA-512" hashValue="8nXUJgetqo1q39utcDwWBMhhJkD9RkEv/Jn9dKgljlZq0gZ5MylXUQbRfaxSLlb5ehPzCvDey3lRl6akzSdO7w==" saltValue="ZgS+FT+nbVSUhSOv+9Mmtw=="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6" ma:contentTypeDescription="Create a new document." ma:contentTypeScope="" ma:versionID="9baac242764e2c690a9c832003ae3e03">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b406b484ac9f365c85fed46e0520e1af"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51C512-A741-4626-BB43-9DFEE1D06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CD6650-0C40-4612-8320-A66A02F8D843}">
  <ds:schemaRefs>
    <ds:schemaRef ds:uri="http://schemas.microsoft.com/sharepoint/v4"/>
    <ds:schemaRef ds:uri="5ebaabba-4a57-48b0-85b2-b83b7f4de49e"/>
    <ds:schemaRef ds:uri="http://schemas.microsoft.com/office/2006/documentManagement/types"/>
    <ds:schemaRef ds:uri="http://purl.org/dc/terms/"/>
    <ds:schemaRef ds:uri="36fc743b-267c-480e-9bd5-38a213356c55"/>
    <ds:schemaRef ds:uri="http://www.w3.org/XML/1998/namespace"/>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8AC4379A-2201-46B3-BA08-CFC40F1830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2025-02-03T18:33:19Z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